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T:\Financial Planning and Capital Allocation\2025 Budget Planning\2025 OASIS Posting\"/>
    </mc:Choice>
  </mc:AlternateContent>
  <xr:revisionPtr revIDLastSave="0" documentId="8_{CF943891-DB30-47A1-B549-8A4A0C114613}" xr6:coauthVersionLast="47" xr6:coauthVersionMax="47" xr10:uidLastSave="{00000000-0000-0000-0000-000000000000}"/>
  <bookViews>
    <workbookView xWindow="-120" yWindow="-120" windowWidth="29040" windowHeight="15840" tabRatio="883" activeTab="10" xr2:uid="{00000000-000D-0000-FFFF-FFFF00000000}"/>
  </bookViews>
  <sheets>
    <sheet name="ATC Att O ER22-1602" sheetId="56" r:id="rId1"/>
    <sheet name="Plant Balances (pg. 2) " sheetId="3" r:id="rId2"/>
    <sheet name="Deferred Taxes (pg. 2)" sheetId="4" r:id="rId3"/>
    <sheet name="Expense (pg. 3) " sheetId="5" r:id="rId4"/>
    <sheet name="Wages &amp; Salaries (pg. 4)" sheetId="6" r:id="rId5"/>
    <sheet name="Wgt. Avg Debt Rate (pg.4)" sheetId="12" r:id="rId6"/>
    <sheet name="Revenue (pg.4)" sheetId="11" r:id="rId7"/>
    <sheet name="TEP (pg. 5)" sheetId="9" r:id="rId8"/>
    <sheet name="SIT (pg. 5)" sheetId="8" r:id="rId9"/>
    <sheet name="Precert Exp" sheetId="10" r:id="rId10"/>
    <sheet name="ATC Att GG ER21-2601" sheetId="13" r:id="rId11"/>
    <sheet name="GG Support Data" sheetId="14" r:id="rId12"/>
    <sheet name="GG True-up Template" sheetId="26" r:id="rId13"/>
    <sheet name="GG TU Interest" sheetId="36" r:id="rId14"/>
    <sheet name="GG Project Descriptions" sheetId="15" r:id="rId15"/>
    <sheet name="ATC Att MM ER21-2601" sheetId="16" r:id="rId16"/>
    <sheet name="MM Support Data" sheetId="17" r:id="rId17"/>
    <sheet name="MM True-up Template" sheetId="27" r:id="rId18"/>
    <sheet name="MM TU Interest" sheetId="37" r:id="rId19"/>
    <sheet name="MM Project Descriptions" sheetId="18" r:id="rId20"/>
    <sheet name="Gross Plant Reporting Form" sheetId="49" r:id="rId21"/>
    <sheet name="Sch 9" sheetId="58" r:id="rId22"/>
    <sheet name="Sch 7,8" sheetId="20" r:id="rId23"/>
    <sheet name="Sch 9 TU Interest" sheetId="41" r:id="rId24"/>
    <sheet name="Sch 1" sheetId="22" r:id="rId25"/>
    <sheet name="Sch 1 - True up" sheetId="23" r:id="rId26"/>
    <sheet name="Sch 1 TU Interest" sheetId="39" r:id="rId27"/>
  </sheets>
  <definedNames>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C" hidden="1">#REF!</definedName>
    <definedName name="__123Graph_CBAR" hidden="1">#REF!</definedName>
    <definedName name="__123Graph_D" hidden="1">#REF!</definedName>
    <definedName name="__123Graph_DBAR" hidden="1">#REF!</definedName>
    <definedName name="__123Graph_E" hidden="1">#REF!</definedName>
    <definedName name="__123Graph_EBAR" hidden="1">#REF!</definedName>
    <definedName name="__123Graph_F"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123Graph_B.1" hidden="1">#REF!</definedName>
    <definedName name="_Dist_Bin" hidden="1">#REF!</definedName>
    <definedName name="_Dist_Values" hidden="1">#REF!</definedName>
    <definedName name="_Fill" hidden="1">#REF!</definedName>
    <definedName name="_Fill.1" hidden="1">#REF!</definedName>
    <definedName name="_xlnm._FilterDatabase" localSheetId="11" hidden="1">'GG Support Data'!$A$70:$AZ$73</definedName>
    <definedName name="_Key.1" hidden="1">#REF!</definedName>
    <definedName name="_Key1"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#REF!</definedName>
    <definedName name="_Sort.1" hidden="1">#REF!</definedName>
    <definedName name="_Table1_Out" hidden="1">#REF!</definedName>
    <definedName name="AS2DocOpenMode" hidden="1">"AS2DocumentEdit"</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GTUBal_A">#REF!</definedName>
    <definedName name="GGTUBal_P">#REF!</definedName>
    <definedName name="GGTULine_A">#REF!</definedName>
    <definedName name="GGTULine_P">#REF!</definedName>
    <definedName name="GGTUProj_A">#REF!</definedName>
    <definedName name="GGTUProj_P">#REF!</definedName>
    <definedName name="gIsBlank" localSheetId="21" hidden="1">ISBLANK(gIsRef)</definedName>
    <definedName name="gIsBlank" hidden="1">ISBLANK(gIsRef)</definedName>
    <definedName name="gIsError" localSheetId="21" hidden="1">ISERROR(gIsRef)</definedName>
    <definedName name="gIsError" hidden="1">ISERROR(gIsRef)</definedName>
    <definedName name="gIsInPrintArea" localSheetId="21" hidden="1">NOT(ISERROR(gIsRef !Print_Area))</definedName>
    <definedName name="gIsInPrintArea" hidden="1">NOT(ISERROR(gIsRef !Print_Area))</definedName>
    <definedName name="gIsInPrintTitles" localSheetId="21" hidden="1">NOT(ISERROR(gIsRef !Print_Titles))</definedName>
    <definedName name="gIsInPrintTitles" hidden="1">NOT(ISERROR(gIsRef !Print_Titles))</definedName>
    <definedName name="gIsNumber" localSheetId="21" hidden="1">ISNUMBER(gIsRef)</definedName>
    <definedName name="gIsNumber" hidden="1">ISNUMBER(gIsRef)</definedName>
    <definedName name="gIsPreviousSheet" localSheetId="21" hidden="1">PrevShtCellValue(gIsRef)&lt;&gt;gIsRef</definedName>
    <definedName name="gIsPreviousSheet" hidden="1">PrevShtCellValue(gIsRef)&lt;&gt;gIsRef</definedName>
    <definedName name="gIsRef" hidden="1">INDIRECT("rc",FALSE)</definedName>
    <definedName name="gIsText" localSheetId="21" hidden="1">ISTEXT(gIsRef)</definedName>
    <definedName name="gIsText" hidden="1">ISTEXT(gIsRef)</definedName>
    <definedName name="_xlnm.Print_Area" localSheetId="10">'ATC Att GG ER21-2601'!$B$1:$P$141</definedName>
    <definedName name="_xlnm.Print_Area" localSheetId="15">'ATC Att MM ER21-2601'!$B$1:$T$115</definedName>
    <definedName name="_xlnm.Print_Area" localSheetId="0">'ATC Att O ER22-1602'!$A$1:$K$341</definedName>
    <definedName name="_xlnm.Print_Area" localSheetId="2">'Deferred Taxes (pg. 2)'!$B$1:$I$18</definedName>
    <definedName name="_xlnm.Print_Area" localSheetId="3">'Expense (pg. 3) '!$B$1:$N$33</definedName>
    <definedName name="_xlnm.Print_Area" localSheetId="14">'GG Project Descriptions'!$B$1:$F$62</definedName>
    <definedName name="_xlnm.Print_Area" localSheetId="11">'GG Support Data'!$B$1:$AW$66</definedName>
    <definedName name="_xlnm.Print_Area" localSheetId="12">'GG True-up Template'!$A$1:$AH$106</definedName>
    <definedName name="_xlnm.Print_Area" localSheetId="13">'GG TU Interest'!$B$2:$E$24</definedName>
    <definedName name="_xlnm.Print_Area" localSheetId="19">'MM Project Descriptions'!$B$1:$F$39</definedName>
    <definedName name="_xlnm.Print_Area" localSheetId="16">'MM Support Data'!$B$1:$O$66</definedName>
    <definedName name="_xlnm.Print_Area" localSheetId="17">'MM True-up Template'!$A$1:$AP$74</definedName>
    <definedName name="_xlnm.Print_Area" localSheetId="18">'MM TU Interest'!$B$2:$E$37</definedName>
    <definedName name="_xlnm.Print_Area" localSheetId="1">'Plant Balances (pg. 2) '!$B$1:$I$49</definedName>
    <definedName name="_xlnm.Print_Area" localSheetId="9">'Precert Exp'!$B$1:$C$20</definedName>
    <definedName name="_xlnm.Print_Area" localSheetId="6">'Revenue (pg.4)'!$B$1:$J$19</definedName>
    <definedName name="_xlnm.Print_Area" localSheetId="25">'Sch 1 - True up'!$A$1:$G$35</definedName>
    <definedName name="_xlnm.Print_Area" localSheetId="26">'Sch 1 TU Interest'!$B$2:$E$37</definedName>
    <definedName name="_xlnm.Print_Area" localSheetId="22">'Sch 7,8'!$B$1:$I$80,'Sch 7,8'!$B$84:$I$147</definedName>
    <definedName name="_xlnm.Print_Area" localSheetId="21">'Sch 9'!$A$1:$H$240</definedName>
    <definedName name="_xlnm.Print_Area" localSheetId="23">'Sch 9 TU Interest'!$B$2:$E$24</definedName>
    <definedName name="_xlnm.Print_Area" localSheetId="8">'SIT (pg. 5)'!$A$1:$E$40</definedName>
    <definedName name="_xlnm.Print_Area" localSheetId="7">'TEP (pg. 5)'!$A$3:$D$24</definedName>
    <definedName name="_xlnm.Print_Area" localSheetId="4">'Wages &amp; Salaries (pg. 4)'!$A$2:$C$18</definedName>
    <definedName name="_xlnm.Print_Area" localSheetId="5">'Wgt. Avg Debt Rate (pg.4)'!$A$1:$H$69</definedName>
    <definedName name="_xlnm.Print_Titles" localSheetId="11">'GG Support Data'!$B:$C</definedName>
    <definedName name="SAPBEXrevision" hidden="1">1</definedName>
    <definedName name="SAPBEXsysID" hidden="1">"BWP"</definedName>
    <definedName name="SAPBEXwbID" hidden="1">"45EQYSCWE9WJMGB34OOD1BOQZ"</definedName>
    <definedName name="TextRefCopyRangeCount" hidden="1">1</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6" i="58" l="1"/>
  <c r="G228" i="58"/>
  <c r="G220" i="58"/>
  <c r="G212" i="58"/>
  <c r="G204" i="58"/>
  <c r="G196" i="58"/>
  <c r="G72" i="20" l="1"/>
  <c r="G61" i="20"/>
  <c r="G50" i="20"/>
  <c r="G39" i="20"/>
  <c r="G28" i="20"/>
  <c r="H1" i="58"/>
  <c r="H6" i="58"/>
  <c r="H7" i="58" s="1"/>
  <c r="B7" i="58"/>
  <c r="B12" i="58" s="1"/>
  <c r="C7" i="58"/>
  <c r="C12" i="58" s="1"/>
  <c r="D7" i="58"/>
  <c r="D12" i="58" s="1"/>
  <c r="E7" i="58"/>
  <c r="E12" i="58" s="1"/>
  <c r="F7" i="58"/>
  <c r="F12" i="58" s="1"/>
  <c r="H15" i="58"/>
  <c r="B11" i="58" s="1"/>
  <c r="C11" i="58" s="1"/>
  <c r="H26" i="58"/>
  <c r="B22" i="58" s="1"/>
  <c r="H37" i="58"/>
  <c r="B33" i="58" s="1"/>
  <c r="C33" i="58" s="1"/>
  <c r="H49" i="58"/>
  <c r="B45" i="58" s="1"/>
  <c r="H58" i="58"/>
  <c r="H59" i="58"/>
  <c r="H65" i="58"/>
  <c r="H66" i="58" s="1"/>
  <c r="B65" i="58" s="1"/>
  <c r="C65" i="58" s="1"/>
  <c r="C66" i="58" s="1"/>
  <c r="H72" i="58"/>
  <c r="H73" i="58"/>
  <c r="H79" i="58"/>
  <c r="H80" i="58"/>
  <c r="H86" i="58"/>
  <c r="H87" i="58"/>
  <c r="H94" i="58"/>
  <c r="H95" i="58"/>
  <c r="H101" i="58"/>
  <c r="H102" i="58"/>
  <c r="H108" i="58"/>
  <c r="H109" i="58"/>
  <c r="H110" i="58"/>
  <c r="B109" i="58" s="1"/>
  <c r="H116" i="58"/>
  <c r="H118" i="58" s="1"/>
  <c r="B117" i="58" s="1"/>
  <c r="C117" i="58" s="1"/>
  <c r="D117" i="58" s="1"/>
  <c r="D118" i="58" s="1"/>
  <c r="H117" i="58"/>
  <c r="H124" i="58"/>
  <c r="H125" i="58"/>
  <c r="H126" i="58" s="1"/>
  <c r="B125" i="58" s="1"/>
  <c r="H132" i="58"/>
  <c r="H133" i="58"/>
  <c r="H141" i="58"/>
  <c r="H142" i="58"/>
  <c r="H150" i="58"/>
  <c r="H152" i="58" s="1"/>
  <c r="B151" i="58" s="1"/>
  <c r="B152" i="58" s="1"/>
  <c r="H151" i="58"/>
  <c r="H158" i="58"/>
  <c r="H159" i="58"/>
  <c r="H166" i="58"/>
  <c r="H167" i="58"/>
  <c r="G172" i="58"/>
  <c r="H174" i="58"/>
  <c r="H176" i="58" s="1"/>
  <c r="B175" i="58" s="1"/>
  <c r="H175" i="58"/>
  <c r="G180" i="58"/>
  <c r="H182" i="58"/>
  <c r="H183" i="58"/>
  <c r="H184" i="58"/>
  <c r="B183" i="58" s="1"/>
  <c r="H190" i="58"/>
  <c r="H191" i="58"/>
  <c r="H198" i="58"/>
  <c r="H199" i="58"/>
  <c r="H207" i="58"/>
  <c r="I23" i="56" s="1"/>
  <c r="H214" i="58"/>
  <c r="H215" i="58"/>
  <c r="H222" i="58"/>
  <c r="H223" i="58"/>
  <c r="H230" i="58"/>
  <c r="H231" i="58"/>
  <c r="H238" i="58"/>
  <c r="H239" i="58"/>
  <c r="H134" i="58" l="1"/>
  <c r="B133" i="58" s="1"/>
  <c r="H103" i="58"/>
  <c r="B102" i="58" s="1"/>
  <c r="H224" i="58"/>
  <c r="B223" i="58" s="1"/>
  <c r="H81" i="58"/>
  <c r="B80" i="58" s="1"/>
  <c r="H200" i="58"/>
  <c r="B199" i="58" s="1"/>
  <c r="H88" i="58"/>
  <c r="B87" i="58" s="1"/>
  <c r="C87" i="58" s="1"/>
  <c r="H240" i="58"/>
  <c r="B239" i="58" s="1"/>
  <c r="C239" i="58" s="1"/>
  <c r="C151" i="58"/>
  <c r="C152" i="58" s="1"/>
  <c r="B134" i="58"/>
  <c r="C133" i="58"/>
  <c r="D133" i="58" s="1"/>
  <c r="E133" i="58" s="1"/>
  <c r="F133" i="58" s="1"/>
  <c r="F134" i="58" s="1"/>
  <c r="B126" i="58"/>
  <c r="C125" i="58"/>
  <c r="B224" i="58"/>
  <c r="C223" i="58"/>
  <c r="D223" i="58" s="1"/>
  <c r="E223" i="58" s="1"/>
  <c r="F223" i="58" s="1"/>
  <c r="F224" i="58" s="1"/>
  <c r="H216" i="58"/>
  <c r="B215" i="58" s="1"/>
  <c r="C215" i="58" s="1"/>
  <c r="C216" i="58" s="1"/>
  <c r="H160" i="58"/>
  <c r="B159" i="58" s="1"/>
  <c r="C159" i="58" s="1"/>
  <c r="H143" i="58"/>
  <c r="B142" i="58" s="1"/>
  <c r="D65" i="58"/>
  <c r="H192" i="58"/>
  <c r="B191" i="58" s="1"/>
  <c r="H51" i="58"/>
  <c r="B13" i="58"/>
  <c r="B14" i="58" s="1"/>
  <c r="B15" i="58" s="1"/>
  <c r="B66" i="58"/>
  <c r="B103" i="58"/>
  <c r="C102" i="58"/>
  <c r="B184" i="58"/>
  <c r="C183" i="58"/>
  <c r="D33" i="58"/>
  <c r="C199" i="58"/>
  <c r="B200" i="58"/>
  <c r="B81" i="58"/>
  <c r="C80" i="58"/>
  <c r="B176" i="58"/>
  <c r="C175" i="58"/>
  <c r="C109" i="58"/>
  <c r="B110" i="58"/>
  <c r="E134" i="58"/>
  <c r="E117" i="58"/>
  <c r="C22" i="58"/>
  <c r="B143" i="58"/>
  <c r="C142" i="58"/>
  <c r="C118" i="58"/>
  <c r="H74" i="58"/>
  <c r="B73" i="58" s="1"/>
  <c r="C45" i="58"/>
  <c r="D134" i="58"/>
  <c r="B118" i="58"/>
  <c r="D11" i="58"/>
  <c r="C13" i="58"/>
  <c r="C14" i="58" s="1"/>
  <c r="C15" i="58" s="1"/>
  <c r="H232" i="58"/>
  <c r="B231" i="58" s="1"/>
  <c r="H168" i="58"/>
  <c r="B167" i="58" s="1"/>
  <c r="H60" i="58"/>
  <c r="B59" i="58" s="1"/>
  <c r="H96" i="58"/>
  <c r="B95" i="58" s="1"/>
  <c r="B88" i="58" l="1"/>
  <c r="B240" i="58"/>
  <c r="C224" i="58"/>
  <c r="E224" i="58"/>
  <c r="D224" i="58"/>
  <c r="B216" i="58"/>
  <c r="D215" i="58"/>
  <c r="E215" i="58" s="1"/>
  <c r="C134" i="58"/>
  <c r="D151" i="58"/>
  <c r="D87" i="58"/>
  <c r="C88" i="58"/>
  <c r="B160" i="58"/>
  <c r="D152" i="58"/>
  <c r="E151" i="58"/>
  <c r="C126" i="58"/>
  <c r="D125" i="58"/>
  <c r="C191" i="58"/>
  <c r="B192" i="58"/>
  <c r="D66" i="58"/>
  <c r="E65" i="58"/>
  <c r="D13" i="58"/>
  <c r="D14" i="58" s="1"/>
  <c r="D15" i="58" s="1"/>
  <c r="E11" i="58"/>
  <c r="D45" i="58"/>
  <c r="C184" i="58"/>
  <c r="D183" i="58"/>
  <c r="D80" i="58"/>
  <c r="C81" i="58"/>
  <c r="D239" i="58"/>
  <c r="C240" i="58"/>
  <c r="B74" i="58"/>
  <c r="C73" i="58"/>
  <c r="D216" i="58"/>
  <c r="C95" i="58"/>
  <c r="B96" i="58"/>
  <c r="D22" i="58"/>
  <c r="C59" i="58"/>
  <c r="B60" i="58"/>
  <c r="C167" i="58"/>
  <c r="B168" i="58"/>
  <c r="F117" i="58"/>
  <c r="F118" i="58" s="1"/>
  <c r="E118" i="58"/>
  <c r="D109" i="58"/>
  <c r="C110" i="58"/>
  <c r="C200" i="58"/>
  <c r="D199" i="58"/>
  <c r="D159" i="58"/>
  <c r="C160" i="58"/>
  <c r="C231" i="58"/>
  <c r="B232" i="58"/>
  <c r="D142" i="58"/>
  <c r="C143" i="58"/>
  <c r="C176" i="58"/>
  <c r="D175" i="58"/>
  <c r="C103" i="58"/>
  <c r="D102" i="58"/>
  <c r="E33" i="58"/>
  <c r="AB94" i="26"/>
  <c r="AB93" i="26"/>
  <c r="AB92" i="26"/>
  <c r="AB91" i="26"/>
  <c r="D88" i="58" l="1"/>
  <c r="E87" i="58"/>
  <c r="C192" i="58"/>
  <c r="D191" i="58"/>
  <c r="D126" i="58"/>
  <c r="E125" i="58"/>
  <c r="E152" i="58"/>
  <c r="F151" i="58"/>
  <c r="F152" i="58" s="1"/>
  <c r="E66" i="58"/>
  <c r="F65" i="58"/>
  <c r="F66" i="58" s="1"/>
  <c r="E80" i="58"/>
  <c r="D81" i="58"/>
  <c r="E216" i="58"/>
  <c r="F215" i="58"/>
  <c r="F216" i="58" s="1"/>
  <c r="D184" i="58"/>
  <c r="E183" i="58"/>
  <c r="D73" i="58"/>
  <c r="C74" i="58"/>
  <c r="E45" i="58"/>
  <c r="F33" i="58"/>
  <c r="E142" i="58"/>
  <c r="D143" i="58"/>
  <c r="E109" i="58"/>
  <c r="D110" i="58"/>
  <c r="D59" i="58"/>
  <c r="C60" i="58"/>
  <c r="D103" i="58"/>
  <c r="E102" i="58"/>
  <c r="C232" i="58"/>
  <c r="D231" i="58"/>
  <c r="E22" i="58"/>
  <c r="E175" i="58"/>
  <c r="D176" i="58"/>
  <c r="E159" i="58"/>
  <c r="D160" i="58"/>
  <c r="C168" i="58"/>
  <c r="D167" i="58"/>
  <c r="D95" i="58"/>
  <c r="C96" i="58"/>
  <c r="D200" i="58"/>
  <c r="E199" i="58"/>
  <c r="E13" i="58"/>
  <c r="E14" i="58" s="1"/>
  <c r="E15" i="58" s="1"/>
  <c r="F11" i="58"/>
  <c r="F13" i="58" s="1"/>
  <c r="F14" i="58" s="1"/>
  <c r="F15" i="58" s="1"/>
  <c r="E239" i="58"/>
  <c r="D240" i="58"/>
  <c r="J86" i="17"/>
  <c r="L86" i="17"/>
  <c r="K86" i="17"/>
  <c r="O86" i="17"/>
  <c r="H86" i="17"/>
  <c r="K131" i="17"/>
  <c r="I86" i="17"/>
  <c r="N86" i="17"/>
  <c r="M86" i="17"/>
  <c r="L116" i="17"/>
  <c r="K101" i="17"/>
  <c r="J101" i="17"/>
  <c r="O131" i="17"/>
  <c r="J131" i="17"/>
  <c r="N131" i="17"/>
  <c r="I131" i="17"/>
  <c r="M131" i="17"/>
  <c r="H131" i="17"/>
  <c r="L131" i="17"/>
  <c r="K116" i="17"/>
  <c r="O116" i="17"/>
  <c r="N116" i="17"/>
  <c r="I116" i="17"/>
  <c r="J116" i="17"/>
  <c r="M116" i="17"/>
  <c r="H116" i="17"/>
  <c r="L101" i="17"/>
  <c r="I101" i="17"/>
  <c r="O101" i="17"/>
  <c r="N101" i="17"/>
  <c r="H101" i="17"/>
  <c r="M101" i="17"/>
  <c r="H13" i="58" l="1"/>
  <c r="H14" i="58" s="1"/>
  <c r="H16" i="58" s="1"/>
  <c r="B16" i="58" s="1"/>
  <c r="E88" i="58"/>
  <c r="F87" i="58"/>
  <c r="F88" i="58" s="1"/>
  <c r="F125" i="58"/>
  <c r="F126" i="58" s="1"/>
  <c r="E126" i="58"/>
  <c r="D192" i="58"/>
  <c r="E191" i="58"/>
  <c r="C16" i="58"/>
  <c r="B17" i="58"/>
  <c r="F102" i="58"/>
  <c r="F103" i="58" s="1"/>
  <c r="E103" i="58"/>
  <c r="E143" i="58"/>
  <c r="F142" i="58"/>
  <c r="F143" i="58" s="1"/>
  <c r="E73" i="58"/>
  <c r="D74" i="58"/>
  <c r="F183" i="58"/>
  <c r="F184" i="58" s="1"/>
  <c r="E184" i="58"/>
  <c r="E160" i="58"/>
  <c r="F159" i="58"/>
  <c r="F160" i="58" s="1"/>
  <c r="E200" i="58"/>
  <c r="F199" i="58"/>
  <c r="F200" i="58" s="1"/>
  <c r="F175" i="58"/>
  <c r="F176" i="58" s="1"/>
  <c r="E176" i="58"/>
  <c r="F22" i="58"/>
  <c r="E95" i="58"/>
  <c r="D96" i="58"/>
  <c r="E59" i="58"/>
  <c r="D60" i="58"/>
  <c r="E167" i="58"/>
  <c r="D168" i="58"/>
  <c r="E231" i="58"/>
  <c r="D232" i="58"/>
  <c r="F239" i="58"/>
  <c r="F240" i="58" s="1"/>
  <c r="E240" i="58"/>
  <c r="E110" i="58"/>
  <c r="F109" i="58"/>
  <c r="F110" i="58" s="1"/>
  <c r="F45" i="58"/>
  <c r="F80" i="58"/>
  <c r="F81" i="58" s="1"/>
  <c r="E81" i="58"/>
  <c r="H44" i="17"/>
  <c r="I44" i="17"/>
  <c r="J44" i="17"/>
  <c r="K44" i="17"/>
  <c r="L44" i="17"/>
  <c r="M44" i="17"/>
  <c r="N44" i="17"/>
  <c r="O44" i="17"/>
  <c r="H45" i="17"/>
  <c r="I45" i="17"/>
  <c r="J45" i="17"/>
  <c r="K45" i="17"/>
  <c r="L45" i="17"/>
  <c r="M45" i="17"/>
  <c r="N45" i="17"/>
  <c r="O45" i="17"/>
  <c r="H46" i="17"/>
  <c r="I46" i="17"/>
  <c r="J46" i="17"/>
  <c r="K46" i="17"/>
  <c r="L46" i="17"/>
  <c r="M46" i="17"/>
  <c r="N46" i="17"/>
  <c r="O46" i="17"/>
  <c r="H47" i="17"/>
  <c r="I47" i="17"/>
  <c r="J47" i="17"/>
  <c r="K47" i="17"/>
  <c r="L47" i="17"/>
  <c r="M47" i="17"/>
  <c r="N47" i="17"/>
  <c r="O47" i="17"/>
  <c r="H48" i="17"/>
  <c r="I48" i="17"/>
  <c r="J48" i="17"/>
  <c r="K48" i="17"/>
  <c r="L48" i="17"/>
  <c r="M48" i="17"/>
  <c r="N48" i="17"/>
  <c r="O48" i="17"/>
  <c r="H49" i="17"/>
  <c r="I49" i="17"/>
  <c r="J49" i="17"/>
  <c r="K49" i="17"/>
  <c r="L49" i="17"/>
  <c r="M49" i="17"/>
  <c r="N49" i="17"/>
  <c r="O49" i="17"/>
  <c r="H50" i="17"/>
  <c r="I50" i="17"/>
  <c r="J50" i="17"/>
  <c r="K50" i="17"/>
  <c r="L50" i="17"/>
  <c r="M50" i="17"/>
  <c r="N50" i="17"/>
  <c r="O50" i="17"/>
  <c r="H51" i="17"/>
  <c r="I51" i="17"/>
  <c r="J51" i="17"/>
  <c r="K51" i="17"/>
  <c r="L51" i="17"/>
  <c r="M51" i="17"/>
  <c r="N51" i="17"/>
  <c r="O51" i="17"/>
  <c r="H52" i="17"/>
  <c r="I52" i="17"/>
  <c r="J52" i="17"/>
  <c r="K52" i="17"/>
  <c r="L52" i="17"/>
  <c r="M52" i="17"/>
  <c r="N52" i="17"/>
  <c r="O52" i="17"/>
  <c r="H53" i="17"/>
  <c r="I53" i="17"/>
  <c r="J53" i="17"/>
  <c r="K53" i="17"/>
  <c r="L53" i="17"/>
  <c r="M53" i="17"/>
  <c r="N53" i="17"/>
  <c r="O53" i="17"/>
  <c r="H54" i="17"/>
  <c r="I54" i="17"/>
  <c r="J54" i="17"/>
  <c r="K54" i="17"/>
  <c r="L54" i="17"/>
  <c r="M54" i="17"/>
  <c r="N54" i="17"/>
  <c r="O54" i="17"/>
  <c r="H55" i="17"/>
  <c r="I55" i="17"/>
  <c r="J55" i="17"/>
  <c r="K55" i="17"/>
  <c r="L55" i="17"/>
  <c r="M55" i="17"/>
  <c r="N55" i="17"/>
  <c r="O55" i="17"/>
  <c r="H43" i="17"/>
  <c r="I43" i="17"/>
  <c r="J43" i="17"/>
  <c r="K43" i="17"/>
  <c r="L43" i="17"/>
  <c r="M43" i="17"/>
  <c r="N43" i="17"/>
  <c r="O43" i="17"/>
  <c r="H11" i="17"/>
  <c r="I11" i="17"/>
  <c r="J11" i="17"/>
  <c r="K11" i="17"/>
  <c r="L11" i="17"/>
  <c r="M11" i="17"/>
  <c r="N11" i="17"/>
  <c r="O11" i="17"/>
  <c r="H12" i="17"/>
  <c r="I12" i="17"/>
  <c r="J12" i="17"/>
  <c r="K12" i="17"/>
  <c r="L12" i="17"/>
  <c r="M12" i="17"/>
  <c r="N12" i="17"/>
  <c r="O12" i="17"/>
  <c r="H13" i="17"/>
  <c r="I13" i="17"/>
  <c r="J13" i="17"/>
  <c r="K13" i="17"/>
  <c r="L13" i="17"/>
  <c r="M13" i="17"/>
  <c r="N13" i="17"/>
  <c r="O13" i="17"/>
  <c r="H14" i="17"/>
  <c r="I14" i="17"/>
  <c r="J14" i="17"/>
  <c r="K14" i="17"/>
  <c r="L14" i="17"/>
  <c r="M14" i="17"/>
  <c r="N14" i="17"/>
  <c r="O14" i="17"/>
  <c r="H15" i="17"/>
  <c r="I15" i="17"/>
  <c r="J15" i="17"/>
  <c r="K15" i="17"/>
  <c r="L15" i="17"/>
  <c r="M15" i="17"/>
  <c r="N15" i="17"/>
  <c r="O15" i="17"/>
  <c r="H16" i="17"/>
  <c r="I16" i="17"/>
  <c r="J16" i="17"/>
  <c r="K16" i="17"/>
  <c r="L16" i="17"/>
  <c r="M16" i="17"/>
  <c r="N16" i="17"/>
  <c r="O16" i="17"/>
  <c r="H17" i="17"/>
  <c r="I17" i="17"/>
  <c r="J17" i="17"/>
  <c r="K17" i="17"/>
  <c r="L17" i="17"/>
  <c r="M17" i="17"/>
  <c r="N17" i="17"/>
  <c r="O17" i="17"/>
  <c r="H18" i="17"/>
  <c r="I18" i="17"/>
  <c r="J18" i="17"/>
  <c r="K18" i="17"/>
  <c r="L18" i="17"/>
  <c r="M18" i="17"/>
  <c r="N18" i="17"/>
  <c r="O18" i="17"/>
  <c r="H19" i="17"/>
  <c r="I19" i="17"/>
  <c r="J19" i="17"/>
  <c r="K19" i="17"/>
  <c r="L19" i="17"/>
  <c r="M19" i="17"/>
  <c r="N19" i="17"/>
  <c r="O19" i="17"/>
  <c r="H20" i="17"/>
  <c r="I20" i="17"/>
  <c r="J20" i="17"/>
  <c r="K20" i="17"/>
  <c r="L20" i="17"/>
  <c r="M20" i="17"/>
  <c r="N20" i="17"/>
  <c r="O20" i="17"/>
  <c r="H21" i="17"/>
  <c r="I21" i="17"/>
  <c r="J21" i="17"/>
  <c r="K21" i="17"/>
  <c r="L21" i="17"/>
  <c r="M21" i="17"/>
  <c r="N21" i="17"/>
  <c r="O21" i="17"/>
  <c r="H22" i="17"/>
  <c r="I22" i="17"/>
  <c r="J22" i="17"/>
  <c r="K22" i="17"/>
  <c r="L22" i="17"/>
  <c r="M22" i="17"/>
  <c r="N22" i="17"/>
  <c r="O22" i="17"/>
  <c r="O10" i="17"/>
  <c r="N10" i="17"/>
  <c r="M10" i="17"/>
  <c r="L10" i="17"/>
  <c r="K10" i="17"/>
  <c r="J10" i="17"/>
  <c r="I10" i="17"/>
  <c r="H10" i="17"/>
  <c r="F191" i="58" l="1"/>
  <c r="F192" i="58" s="1"/>
  <c r="E192" i="58"/>
  <c r="F59" i="58"/>
  <c r="F60" i="58" s="1"/>
  <c r="E60" i="58"/>
  <c r="F73" i="58"/>
  <c r="F74" i="58" s="1"/>
  <c r="E74" i="58"/>
  <c r="F95" i="58"/>
  <c r="F96" i="58" s="1"/>
  <c r="E96" i="58"/>
  <c r="F231" i="58"/>
  <c r="F232" i="58" s="1"/>
  <c r="E232" i="58"/>
  <c r="F167" i="58"/>
  <c r="F168" i="58" s="1"/>
  <c r="E168" i="58"/>
  <c r="B18" i="58"/>
  <c r="B23" i="58"/>
  <c r="B24" i="58" s="1"/>
  <c r="B25" i="58" s="1"/>
  <c r="B26" i="58" s="1"/>
  <c r="D16" i="58"/>
  <c r="C17" i="58"/>
  <c r="L26" i="17"/>
  <c r="M38" i="17"/>
  <c r="I32" i="17"/>
  <c r="K26" i="17"/>
  <c r="K38" i="17"/>
  <c r="M37" i="17"/>
  <c r="O36" i="17"/>
  <c r="I35" i="17"/>
  <c r="K34" i="17"/>
  <c r="M33" i="17"/>
  <c r="O32" i="17"/>
  <c r="H37" i="17"/>
  <c r="J36" i="17"/>
  <c r="L35" i="17"/>
  <c r="M30" i="17"/>
  <c r="J38" i="17"/>
  <c r="L37" i="17"/>
  <c r="N36" i="17"/>
  <c r="H35" i="17"/>
  <c r="J34" i="17"/>
  <c r="L33" i="17"/>
  <c r="N32" i="17"/>
  <c r="H31" i="17"/>
  <c r="J30" i="17"/>
  <c r="L29" i="17"/>
  <c r="N28" i="17"/>
  <c r="H27" i="17"/>
  <c r="I38" i="17"/>
  <c r="K37" i="17"/>
  <c r="M36" i="17"/>
  <c r="O35" i="17"/>
  <c r="I34" i="17"/>
  <c r="K33" i="17"/>
  <c r="M32" i="17"/>
  <c r="O31" i="17"/>
  <c r="I30" i="17"/>
  <c r="K29" i="17"/>
  <c r="M28" i="17"/>
  <c r="O27" i="17"/>
  <c r="N27" i="17"/>
  <c r="I31" i="17"/>
  <c r="K30" i="17"/>
  <c r="M29" i="17"/>
  <c r="O28" i="17"/>
  <c r="I27" i="17"/>
  <c r="H26" i="17"/>
  <c r="M26" i="17"/>
  <c r="J37" i="17"/>
  <c r="L36" i="17"/>
  <c r="N35" i="17"/>
  <c r="H34" i="17"/>
  <c r="J33" i="17"/>
  <c r="L32" i="17"/>
  <c r="N31" i="17"/>
  <c r="H30" i="17"/>
  <c r="J29" i="17"/>
  <c r="O34" i="17"/>
  <c r="K28" i="17"/>
  <c r="N34" i="17"/>
  <c r="H33" i="17"/>
  <c r="J32" i="17"/>
  <c r="L31" i="17"/>
  <c r="N30" i="17"/>
  <c r="H29" i="17"/>
  <c r="J28" i="17"/>
  <c r="L27" i="17"/>
  <c r="H56" i="17"/>
  <c r="J26" i="17"/>
  <c r="L38" i="17"/>
  <c r="N37" i="17"/>
  <c r="H36" i="17"/>
  <c r="N33" i="17"/>
  <c r="H32" i="17"/>
  <c r="J31" i="17"/>
  <c r="L30" i="17"/>
  <c r="N29" i="17"/>
  <c r="H28" i="17"/>
  <c r="M56" i="17"/>
  <c r="L34" i="17"/>
  <c r="J35" i="17"/>
  <c r="L28" i="17"/>
  <c r="J56" i="17"/>
  <c r="I26" i="17"/>
  <c r="H38" i="17"/>
  <c r="O38" i="17"/>
  <c r="I37" i="17"/>
  <c r="K36" i="17"/>
  <c r="M35" i="17"/>
  <c r="I33" i="17"/>
  <c r="K32" i="17"/>
  <c r="M31" i="17"/>
  <c r="O30" i="17"/>
  <c r="I29" i="17"/>
  <c r="M27" i="17"/>
  <c r="J27" i="17"/>
  <c r="O26" i="17"/>
  <c r="N38" i="17"/>
  <c r="N26" i="17"/>
  <c r="L56" i="17"/>
  <c r="K56" i="17"/>
  <c r="N56" i="17"/>
  <c r="O37" i="17"/>
  <c r="I36" i="17"/>
  <c r="K35" i="17"/>
  <c r="M34" i="17"/>
  <c r="O33" i="17"/>
  <c r="K31" i="17"/>
  <c r="O56" i="17"/>
  <c r="I56" i="17"/>
  <c r="K27" i="17"/>
  <c r="I28" i="17"/>
  <c r="O29" i="17"/>
  <c r="C18" i="58" l="1"/>
  <c r="C23" i="58"/>
  <c r="C24" i="58" s="1"/>
  <c r="C25" i="58" s="1"/>
  <c r="C26" i="58" s="1"/>
  <c r="E16" i="58"/>
  <c r="D17" i="58"/>
  <c r="AB88" i="26"/>
  <c r="AB89" i="26"/>
  <c r="AB90" i="26"/>
  <c r="D18" i="58" l="1"/>
  <c r="D23" i="58"/>
  <c r="D24" i="58" s="1"/>
  <c r="D25" i="58" s="1"/>
  <c r="D26" i="58" s="1"/>
  <c r="E17" i="58"/>
  <c r="F16" i="58"/>
  <c r="F17" i="58" s="1"/>
  <c r="H19" i="27"/>
  <c r="H25" i="27" s="1"/>
  <c r="F23" i="58" l="1"/>
  <c r="F24" i="58" s="1"/>
  <c r="F25" i="58" s="1"/>
  <c r="F26" i="58" s="1"/>
  <c r="F18" i="58"/>
  <c r="E18" i="58"/>
  <c r="E23" i="58"/>
  <c r="E24" i="58" s="1"/>
  <c r="E25" i="58" s="1"/>
  <c r="E26" i="58" s="1"/>
  <c r="H24" i="58" s="1"/>
  <c r="H25" i="58" s="1"/>
  <c r="H27" i="58" s="1"/>
  <c r="B27" i="58" s="1"/>
  <c r="H21" i="27"/>
  <c r="B28" i="58" l="1"/>
  <c r="C27" i="58"/>
  <c r="D27" i="58" l="1"/>
  <c r="C28" i="58"/>
  <c r="B34" i="58"/>
  <c r="B35" i="58" s="1"/>
  <c r="B36" i="58" s="1"/>
  <c r="B37" i="58" s="1"/>
  <c r="B29" i="58"/>
  <c r="C34" i="58" l="1"/>
  <c r="C35" i="58" s="1"/>
  <c r="C36" i="58" s="1"/>
  <c r="C37" i="58" s="1"/>
  <c r="C29" i="58"/>
  <c r="E27" i="58"/>
  <c r="D28" i="58"/>
  <c r="E28" i="58" l="1"/>
  <c r="F27" i="58"/>
  <c r="F28" i="58" s="1"/>
  <c r="D29" i="58"/>
  <c r="D34" i="58"/>
  <c r="D35" i="58" s="1"/>
  <c r="D36" i="58" s="1"/>
  <c r="D37" i="58" s="1"/>
  <c r="F34" i="58" l="1"/>
  <c r="F35" i="58" s="1"/>
  <c r="F36" i="58" s="1"/>
  <c r="F37" i="58" s="1"/>
  <c r="F29" i="58"/>
  <c r="E29" i="58"/>
  <c r="E34" i="58"/>
  <c r="E35" i="58" s="1"/>
  <c r="E36" i="58" s="1"/>
  <c r="E37" i="58" s="1"/>
  <c r="H35" i="58" s="1"/>
  <c r="H36" i="58" s="1"/>
  <c r="H38" i="58" s="1"/>
  <c r="B38" i="58" s="1"/>
  <c r="G274" i="56"/>
  <c r="I274" i="56" s="1"/>
  <c r="C13" i="9" s="1"/>
  <c r="K151" i="56"/>
  <c r="A80" i="56"/>
  <c r="G98" i="56"/>
  <c r="D107" i="56"/>
  <c r="D110" i="56"/>
  <c r="D112" i="56"/>
  <c r="A154" i="56"/>
  <c r="I160" i="56"/>
  <c r="K26" i="16" s="1"/>
  <c r="I161" i="56"/>
  <c r="K27" i="16" s="1"/>
  <c r="I167" i="56"/>
  <c r="F172" i="56"/>
  <c r="A225" i="56"/>
  <c r="G248" i="56"/>
  <c r="G250" i="56"/>
  <c r="G251" i="56"/>
  <c r="I273" i="56"/>
  <c r="D275" i="56"/>
  <c r="I282" i="56"/>
  <c r="A299" i="56"/>
  <c r="C38" i="58" l="1"/>
  <c r="B39" i="58"/>
  <c r="K222" i="56"/>
  <c r="K77" i="56"/>
  <c r="K296" i="56"/>
  <c r="D38" i="58" l="1"/>
  <c r="C39" i="58"/>
  <c r="B40" i="58"/>
  <c r="B46" i="58"/>
  <c r="B47" i="58" s="1"/>
  <c r="B48" i="58" s="1"/>
  <c r="B49" i="58" s="1"/>
  <c r="AB79" i="26"/>
  <c r="AB80" i="26"/>
  <c r="AB72" i="26"/>
  <c r="AB81" i="26"/>
  <c r="AB82" i="26"/>
  <c r="AB74" i="26"/>
  <c r="AB83" i="26"/>
  <c r="AB84" i="26"/>
  <c r="AB85" i="26"/>
  <c r="AB86" i="26"/>
  <c r="AB87" i="26"/>
  <c r="C40" i="58" l="1"/>
  <c r="C46" i="58"/>
  <c r="C47" i="58" s="1"/>
  <c r="C48" i="58" s="1"/>
  <c r="C49" i="58" s="1"/>
  <c r="D39" i="58"/>
  <c r="E38" i="58"/>
  <c r="E39" i="58" l="1"/>
  <c r="F38" i="58"/>
  <c r="F39" i="58" s="1"/>
  <c r="D46" i="58"/>
  <c r="D47" i="58" s="1"/>
  <c r="D48" i="58" s="1"/>
  <c r="D49" i="58" s="1"/>
  <c r="D40" i="58"/>
  <c r="A6" i="6"/>
  <c r="E40" i="58" l="1"/>
  <c r="E46" i="58"/>
  <c r="E47" i="58" s="1"/>
  <c r="E48" i="58" s="1"/>
  <c r="E49" i="58" s="1"/>
  <c r="F46" i="58"/>
  <c r="F47" i="58" s="1"/>
  <c r="F48" i="58" s="1"/>
  <c r="F49" i="58" s="1"/>
  <c r="F40" i="58"/>
  <c r="A13" i="6"/>
  <c r="A8" i="6"/>
  <c r="A14" i="6"/>
  <c r="A7" i="6"/>
  <c r="A9" i="6"/>
  <c r="A12" i="6"/>
  <c r="A16" i="6"/>
  <c r="A15" i="6"/>
  <c r="A17" i="6"/>
  <c r="A10" i="6"/>
  <c r="A11" i="6"/>
  <c r="H47" i="58" l="1"/>
  <c r="H48" i="58" s="1"/>
  <c r="H50" i="58" s="1"/>
  <c r="B50" i="58" s="1"/>
  <c r="B51" i="58" s="1"/>
  <c r="B52" i="58" s="1"/>
  <c r="C50" i="58" l="1"/>
  <c r="C51" i="58" s="1"/>
  <c r="C52" i="58" s="1"/>
  <c r="D50" i="58"/>
  <c r="AB66" i="26"/>
  <c r="AB77" i="26"/>
  <c r="AB73" i="26"/>
  <c r="AB78" i="26"/>
  <c r="D51" i="58" l="1"/>
  <c r="D52" i="58" s="1"/>
  <c r="E50" i="58"/>
  <c r="E51" i="58" l="1"/>
  <c r="E52" i="58" s="1"/>
  <c r="F50" i="58"/>
  <c r="F51" i="58" s="1"/>
  <c r="F52" i="58" s="1"/>
  <c r="AD56" i="27" l="1"/>
  <c r="AD57" i="27"/>
  <c r="AD58" i="27"/>
  <c r="AD59" i="27"/>
  <c r="AD60" i="27"/>
  <c r="AD61" i="27"/>
  <c r="AD62" i="27"/>
  <c r="AD63" i="27"/>
  <c r="AD55" i="27"/>
  <c r="AB67" i="26" l="1"/>
  <c r="AB76" i="26"/>
  <c r="AB70" i="26"/>
  <c r="AB71" i="26" l="1"/>
  <c r="AB65" i="26"/>
  <c r="AU59" i="14" l="1"/>
  <c r="AU61" i="14" s="1"/>
  <c r="AU64" i="14"/>
  <c r="AU66" i="14" s="1"/>
  <c r="AW59" i="14"/>
  <c r="AW61" i="14" s="1"/>
  <c r="AW64" i="14"/>
  <c r="AW66" i="14" s="1"/>
  <c r="AO64" i="14"/>
  <c r="AO66" i="14" s="1"/>
  <c r="AO59" i="14"/>
  <c r="AO61" i="14" s="1"/>
  <c r="AL64" i="14"/>
  <c r="AL66" i="14" s="1"/>
  <c r="AN59" i="14"/>
  <c r="AN61" i="14" s="1"/>
  <c r="AM64" i="14"/>
  <c r="AM66" i="14" s="1"/>
  <c r="AL59" i="14"/>
  <c r="AL61" i="14" s="1"/>
  <c r="AP59" i="14"/>
  <c r="AP61" i="14" s="1"/>
  <c r="AP64" i="14"/>
  <c r="AP66" i="14" s="1"/>
  <c r="AN64" i="14"/>
  <c r="AN66" i="14" s="1"/>
  <c r="AM59" i="14"/>
  <c r="AM61" i="14" s="1"/>
  <c r="AV59" i="14"/>
  <c r="AV61" i="14" s="1"/>
  <c r="AV64" i="14"/>
  <c r="AV66" i="14" s="1"/>
  <c r="AS59" i="14"/>
  <c r="AS61" i="14" s="1"/>
  <c r="AT59" i="14"/>
  <c r="AT61" i="14" s="1"/>
  <c r="AS64" i="14"/>
  <c r="AS66" i="14" s="1"/>
  <c r="AT64" i="14"/>
  <c r="AT66" i="14" s="1"/>
  <c r="AR64" i="14"/>
  <c r="AR66" i="14" s="1"/>
  <c r="AR59" i="14"/>
  <c r="AR61" i="14" s="1"/>
  <c r="AQ64" i="14"/>
  <c r="AQ66" i="14" s="1"/>
  <c r="J59" i="14"/>
  <c r="K64" i="14"/>
  <c r="W64" i="14"/>
  <c r="AE64" i="14"/>
  <c r="AE66" i="14" s="1"/>
  <c r="L59" i="14"/>
  <c r="O59" i="14"/>
  <c r="Q59" i="14"/>
  <c r="N59" i="14"/>
  <c r="L64" i="14"/>
  <c r="R59" i="14"/>
  <c r="R61" i="14" s="1"/>
  <c r="F64" i="14"/>
  <c r="V59" i="14"/>
  <c r="AK64" i="14"/>
  <c r="AK66" i="14" s="1"/>
  <c r="AC64" i="14"/>
  <c r="O64" i="14"/>
  <c r="AJ59" i="14"/>
  <c r="AJ61" i="14" s="1"/>
  <c r="AG59" i="14"/>
  <c r="AG61" i="14" s="1"/>
  <c r="D64" i="14"/>
  <c r="AD64" i="14"/>
  <c r="AD66" i="14" s="1"/>
  <c r="AD59" i="14"/>
  <c r="AD61" i="14" s="1"/>
  <c r="F59" i="14"/>
  <c r="R64" i="14"/>
  <c r="R66" i="14" s="1"/>
  <c r="T59" i="14"/>
  <c r="AG64" i="14"/>
  <c r="AG66" i="14" s="1"/>
  <c r="AH64" i="14"/>
  <c r="AH66" i="14" s="1"/>
  <c r="I59" i="14"/>
  <c r="G64" i="14"/>
  <c r="AC59" i="14"/>
  <c r="T64" i="14"/>
  <c r="U64" i="14"/>
  <c r="AA64" i="14"/>
  <c r="W59" i="14"/>
  <c r="AB59" i="14"/>
  <c r="AB61" i="14" s="1"/>
  <c r="AA59" i="14"/>
  <c r="AH59" i="14"/>
  <c r="AH61" i="14" s="1"/>
  <c r="I64" i="14"/>
  <c r="Y59" i="14"/>
  <c r="AB64" i="14"/>
  <c r="AB66" i="14" s="1"/>
  <c r="Z59" i="14"/>
  <c r="M59" i="14"/>
  <c r="AK59" i="14"/>
  <c r="AK61" i="14" s="1"/>
  <c r="AE59" i="14"/>
  <c r="AE61" i="14" s="1"/>
  <c r="AF64" i="14"/>
  <c r="AF66" i="14" s="1"/>
  <c r="U59" i="14"/>
  <c r="Q64" i="14"/>
  <c r="AF59" i="14"/>
  <c r="AF61" i="14" s="1"/>
  <c r="S64" i="14"/>
  <c r="H64" i="14"/>
  <c r="K59" i="14"/>
  <c r="M64" i="14"/>
  <c r="S59" i="14"/>
  <c r="Z64" i="14"/>
  <c r="J64" i="14"/>
  <c r="E59" i="14"/>
  <c r="V64" i="14"/>
  <c r="P64" i="14"/>
  <c r="H59" i="14"/>
  <c r="X59" i="14"/>
  <c r="AI64" i="14"/>
  <c r="AI66" i="14" s="1"/>
  <c r="AI59" i="14"/>
  <c r="AI61" i="14" s="1"/>
  <c r="X64" i="14"/>
  <c r="Y64" i="14"/>
  <c r="N64" i="14"/>
  <c r="G59" i="14"/>
  <c r="P59" i="14"/>
  <c r="D59" i="14"/>
  <c r="E64" i="14"/>
  <c r="AQ59" i="14"/>
  <c r="AQ61" i="14" s="1"/>
  <c r="AJ64" i="14"/>
  <c r="AJ66" i="14" s="1"/>
  <c r="L110" i="13" l="1"/>
  <c r="M99" i="13"/>
  <c r="M110" i="13"/>
  <c r="L118" i="13"/>
  <c r="L99" i="13"/>
  <c r="M121" i="13"/>
  <c r="L121" i="13"/>
  <c r="L119" i="13"/>
  <c r="M118" i="13"/>
  <c r="M119" i="13"/>
  <c r="L101" i="13"/>
  <c r="L120" i="13"/>
  <c r="M120" i="13"/>
  <c r="M101" i="13"/>
  <c r="L116" i="13"/>
  <c r="M116" i="13"/>
  <c r="M117" i="13"/>
  <c r="L117" i="13"/>
  <c r="L114" i="13"/>
  <c r="L108" i="13"/>
  <c r="L111" i="13"/>
  <c r="M112" i="13"/>
  <c r="L113" i="13"/>
  <c r="L107" i="13"/>
  <c r="L112" i="13"/>
  <c r="M107" i="13"/>
  <c r="M109" i="13"/>
  <c r="M108" i="13"/>
  <c r="M115" i="13"/>
  <c r="M114" i="13"/>
  <c r="M111" i="13"/>
  <c r="M113" i="13"/>
  <c r="L115" i="13"/>
  <c r="L109" i="13"/>
  <c r="L103" i="13"/>
  <c r="M103" i="13"/>
  <c r="F131" i="17" l="1"/>
  <c r="G116" i="17"/>
  <c r="G131" i="17"/>
  <c r="G19" i="17"/>
  <c r="G52" i="17"/>
  <c r="G20" i="17"/>
  <c r="G53" i="17"/>
  <c r="F15" i="17"/>
  <c r="F48" i="17"/>
  <c r="F53" i="17"/>
  <c r="F20" i="17"/>
  <c r="G15" i="17"/>
  <c r="G48" i="17"/>
  <c r="G17" i="17"/>
  <c r="G50" i="17"/>
  <c r="F11" i="17"/>
  <c r="F44" i="17"/>
  <c r="G54" i="17"/>
  <c r="G21" i="17"/>
  <c r="F17" i="17"/>
  <c r="F50" i="17"/>
  <c r="G44" i="17"/>
  <c r="G11" i="17"/>
  <c r="F54" i="17"/>
  <c r="F21" i="17"/>
  <c r="F45" i="17"/>
  <c r="F12" i="17"/>
  <c r="G46" i="17"/>
  <c r="G13" i="17"/>
  <c r="G45" i="17"/>
  <c r="G12" i="17"/>
  <c r="F13" i="17"/>
  <c r="F46" i="17"/>
  <c r="F51" i="17"/>
  <c r="F18" i="17"/>
  <c r="F86" i="17"/>
  <c r="F43" i="17"/>
  <c r="F10" i="17"/>
  <c r="F55" i="17"/>
  <c r="F22" i="17"/>
  <c r="F19" i="17"/>
  <c r="F52" i="17"/>
  <c r="F49" i="17"/>
  <c r="F16" i="17"/>
  <c r="G18" i="17"/>
  <c r="G51" i="17"/>
  <c r="G86" i="17"/>
  <c r="G10" i="17"/>
  <c r="G43" i="17"/>
  <c r="G55" i="17"/>
  <c r="G22" i="17"/>
  <c r="G101" i="17"/>
  <c r="F47" i="17"/>
  <c r="F14" i="17"/>
  <c r="F116" i="17"/>
  <c r="F101" i="17"/>
  <c r="G14" i="17"/>
  <c r="G47" i="17"/>
  <c r="G49" i="17"/>
  <c r="G16" i="17"/>
  <c r="F38" i="17" l="1"/>
  <c r="G32" i="17"/>
  <c r="G37" i="17"/>
  <c r="F26" i="17"/>
  <c r="F30" i="17"/>
  <c r="F34" i="17"/>
  <c r="G27" i="17"/>
  <c r="G33" i="17"/>
  <c r="F28" i="17"/>
  <c r="G26" i="17"/>
  <c r="F31" i="17"/>
  <c r="F37" i="17"/>
  <c r="G35" i="17"/>
  <c r="F35" i="17"/>
  <c r="F56" i="17"/>
  <c r="M75" i="16" s="1"/>
  <c r="F27" i="17"/>
  <c r="F29" i="17"/>
  <c r="G31" i="17"/>
  <c r="G38" i="17"/>
  <c r="G28" i="17"/>
  <c r="F36" i="17"/>
  <c r="G30" i="17"/>
  <c r="G56" i="17"/>
  <c r="M76" i="16" s="1"/>
  <c r="G29" i="17"/>
  <c r="F33" i="17"/>
  <c r="G34" i="17"/>
  <c r="G36" i="17"/>
  <c r="F32" i="17"/>
  <c r="D316" i="56"/>
  <c r="Y66" i="14"/>
  <c r="U66" i="14"/>
  <c r="AC66" i="14"/>
  <c r="X66" i="14"/>
  <c r="AA61" i="14"/>
  <c r="AA66" i="14"/>
  <c r="Z66" i="14"/>
  <c r="T66" i="14"/>
  <c r="V66" i="14"/>
  <c r="W66" i="14"/>
  <c r="Q90" i="17" l="1"/>
  <c r="E10" i="17"/>
  <c r="D194" i="56"/>
  <c r="Q108" i="17"/>
  <c r="M98" i="13"/>
  <c r="M100" i="13"/>
  <c r="Q123" i="17"/>
  <c r="Q75" i="17"/>
  <c r="Q115" i="17"/>
  <c r="Q93" i="17"/>
  <c r="Q121" i="17"/>
  <c r="Q127" i="17"/>
  <c r="Q109" i="17"/>
  <c r="Q79" i="17"/>
  <c r="Q96" i="17"/>
  <c r="Q113" i="17"/>
  <c r="Q88" i="17"/>
  <c r="Q125" i="17"/>
  <c r="Q97" i="17"/>
  <c r="Q85" i="17"/>
  <c r="Q100" i="17"/>
  <c r="Q114" i="17"/>
  <c r="Q107" i="17"/>
  <c r="Q126" i="17"/>
  <c r="Q104" i="17"/>
  <c r="Q128" i="17"/>
  <c r="Q118" i="17"/>
  <c r="Q124" i="17"/>
  <c r="Q122" i="17"/>
  <c r="Q130" i="17"/>
  <c r="Q129" i="17"/>
  <c r="Q111" i="17"/>
  <c r="Q103" i="17"/>
  <c r="Q120" i="17"/>
  <c r="Q119" i="17"/>
  <c r="Q110" i="17"/>
  <c r="Q106" i="17"/>
  <c r="Q105" i="17"/>
  <c r="Q112" i="17"/>
  <c r="Q98" i="17"/>
  <c r="Q94" i="17"/>
  <c r="Q91" i="17"/>
  <c r="Q99" i="17"/>
  <c r="Q74" i="17"/>
  <c r="Q92" i="17"/>
  <c r="Q89" i="17"/>
  <c r="Q95" i="17"/>
  <c r="Q80" i="17"/>
  <c r="Q78" i="17"/>
  <c r="Q77" i="17"/>
  <c r="Q81" i="17"/>
  <c r="Q83" i="17"/>
  <c r="Q73" i="17"/>
  <c r="Q76" i="17"/>
  <c r="Q84" i="17"/>
  <c r="Q82" i="17"/>
  <c r="M96" i="13"/>
  <c r="M97" i="13"/>
  <c r="M93" i="13"/>
  <c r="M106" i="13"/>
  <c r="M105" i="13"/>
  <c r="M102" i="13"/>
  <c r="M104" i="13"/>
  <c r="D45" i="17"/>
  <c r="D50" i="17"/>
  <c r="M94" i="13"/>
  <c r="M95" i="13"/>
  <c r="E12" i="17"/>
  <c r="C18" i="11" l="1"/>
  <c r="E18" i="11"/>
  <c r="H18" i="11"/>
  <c r="F18" i="11"/>
  <c r="D18" i="11"/>
  <c r="I17" i="5"/>
  <c r="Q116" i="17"/>
  <c r="Q131" i="17"/>
  <c r="Q101" i="17"/>
  <c r="Q86" i="17"/>
  <c r="M27" i="49" s="1"/>
  <c r="J18" i="11"/>
  <c r="D18" i="17"/>
  <c r="D49" i="17"/>
  <c r="E54" i="17"/>
  <c r="E15" i="17"/>
  <c r="E21" i="17"/>
  <c r="E11" i="17"/>
  <c r="D19" i="17"/>
  <c r="D22" i="17"/>
  <c r="E47" i="17"/>
  <c r="E53" i="17"/>
  <c r="E45" i="17"/>
  <c r="E28" i="17" s="1"/>
  <c r="D52" i="17"/>
  <c r="D54" i="17"/>
  <c r="D11" i="17"/>
  <c r="E44" i="17"/>
  <c r="D17" i="17"/>
  <c r="D33" i="17" s="1"/>
  <c r="E18" i="17"/>
  <c r="D20" i="17"/>
  <c r="E14" i="17"/>
  <c r="E48" i="17"/>
  <c r="D43" i="17"/>
  <c r="D53" i="17"/>
  <c r="E51" i="17"/>
  <c r="E19" i="17"/>
  <c r="D131" i="17"/>
  <c r="E55" i="17"/>
  <c r="D16" i="17"/>
  <c r="D44" i="17"/>
  <c r="E22" i="17"/>
  <c r="E116" i="17"/>
  <c r="E43" i="17"/>
  <c r="E50" i="17"/>
  <c r="D21" i="17"/>
  <c r="D12" i="17"/>
  <c r="D28" i="17" s="1"/>
  <c r="E16" i="17"/>
  <c r="D116" i="17"/>
  <c r="E49" i="17"/>
  <c r="E20" i="17"/>
  <c r="E86" i="17"/>
  <c r="D10" i="17"/>
  <c r="E17" i="17"/>
  <c r="D51" i="17"/>
  <c r="D55" i="17"/>
  <c r="D13" i="17"/>
  <c r="D86" i="17"/>
  <c r="D47" i="17"/>
  <c r="D14" i="17"/>
  <c r="E46" i="17"/>
  <c r="E13" i="17"/>
  <c r="E131" i="17"/>
  <c r="D15" i="17"/>
  <c r="D48" i="17"/>
  <c r="E101" i="17"/>
  <c r="D101" i="17"/>
  <c r="E52" i="17"/>
  <c r="D46" i="17"/>
  <c r="I284" i="56" l="1"/>
  <c r="I239" i="56"/>
  <c r="C44" i="12"/>
  <c r="C43" i="12"/>
  <c r="C46" i="12"/>
  <c r="C45" i="12"/>
  <c r="C42" i="12"/>
  <c r="D172" i="56"/>
  <c r="C40" i="12"/>
  <c r="C41" i="12"/>
  <c r="D32" i="17"/>
  <c r="E34" i="17"/>
  <c r="E27" i="17"/>
  <c r="E31" i="17"/>
  <c r="D34" i="17"/>
  <c r="E26" i="17"/>
  <c r="D35" i="17"/>
  <c r="E37" i="17"/>
  <c r="E36" i="17"/>
  <c r="D38" i="17"/>
  <c r="E30" i="17"/>
  <c r="D27" i="17"/>
  <c r="E38" i="17"/>
  <c r="E33" i="17"/>
  <c r="D36" i="17"/>
  <c r="E35" i="17"/>
  <c r="D37" i="17"/>
  <c r="D26" i="17"/>
  <c r="D29" i="17"/>
  <c r="E32" i="17"/>
  <c r="D31" i="17"/>
  <c r="D30" i="17"/>
  <c r="E29" i="17"/>
  <c r="C37" i="12"/>
  <c r="C38" i="12"/>
  <c r="C39" i="12"/>
  <c r="B62" i="12"/>
  <c r="D54" i="12"/>
  <c r="C36" i="12"/>
  <c r="D14" i="56" l="1"/>
  <c r="G15" i="22"/>
  <c r="J28" i="49"/>
  <c r="O28" i="49"/>
  <c r="J29" i="49"/>
  <c r="O29" i="49"/>
  <c r="J30" i="49"/>
  <c r="O30" i="49"/>
  <c r="J31" i="49"/>
  <c r="O31" i="49"/>
  <c r="J32" i="49"/>
  <c r="O32" i="49"/>
  <c r="I33" i="49"/>
  <c r="N33" i="49"/>
  <c r="Q33" i="49"/>
  <c r="R31" i="49" l="1"/>
  <c r="R32" i="49"/>
  <c r="R30" i="49"/>
  <c r="R28" i="49"/>
  <c r="R29" i="49"/>
  <c r="C35" i="12" l="1"/>
  <c r="AJ56" i="27" l="1"/>
  <c r="AJ57" i="27"/>
  <c r="AJ58" i="27"/>
  <c r="AJ59" i="27"/>
  <c r="AJ60" i="27"/>
  <c r="AJ61" i="27"/>
  <c r="AJ62" i="27"/>
  <c r="AJ63" i="27"/>
  <c r="AJ55" i="27"/>
  <c r="AB48" i="26" l="1"/>
  <c r="AB49" i="26"/>
  <c r="AB50" i="26"/>
  <c r="AB51" i="26"/>
  <c r="AB52" i="26"/>
  <c r="AB54" i="26"/>
  <c r="AB53" i="26"/>
  <c r="AB55" i="26"/>
  <c r="AB56" i="26"/>
  <c r="AB57" i="26"/>
  <c r="AB58" i="26"/>
  <c r="AB59" i="26"/>
  <c r="AB60" i="26"/>
  <c r="AB61" i="26"/>
  <c r="AB62" i="26"/>
  <c r="AB63" i="26"/>
  <c r="AB64" i="26"/>
  <c r="AB68" i="26"/>
  <c r="AB69" i="26"/>
  <c r="AB75" i="26"/>
  <c r="AB47" i="26"/>
  <c r="S66" i="14" l="1"/>
  <c r="Q66" i="14"/>
  <c r="P66" i="14"/>
  <c r="O66" i="14"/>
  <c r="N66" i="14"/>
  <c r="M92" i="13" l="1"/>
  <c r="M86" i="13"/>
  <c r="M88" i="13"/>
  <c r="M89" i="13"/>
  <c r="M90" i="13"/>
  <c r="M87" i="13"/>
  <c r="M91" i="13"/>
  <c r="C32" i="12" l="1"/>
  <c r="AB19" i="27"/>
  <c r="AB25" i="27" s="1"/>
  <c r="D5" i="41" l="1"/>
  <c r="C5" i="41"/>
  <c r="B5" i="41"/>
  <c r="E5" i="41"/>
  <c r="D19" i="41"/>
  <c r="C16" i="41"/>
  <c r="O7" i="17" l="1"/>
  <c r="N7" i="17"/>
  <c r="M7" i="17"/>
  <c r="L7" i="17"/>
  <c r="K7" i="17"/>
  <c r="J7" i="17"/>
  <c r="I7" i="17"/>
  <c r="H7" i="17"/>
  <c r="G7" i="17"/>
  <c r="F7" i="17"/>
  <c r="E7" i="17"/>
  <c r="D7" i="17"/>
  <c r="I30" i="56" l="1"/>
  <c r="F43" i="26"/>
  <c r="AH65" i="27"/>
  <c r="AG65" i="27"/>
  <c r="AD65" i="27"/>
  <c r="W65" i="27"/>
  <c r="P65" i="27"/>
  <c r="T50" i="27" s="1"/>
  <c r="N65" i="27"/>
  <c r="M65" i="27"/>
  <c r="J65" i="27"/>
  <c r="C65" i="27"/>
  <c r="D63" i="27"/>
  <c r="D62" i="27"/>
  <c r="D61" i="27"/>
  <c r="D60" i="27"/>
  <c r="D59" i="27"/>
  <c r="D58" i="27"/>
  <c r="AO53" i="27"/>
  <c r="AB34" i="27"/>
  <c r="AI34" i="27" s="1"/>
  <c r="H34" i="27"/>
  <c r="O34" i="27" s="1"/>
  <c r="AB30" i="27"/>
  <c r="AI30" i="27" s="1"/>
  <c r="H30" i="27"/>
  <c r="O30" i="27" s="1"/>
  <c r="AB21" i="27"/>
  <c r="AI21" i="27" s="1"/>
  <c r="Y49" i="27" s="1"/>
  <c r="O21" i="27"/>
  <c r="E49" i="27" s="1"/>
  <c r="AB11" i="27"/>
  <c r="AB40" i="27" s="1"/>
  <c r="AI40" i="27" s="1"/>
  <c r="H11" i="27"/>
  <c r="H44" i="27" s="1"/>
  <c r="O44" i="27" s="1"/>
  <c r="AB97" i="26"/>
  <c r="L97" i="26"/>
  <c r="P42" i="26" s="1"/>
  <c r="P43" i="26" s="1"/>
  <c r="AG45" i="26"/>
  <c r="S40" i="26"/>
  <c r="V34" i="26"/>
  <c r="AB34" i="26" s="1"/>
  <c r="F34" i="26"/>
  <c r="L34" i="26" s="1"/>
  <c r="V30" i="26"/>
  <c r="AB30" i="26" s="1"/>
  <c r="F30" i="26"/>
  <c r="L30" i="26" s="1"/>
  <c r="V24" i="26"/>
  <c r="AB24" i="26" s="1"/>
  <c r="F24" i="26"/>
  <c r="L24" i="26" s="1"/>
  <c r="V20" i="26"/>
  <c r="AB20" i="26" s="1"/>
  <c r="F20" i="26"/>
  <c r="L20" i="26" s="1"/>
  <c r="V15" i="26"/>
  <c r="V16" i="26" s="1"/>
  <c r="AB16" i="26" s="1"/>
  <c r="F15" i="26"/>
  <c r="F16" i="26" s="1"/>
  <c r="L16" i="26" s="1"/>
  <c r="T27" i="49" l="1"/>
  <c r="G105" i="20"/>
  <c r="G141" i="20"/>
  <c r="G123" i="20"/>
  <c r="G132" i="20"/>
  <c r="G114" i="20"/>
  <c r="AC61" i="14"/>
  <c r="Z61" i="14"/>
  <c r="Y61" i="27"/>
  <c r="Y57" i="27"/>
  <c r="Y60" i="27"/>
  <c r="Y56" i="27"/>
  <c r="Y58" i="27"/>
  <c r="Y63" i="27"/>
  <c r="Y59" i="27"/>
  <c r="Y55" i="27"/>
  <c r="Z55" i="27" s="1"/>
  <c r="Y62" i="27"/>
  <c r="E63" i="27"/>
  <c r="E59" i="27"/>
  <c r="E55" i="27"/>
  <c r="F55" i="27" s="1"/>
  <c r="E57" i="27"/>
  <c r="E62" i="27"/>
  <c r="E58" i="27"/>
  <c r="E61" i="27"/>
  <c r="E56" i="27"/>
  <c r="E60" i="27"/>
  <c r="T51" i="27"/>
  <c r="W48" i="27"/>
  <c r="AM48" i="27"/>
  <c r="AB44" i="27"/>
  <c r="AI44" i="27" s="1"/>
  <c r="AI46" i="27" s="1"/>
  <c r="AE49" i="27" s="1"/>
  <c r="H40" i="27"/>
  <c r="O40" i="27" s="1"/>
  <c r="O46" i="27" s="1"/>
  <c r="K49" i="27" s="1"/>
  <c r="C43" i="26"/>
  <c r="AE40" i="26"/>
  <c r="C40" i="26"/>
  <c r="B2" i="27"/>
  <c r="C48" i="27"/>
  <c r="L36" i="26"/>
  <c r="G43" i="26" s="1"/>
  <c r="D65" i="27"/>
  <c r="AB36" i="26"/>
  <c r="W43" i="26" s="1"/>
  <c r="H26" i="27"/>
  <c r="H36" i="27" s="1"/>
  <c r="AJ65" i="27"/>
  <c r="AB26" i="27"/>
  <c r="AB36" i="27" s="1"/>
  <c r="X65" i="27"/>
  <c r="AB26" i="26"/>
  <c r="T43" i="26" s="1"/>
  <c r="L26" i="26"/>
  <c r="D43" i="26" s="1"/>
  <c r="G10" i="20" l="1"/>
  <c r="G93" i="20" s="1"/>
  <c r="D94" i="26"/>
  <c r="E94" i="26" s="1"/>
  <c r="D93" i="26"/>
  <c r="E93" i="26" s="1"/>
  <c r="D92" i="26"/>
  <c r="E92" i="26" s="1"/>
  <c r="G94" i="26"/>
  <c r="H94" i="26" s="1"/>
  <c r="G93" i="26"/>
  <c r="H93" i="26" s="1"/>
  <c r="G92" i="26"/>
  <c r="H92" i="26" s="1"/>
  <c r="W94" i="26"/>
  <c r="X94" i="26" s="1"/>
  <c r="W93" i="26"/>
  <c r="X93" i="26" s="1"/>
  <c r="W92" i="26"/>
  <c r="X92" i="26" s="1"/>
  <c r="T94" i="26"/>
  <c r="U94" i="26" s="1"/>
  <c r="T93" i="26"/>
  <c r="U93" i="26" s="1"/>
  <c r="T92" i="26"/>
  <c r="U92" i="26" s="1"/>
  <c r="D91" i="26"/>
  <c r="E91" i="26" s="1"/>
  <c r="W91" i="26"/>
  <c r="X91" i="26" s="1"/>
  <c r="T91" i="26"/>
  <c r="U91" i="26" s="1"/>
  <c r="G91" i="26"/>
  <c r="H91" i="26" s="1"/>
  <c r="W88" i="26"/>
  <c r="X88" i="26" s="1"/>
  <c r="W89" i="26"/>
  <c r="X89" i="26" s="1"/>
  <c r="W90" i="26"/>
  <c r="X90" i="26" s="1"/>
  <c r="G88" i="26"/>
  <c r="H88" i="26" s="1"/>
  <c r="G89" i="26"/>
  <c r="H89" i="26" s="1"/>
  <c r="G90" i="26"/>
  <c r="H90" i="26" s="1"/>
  <c r="T88" i="26"/>
  <c r="U88" i="26" s="1"/>
  <c r="T89" i="26"/>
  <c r="U89" i="26" s="1"/>
  <c r="T90" i="26"/>
  <c r="U90" i="26" s="1"/>
  <c r="D88" i="26"/>
  <c r="E88" i="26" s="1"/>
  <c r="D89" i="26"/>
  <c r="E89" i="26" s="1"/>
  <c r="D90" i="26"/>
  <c r="E90" i="26" s="1"/>
  <c r="W79" i="26"/>
  <c r="X79" i="26" s="1"/>
  <c r="W82" i="26"/>
  <c r="X82" i="26" s="1"/>
  <c r="W84" i="26"/>
  <c r="X84" i="26" s="1"/>
  <c r="W80" i="26"/>
  <c r="X80" i="26" s="1"/>
  <c r="W74" i="26"/>
  <c r="X74" i="26" s="1"/>
  <c r="W85" i="26"/>
  <c r="X85" i="26" s="1"/>
  <c r="W72" i="26"/>
  <c r="X72" i="26" s="1"/>
  <c r="W83" i="26"/>
  <c r="X83" i="26" s="1"/>
  <c r="W86" i="26"/>
  <c r="X86" i="26" s="1"/>
  <c r="W81" i="26"/>
  <c r="X81" i="26" s="1"/>
  <c r="W87" i="26"/>
  <c r="X87" i="26" s="1"/>
  <c r="T79" i="26"/>
  <c r="U79" i="26" s="1"/>
  <c r="T81" i="26"/>
  <c r="U81" i="26" s="1"/>
  <c r="T74" i="26"/>
  <c r="U74" i="26" s="1"/>
  <c r="T86" i="26"/>
  <c r="U86" i="26" s="1"/>
  <c r="T84" i="26"/>
  <c r="U84" i="26" s="1"/>
  <c r="T80" i="26"/>
  <c r="U80" i="26" s="1"/>
  <c r="T87" i="26"/>
  <c r="U87" i="26" s="1"/>
  <c r="T82" i="26"/>
  <c r="U82" i="26" s="1"/>
  <c r="T72" i="26"/>
  <c r="U72" i="26" s="1"/>
  <c r="T83" i="26"/>
  <c r="U83" i="26" s="1"/>
  <c r="T85" i="26"/>
  <c r="U85" i="26" s="1"/>
  <c r="G79" i="26"/>
  <c r="H79" i="26" s="1"/>
  <c r="G86" i="26"/>
  <c r="H86" i="26" s="1"/>
  <c r="G74" i="26"/>
  <c r="H74" i="26" s="1"/>
  <c r="G85" i="26"/>
  <c r="H85" i="26" s="1"/>
  <c r="G72" i="26"/>
  <c r="H72" i="26" s="1"/>
  <c r="G87" i="26"/>
  <c r="H87" i="26" s="1"/>
  <c r="G82" i="26"/>
  <c r="H82" i="26" s="1"/>
  <c r="G84" i="26"/>
  <c r="H84" i="26" s="1"/>
  <c r="G80" i="26"/>
  <c r="H80" i="26" s="1"/>
  <c r="G81" i="26"/>
  <c r="H81" i="26" s="1"/>
  <c r="G83" i="26"/>
  <c r="H83" i="26" s="1"/>
  <c r="D79" i="26"/>
  <c r="E79" i="26" s="1"/>
  <c r="D82" i="26"/>
  <c r="E82" i="26" s="1"/>
  <c r="D87" i="26"/>
  <c r="E87" i="26" s="1"/>
  <c r="D81" i="26"/>
  <c r="E81" i="26" s="1"/>
  <c r="D86" i="26"/>
  <c r="E86" i="26" s="1"/>
  <c r="D85" i="26"/>
  <c r="E85" i="26" s="1"/>
  <c r="D72" i="26"/>
  <c r="E72" i="26" s="1"/>
  <c r="D84" i="26"/>
  <c r="E84" i="26" s="1"/>
  <c r="D83" i="26"/>
  <c r="E83" i="26" s="1"/>
  <c r="D80" i="26"/>
  <c r="E80" i="26" s="1"/>
  <c r="D74" i="26"/>
  <c r="E74" i="26" s="1"/>
  <c r="L105" i="13"/>
  <c r="L104" i="13"/>
  <c r="L100" i="13"/>
  <c r="L98" i="13"/>
  <c r="W77" i="26"/>
  <c r="X77" i="26" s="1"/>
  <c r="W73" i="26"/>
  <c r="X73" i="26" s="1"/>
  <c r="W66" i="26"/>
  <c r="X66" i="26" s="1"/>
  <c r="W78" i="26"/>
  <c r="X78" i="26" s="1"/>
  <c r="G77" i="26"/>
  <c r="H77" i="26" s="1"/>
  <c r="G66" i="26"/>
  <c r="H66" i="26" s="1"/>
  <c r="G73" i="26"/>
  <c r="H73" i="26" s="1"/>
  <c r="G78" i="26"/>
  <c r="H78" i="26" s="1"/>
  <c r="D66" i="26"/>
  <c r="E66" i="26" s="1"/>
  <c r="D78" i="26"/>
  <c r="E78" i="26" s="1"/>
  <c r="D77" i="26"/>
  <c r="E77" i="26" s="1"/>
  <c r="D73" i="26"/>
  <c r="E73" i="26" s="1"/>
  <c r="T66" i="26"/>
  <c r="U66" i="26" s="1"/>
  <c r="T73" i="26"/>
  <c r="U73" i="26" s="1"/>
  <c r="T77" i="26"/>
  <c r="U77" i="26" s="1"/>
  <c r="T78" i="26"/>
  <c r="U78" i="26" s="1"/>
  <c r="D67" i="26"/>
  <c r="E67" i="26" s="1"/>
  <c r="D76" i="26"/>
  <c r="E76" i="26" s="1"/>
  <c r="D71" i="26"/>
  <c r="E71" i="26" s="1"/>
  <c r="D65" i="26"/>
  <c r="E65" i="26" s="1"/>
  <c r="G67" i="26"/>
  <c r="H67" i="26" s="1"/>
  <c r="G76" i="26"/>
  <c r="H76" i="26" s="1"/>
  <c r="G71" i="26"/>
  <c r="H71" i="26" s="1"/>
  <c r="G65" i="26"/>
  <c r="H65" i="26" s="1"/>
  <c r="W76" i="26"/>
  <c r="X76" i="26" s="1"/>
  <c r="W67" i="26"/>
  <c r="X67" i="26" s="1"/>
  <c r="W70" i="26"/>
  <c r="X70" i="26" s="1"/>
  <c r="W71" i="26"/>
  <c r="X71" i="26" s="1"/>
  <c r="W65" i="26"/>
  <c r="X65" i="26" s="1"/>
  <c r="T70" i="26"/>
  <c r="U70" i="26" s="1"/>
  <c r="T67" i="26"/>
  <c r="U67" i="26" s="1"/>
  <c r="T76" i="26"/>
  <c r="U76" i="26" s="1"/>
  <c r="T65" i="26"/>
  <c r="U65" i="26" s="1"/>
  <c r="T71" i="26"/>
  <c r="U71" i="26" s="1"/>
  <c r="D68" i="26"/>
  <c r="D61" i="26"/>
  <c r="D57" i="26"/>
  <c r="D54" i="26"/>
  <c r="D49" i="26"/>
  <c r="D58" i="26"/>
  <c r="D50" i="26"/>
  <c r="D70" i="26"/>
  <c r="D64" i="26"/>
  <c r="D60" i="26"/>
  <c r="D56" i="26"/>
  <c r="D52" i="26"/>
  <c r="D48" i="26"/>
  <c r="D69" i="26"/>
  <c r="D53" i="26"/>
  <c r="D75" i="26"/>
  <c r="D63" i="26"/>
  <c r="D59" i="26"/>
  <c r="D55" i="26"/>
  <c r="D51" i="26"/>
  <c r="D47" i="26"/>
  <c r="E47" i="26" s="1"/>
  <c r="D62" i="26"/>
  <c r="G69" i="26"/>
  <c r="G62" i="26"/>
  <c r="G58" i="26"/>
  <c r="G53" i="26"/>
  <c r="G50" i="26"/>
  <c r="G75" i="26"/>
  <c r="G59" i="26"/>
  <c r="G47" i="26"/>
  <c r="H47" i="26" s="1"/>
  <c r="G68" i="26"/>
  <c r="G61" i="26"/>
  <c r="G57" i="26"/>
  <c r="G54" i="26"/>
  <c r="G49" i="26"/>
  <c r="G63" i="26"/>
  <c r="G51" i="26"/>
  <c r="G70" i="26"/>
  <c r="G64" i="26"/>
  <c r="G60" i="26"/>
  <c r="G56" i="26"/>
  <c r="G52" i="26"/>
  <c r="G48" i="26"/>
  <c r="G55" i="26"/>
  <c r="W64" i="26"/>
  <c r="W60" i="26"/>
  <c r="W56" i="26"/>
  <c r="W52" i="26"/>
  <c r="W48" i="26"/>
  <c r="X48" i="26" s="1"/>
  <c r="W61" i="26"/>
  <c r="W75" i="26"/>
  <c r="W63" i="26"/>
  <c r="W59" i="26"/>
  <c r="W55" i="26"/>
  <c r="W51" i="26"/>
  <c r="W47" i="26"/>
  <c r="X47" i="26" s="1"/>
  <c r="W68" i="26"/>
  <c r="W69" i="26"/>
  <c r="W62" i="26"/>
  <c r="W58" i="26"/>
  <c r="W53" i="26"/>
  <c r="W50" i="26"/>
  <c r="W57" i="26"/>
  <c r="W54" i="26"/>
  <c r="W49" i="26"/>
  <c r="T75" i="26"/>
  <c r="T63" i="26"/>
  <c r="T59" i="26"/>
  <c r="T55" i="26"/>
  <c r="T51" i="26"/>
  <c r="T47" i="26"/>
  <c r="U47" i="26" s="1"/>
  <c r="T64" i="26"/>
  <c r="T56" i="26"/>
  <c r="T69" i="26"/>
  <c r="T62" i="26"/>
  <c r="T58" i="26"/>
  <c r="T53" i="26"/>
  <c r="T50" i="26"/>
  <c r="T52" i="26"/>
  <c r="T68" i="26"/>
  <c r="T61" i="26"/>
  <c r="T57" i="26"/>
  <c r="T54" i="26"/>
  <c r="T49" i="26"/>
  <c r="T60" i="26"/>
  <c r="T48" i="26"/>
  <c r="U48" i="26" s="1"/>
  <c r="K60" i="27"/>
  <c r="K56" i="27"/>
  <c r="L56" i="27" s="1"/>
  <c r="K61" i="27"/>
  <c r="K63" i="27"/>
  <c r="K59" i="27"/>
  <c r="K55" i="27"/>
  <c r="L55" i="27" s="1"/>
  <c r="K62" i="27"/>
  <c r="K58" i="27"/>
  <c r="K57" i="27"/>
  <c r="AE63" i="27"/>
  <c r="AE59" i="27"/>
  <c r="AE55" i="27"/>
  <c r="AF55" i="27" s="1"/>
  <c r="AE60" i="27"/>
  <c r="AE62" i="27"/>
  <c r="AE58" i="27"/>
  <c r="AE56" i="27"/>
  <c r="AF56" i="27" s="1"/>
  <c r="AE61" i="27"/>
  <c r="AE57" i="27"/>
  <c r="O26" i="27"/>
  <c r="O36" i="27" s="1"/>
  <c r="G49" i="27" s="1"/>
  <c r="AI26" i="27"/>
  <c r="AI36" i="27" s="1"/>
  <c r="AA49" i="27" s="1"/>
  <c r="F56" i="27"/>
  <c r="Z56" i="27"/>
  <c r="K92" i="26" l="1"/>
  <c r="M92" i="26" s="1"/>
  <c r="K93" i="26"/>
  <c r="M93" i="26" s="1"/>
  <c r="K94" i="26"/>
  <c r="M94" i="26" s="1"/>
  <c r="AA92" i="26"/>
  <c r="AC92" i="26" s="1"/>
  <c r="AA94" i="26"/>
  <c r="AC94" i="26" s="1"/>
  <c r="AA91" i="26"/>
  <c r="AC91" i="26" s="1"/>
  <c r="AA93" i="26"/>
  <c r="AC93" i="26" s="1"/>
  <c r="K91" i="26"/>
  <c r="M91" i="26" s="1"/>
  <c r="K87" i="26"/>
  <c r="K90" i="26"/>
  <c r="AA85" i="26"/>
  <c r="AA89" i="26"/>
  <c r="K89" i="26"/>
  <c r="AA88" i="26"/>
  <c r="K88" i="26"/>
  <c r="AA90" i="26"/>
  <c r="AA84" i="26"/>
  <c r="AA80" i="26"/>
  <c r="AA82" i="26"/>
  <c r="K85" i="26"/>
  <c r="AA87" i="26"/>
  <c r="K74" i="26"/>
  <c r="K83" i="26"/>
  <c r="AA79" i="26"/>
  <c r="AA78" i="26"/>
  <c r="AA72" i="26"/>
  <c r="AA81" i="26"/>
  <c r="AA83" i="26"/>
  <c r="AA86" i="26"/>
  <c r="AA74" i="26"/>
  <c r="K86" i="26"/>
  <c r="K81" i="26"/>
  <c r="K82" i="26"/>
  <c r="K79" i="26"/>
  <c r="K84" i="26"/>
  <c r="K80" i="26"/>
  <c r="K73" i="26"/>
  <c r="K72" i="26"/>
  <c r="AA77" i="26"/>
  <c r="K66" i="26"/>
  <c r="K78" i="26"/>
  <c r="K77" i="26"/>
  <c r="AA73" i="26"/>
  <c r="AA66" i="26"/>
  <c r="AA65" i="26"/>
  <c r="AA76" i="26"/>
  <c r="AA71" i="26"/>
  <c r="K76" i="26"/>
  <c r="AA70" i="26"/>
  <c r="K71" i="26"/>
  <c r="K65" i="26"/>
  <c r="AA67" i="26"/>
  <c r="K67" i="26"/>
  <c r="K47" i="26"/>
  <c r="AA60" i="27"/>
  <c r="AA56" i="27"/>
  <c r="AB56" i="27" s="1"/>
  <c r="AC56" i="27" s="1"/>
  <c r="AA63" i="27"/>
  <c r="AA59" i="27"/>
  <c r="AA55" i="27"/>
  <c r="AB55" i="27" s="1"/>
  <c r="AC55" i="27" s="1"/>
  <c r="AI55" i="27" s="1"/>
  <c r="AA57" i="27"/>
  <c r="AA62" i="27"/>
  <c r="AA58" i="27"/>
  <c r="AA61" i="27"/>
  <c r="G62" i="27"/>
  <c r="G58" i="27"/>
  <c r="G63" i="27"/>
  <c r="G61" i="27"/>
  <c r="G57" i="27"/>
  <c r="G55" i="27"/>
  <c r="H55" i="27" s="1"/>
  <c r="I55" i="27" s="1"/>
  <c r="O55" i="27" s="1"/>
  <c r="G60" i="27"/>
  <c r="G56" i="27"/>
  <c r="H56" i="27" s="1"/>
  <c r="I56" i="27" s="1"/>
  <c r="O56" i="27" s="1"/>
  <c r="G59" i="27"/>
  <c r="H48" i="26"/>
  <c r="AA47" i="26"/>
  <c r="F57" i="27"/>
  <c r="L57" i="27"/>
  <c r="Z57" i="27"/>
  <c r="AF57" i="27"/>
  <c r="E48" i="26"/>
  <c r="U49" i="26"/>
  <c r="X49" i="26"/>
  <c r="H49" i="26"/>
  <c r="AA48" i="26"/>
  <c r="AC86" i="26" l="1"/>
  <c r="M47" i="26"/>
  <c r="M67" i="26"/>
  <c r="AC81" i="26"/>
  <c r="Q56" i="27"/>
  <c r="M65" i="26"/>
  <c r="AC66" i="26"/>
  <c r="AC78" i="26"/>
  <c r="AC90" i="26"/>
  <c r="M81" i="26"/>
  <c r="AC47" i="26"/>
  <c r="AC83" i="26"/>
  <c r="AC67" i="26"/>
  <c r="AC72" i="26"/>
  <c r="M71" i="26"/>
  <c r="AC73" i="26"/>
  <c r="AC79" i="26"/>
  <c r="M88" i="26"/>
  <c r="AC70" i="26"/>
  <c r="M77" i="26"/>
  <c r="M83" i="26"/>
  <c r="M86" i="26"/>
  <c r="M82" i="26"/>
  <c r="AC76" i="26"/>
  <c r="AC87" i="26"/>
  <c r="AC85" i="26"/>
  <c r="M73" i="26"/>
  <c r="M85" i="26"/>
  <c r="M84" i="26"/>
  <c r="AC80" i="26"/>
  <c r="M90" i="26"/>
  <c r="AC74" i="26"/>
  <c r="M76" i="26"/>
  <c r="M78" i="26"/>
  <c r="AC88" i="26"/>
  <c r="AC71" i="26"/>
  <c r="M74" i="26"/>
  <c r="M66" i="26"/>
  <c r="M89" i="26"/>
  <c r="AC65" i="26"/>
  <c r="AC77" i="26"/>
  <c r="AC89" i="26"/>
  <c r="M72" i="26"/>
  <c r="M80" i="26"/>
  <c r="AC82" i="26"/>
  <c r="M79" i="26"/>
  <c r="AC84" i="26"/>
  <c r="M87" i="26"/>
  <c r="X61" i="14"/>
  <c r="K48" i="26"/>
  <c r="AB57" i="27"/>
  <c r="AI56" i="27"/>
  <c r="H57" i="27"/>
  <c r="F58" i="27"/>
  <c r="AA49" i="26"/>
  <c r="L58" i="27"/>
  <c r="AF58" i="27"/>
  <c r="Q55" i="27"/>
  <c r="Z58" i="27"/>
  <c r="AK55" i="27"/>
  <c r="E49" i="26"/>
  <c r="K49" i="26" s="1"/>
  <c r="U50" i="26"/>
  <c r="H50" i="26"/>
  <c r="AC48" i="26"/>
  <c r="X50" i="26"/>
  <c r="AC49" i="26" l="1"/>
  <c r="AK56" i="27"/>
  <c r="M48" i="26"/>
  <c r="Z59" i="27"/>
  <c r="I57" i="27"/>
  <c r="H58" i="27"/>
  <c r="AB58" i="27"/>
  <c r="L59" i="27"/>
  <c r="AC57" i="27"/>
  <c r="AF59" i="27"/>
  <c r="F59" i="27"/>
  <c r="E50" i="26"/>
  <c r="K50" i="26" s="1"/>
  <c r="AA50" i="26"/>
  <c r="M49" i="26"/>
  <c r="M50" i="26" l="1"/>
  <c r="O57" i="27"/>
  <c r="AC58" i="27"/>
  <c r="AI58" i="27" s="1"/>
  <c r="I58" i="27"/>
  <c r="O58" i="27" s="1"/>
  <c r="AB59" i="27"/>
  <c r="AC59" i="27" s="1"/>
  <c r="F60" i="27"/>
  <c r="Z60" i="27"/>
  <c r="AI57" i="27"/>
  <c r="AF60" i="27"/>
  <c r="L60" i="27"/>
  <c r="H59" i="27"/>
  <c r="I59" i="27" s="1"/>
  <c r="AC50" i="26"/>
  <c r="Q58" i="27" l="1"/>
  <c r="AK58" i="27"/>
  <c r="V61" i="14"/>
  <c r="U61" i="14"/>
  <c r="Y61" i="14"/>
  <c r="L106" i="13"/>
  <c r="T61" i="14"/>
  <c r="W61" i="14"/>
  <c r="AI59" i="27"/>
  <c r="O59" i="27"/>
  <c r="L61" i="27"/>
  <c r="AK57" i="27"/>
  <c r="F61" i="27"/>
  <c r="Q57" i="27"/>
  <c r="H60" i="27"/>
  <c r="I60" i="27" s="1"/>
  <c r="AF61" i="27"/>
  <c r="Z61" i="27"/>
  <c r="AB60" i="27"/>
  <c r="AC60" i="27" s="1"/>
  <c r="U51" i="26"/>
  <c r="X51" i="26"/>
  <c r="H51" i="26"/>
  <c r="Q59" i="27" l="1"/>
  <c r="AK59" i="27"/>
  <c r="L96" i="13"/>
  <c r="L95" i="13"/>
  <c r="L94" i="13"/>
  <c r="L97" i="13"/>
  <c r="L93" i="13"/>
  <c r="L102" i="13"/>
  <c r="AI60" i="27"/>
  <c r="O60" i="27"/>
  <c r="AF62" i="27"/>
  <c r="AB61" i="27"/>
  <c r="AC61" i="27" s="1"/>
  <c r="AI61" i="27" s="1"/>
  <c r="F62" i="27"/>
  <c r="L62" i="27"/>
  <c r="H61" i="27"/>
  <c r="I61" i="27" s="1"/>
  <c r="O61" i="27" s="1"/>
  <c r="Z62" i="27"/>
  <c r="E51" i="26"/>
  <c r="K51" i="26" s="1"/>
  <c r="X52" i="26"/>
  <c r="H52" i="26"/>
  <c r="AA51" i="26"/>
  <c r="U52" i="26"/>
  <c r="AK61" i="27" l="1"/>
  <c r="AC51" i="26"/>
  <c r="M51" i="26"/>
  <c r="Q61" i="27"/>
  <c r="H62" i="27"/>
  <c r="I62" i="27" s="1"/>
  <c r="O62" i="27" s="1"/>
  <c r="F63" i="27"/>
  <c r="AB62" i="27"/>
  <c r="AC62" i="27" s="1"/>
  <c r="AI62" i="27" s="1"/>
  <c r="Q60" i="27"/>
  <c r="Z63" i="27"/>
  <c r="AF63" i="27"/>
  <c r="L63" i="27"/>
  <c r="AK60" i="27"/>
  <c r="H54" i="26"/>
  <c r="U54" i="26"/>
  <c r="X54" i="26"/>
  <c r="AA52" i="26"/>
  <c r="E52" i="26"/>
  <c r="K52" i="26" s="1"/>
  <c r="Q62" i="27" l="1"/>
  <c r="AK62" i="27"/>
  <c r="AB63" i="27"/>
  <c r="AC63" i="27" s="1"/>
  <c r="AI63" i="27" s="1"/>
  <c r="H63" i="27"/>
  <c r="I63" i="27" s="1"/>
  <c r="O63" i="27" s="1"/>
  <c r="E54" i="26"/>
  <c r="K54" i="26" s="1"/>
  <c r="AA54" i="26"/>
  <c r="M52" i="26"/>
  <c r="H53" i="26"/>
  <c r="X53" i="26"/>
  <c r="AC52" i="26"/>
  <c r="U53" i="26"/>
  <c r="M54" i="26" l="1"/>
  <c r="AK63" i="27"/>
  <c r="AC54" i="26"/>
  <c r="Q63" i="27"/>
  <c r="AA53" i="26"/>
  <c r="U55" i="26"/>
  <c r="X55" i="26"/>
  <c r="H55" i="26"/>
  <c r="E53" i="26"/>
  <c r="K53" i="26" s="1"/>
  <c r="M53" i="26" l="1"/>
  <c r="AC53" i="26"/>
  <c r="X56" i="26"/>
  <c r="H56" i="26"/>
  <c r="AA55" i="26"/>
  <c r="E55" i="26"/>
  <c r="K55" i="26" s="1"/>
  <c r="U56" i="26"/>
  <c r="AC55" i="26" l="1"/>
  <c r="M55" i="26"/>
  <c r="E13" i="41"/>
  <c r="E11" i="41"/>
  <c r="E14" i="41"/>
  <c r="E7" i="41"/>
  <c r="E10" i="41"/>
  <c r="E12" i="41"/>
  <c r="E8" i="41"/>
  <c r="E9" i="41"/>
  <c r="AA56" i="26"/>
  <c r="E56" i="26"/>
  <c r="K56" i="26" s="1"/>
  <c r="H57" i="26"/>
  <c r="U57" i="26"/>
  <c r="X57" i="26"/>
  <c r="M56" i="26" l="1"/>
  <c r="AC56" i="26"/>
  <c r="E16" i="41"/>
  <c r="AA57" i="26"/>
  <c r="U58" i="26"/>
  <c r="E57" i="26"/>
  <c r="K57" i="26" s="1"/>
  <c r="X58" i="26"/>
  <c r="H58" i="26"/>
  <c r="AC57" i="26" l="1"/>
  <c r="M57" i="26"/>
  <c r="E22" i="41"/>
  <c r="E24" i="41" s="1"/>
  <c r="H204" i="58" s="1"/>
  <c r="E58" i="26"/>
  <c r="K58" i="26" s="1"/>
  <c r="AA58" i="26"/>
  <c r="X59" i="26"/>
  <c r="U59" i="26"/>
  <c r="H59" i="26"/>
  <c r="M58" i="26" l="1"/>
  <c r="AC58" i="26"/>
  <c r="AA59" i="26"/>
  <c r="U60" i="26"/>
  <c r="E59" i="26"/>
  <c r="K59" i="26" s="1"/>
  <c r="H60" i="26"/>
  <c r="X60" i="26"/>
  <c r="M59" i="26" l="1"/>
  <c r="AC59" i="26"/>
  <c r="AA60" i="26"/>
  <c r="E60" i="26"/>
  <c r="K60" i="26" s="1"/>
  <c r="AC60" i="26" l="1"/>
  <c r="M60" i="26"/>
  <c r="X61" i="26"/>
  <c r="H61" i="26"/>
  <c r="U61" i="26"/>
  <c r="L65" i="27" l="1"/>
  <c r="AF65" i="27"/>
  <c r="AA61" i="26"/>
  <c r="Z65" i="27"/>
  <c r="F65" i="27"/>
  <c r="E61" i="26"/>
  <c r="K61" i="26" s="1"/>
  <c r="H62" i="26"/>
  <c r="U62" i="26"/>
  <c r="X62" i="26"/>
  <c r="M61" i="26" l="1"/>
  <c r="AC61" i="26"/>
  <c r="H65" i="27"/>
  <c r="AB65" i="27"/>
  <c r="AA62" i="26"/>
  <c r="U63" i="26"/>
  <c r="H63" i="26"/>
  <c r="X63" i="26"/>
  <c r="E62" i="26"/>
  <c r="K62" i="26" s="1"/>
  <c r="M62" i="26" l="1"/>
  <c r="AC62" i="26"/>
  <c r="AC65" i="27"/>
  <c r="I65" i="27"/>
  <c r="H64" i="26"/>
  <c r="AA63" i="26"/>
  <c r="E63" i="26"/>
  <c r="K63" i="26" s="1"/>
  <c r="X64" i="26"/>
  <c r="U64" i="26"/>
  <c r="M63" i="26" l="1"/>
  <c r="AC63" i="26"/>
  <c r="O65" i="27"/>
  <c r="AI65" i="27"/>
  <c r="X68" i="26"/>
  <c r="H68" i="26"/>
  <c r="AA64" i="26"/>
  <c r="E64" i="26"/>
  <c r="K64" i="26" s="1"/>
  <c r="U68" i="26"/>
  <c r="AC64" i="26" l="1"/>
  <c r="R56" i="27"/>
  <c r="T56" i="27" s="1"/>
  <c r="AM56" i="27" s="1"/>
  <c r="R55" i="27"/>
  <c r="T55" i="27" s="1"/>
  <c r="AM55" i="27" s="1"/>
  <c r="R58" i="27"/>
  <c r="T58" i="27" s="1"/>
  <c r="AM58" i="27" s="1"/>
  <c r="R57" i="27"/>
  <c r="T57" i="27" s="1"/>
  <c r="AM57" i="27" s="1"/>
  <c r="R59" i="27"/>
  <c r="T59" i="27" s="1"/>
  <c r="AM59" i="27" s="1"/>
  <c r="R61" i="27"/>
  <c r="T61" i="27" s="1"/>
  <c r="AM61" i="27" s="1"/>
  <c r="R60" i="27"/>
  <c r="T60" i="27" s="1"/>
  <c r="AM60" i="27" s="1"/>
  <c r="R62" i="27"/>
  <c r="T62" i="27" s="1"/>
  <c r="AM62" i="27" s="1"/>
  <c r="R63" i="27"/>
  <c r="T63" i="27" s="1"/>
  <c r="AM63" i="27" s="1"/>
  <c r="M64" i="26"/>
  <c r="AK65" i="27"/>
  <c r="Q65" i="27"/>
  <c r="AA68" i="26"/>
  <c r="X69" i="26"/>
  <c r="E68" i="26"/>
  <c r="K68" i="26" s="1"/>
  <c r="U69" i="26"/>
  <c r="H69" i="26"/>
  <c r="M68" i="26" l="1"/>
  <c r="AC68" i="26"/>
  <c r="U75" i="26"/>
  <c r="H75" i="26"/>
  <c r="E69" i="26"/>
  <c r="K69" i="26" s="1"/>
  <c r="AA69" i="26"/>
  <c r="X75" i="26"/>
  <c r="M69" i="26" l="1"/>
  <c r="AC69" i="26"/>
  <c r="R65" i="27"/>
  <c r="H70" i="26"/>
  <c r="E75" i="26"/>
  <c r="K75" i="26" s="1"/>
  <c r="AA75" i="26"/>
  <c r="AC75" i="26" l="1"/>
  <c r="M75" i="26"/>
  <c r="T65" i="27"/>
  <c r="E70" i="26"/>
  <c r="K70" i="26" s="1"/>
  <c r="M70" i="26" l="1"/>
  <c r="AA97" i="26"/>
  <c r="U56" i="27"/>
  <c r="U63" i="27"/>
  <c r="U58" i="27"/>
  <c r="U59" i="27"/>
  <c r="U62" i="27"/>
  <c r="U61" i="27"/>
  <c r="U60" i="27"/>
  <c r="U57" i="27"/>
  <c r="U55" i="27"/>
  <c r="AM65" i="27"/>
  <c r="AC97" i="26"/>
  <c r="K97" i="26"/>
  <c r="N92" i="26" l="1"/>
  <c r="P92" i="26" s="1"/>
  <c r="N93" i="26"/>
  <c r="P93" i="26" s="1"/>
  <c r="N94" i="26"/>
  <c r="P94" i="26" s="1"/>
  <c r="N91" i="26"/>
  <c r="P91" i="26" s="1"/>
  <c r="N86" i="26"/>
  <c r="P86" i="26" s="1"/>
  <c r="AE86" i="26" s="1"/>
  <c r="N72" i="26"/>
  <c r="P72" i="26" s="1"/>
  <c r="AE72" i="26" s="1"/>
  <c r="N80" i="26"/>
  <c r="P80" i="26" s="1"/>
  <c r="AE80" i="26" s="1"/>
  <c r="N74" i="26"/>
  <c r="P74" i="26" s="1"/>
  <c r="AE74" i="26" s="1"/>
  <c r="N77" i="26"/>
  <c r="P77" i="26" s="1"/>
  <c r="AE77" i="26" s="1"/>
  <c r="N66" i="26"/>
  <c r="P66" i="26" s="1"/>
  <c r="AE66" i="26" s="1"/>
  <c r="N82" i="26"/>
  <c r="P82" i="26" s="1"/>
  <c r="AE82" i="26" s="1"/>
  <c r="N76" i="26"/>
  <c r="P76" i="26" s="1"/>
  <c r="AE76" i="26" s="1"/>
  <c r="N88" i="26"/>
  <c r="P88" i="26" s="1"/>
  <c r="AE88" i="26" s="1"/>
  <c r="N84" i="26"/>
  <c r="P84" i="26" s="1"/>
  <c r="AE84" i="26" s="1"/>
  <c r="N87" i="26"/>
  <c r="P87" i="26" s="1"/>
  <c r="AE87" i="26" s="1"/>
  <c r="N83" i="26"/>
  <c r="P83" i="26" s="1"/>
  <c r="AE83" i="26" s="1"/>
  <c r="N71" i="26"/>
  <c r="P71" i="26" s="1"/>
  <c r="AE71" i="26" s="1"/>
  <c r="N65" i="26"/>
  <c r="P65" i="26" s="1"/>
  <c r="AE65" i="26" s="1"/>
  <c r="N78" i="26"/>
  <c r="P78" i="26" s="1"/>
  <c r="AE78" i="26" s="1"/>
  <c r="N73" i="26"/>
  <c r="P73" i="26" s="1"/>
  <c r="AE73" i="26" s="1"/>
  <c r="N79" i="26"/>
  <c r="P79" i="26" s="1"/>
  <c r="AE79" i="26" s="1"/>
  <c r="N81" i="26"/>
  <c r="P81" i="26" s="1"/>
  <c r="AE81" i="26" s="1"/>
  <c r="N85" i="26"/>
  <c r="P85" i="26" s="1"/>
  <c r="AE85" i="26" s="1"/>
  <c r="N47" i="26"/>
  <c r="P47" i="26" s="1"/>
  <c r="AE47" i="26" s="1"/>
  <c r="N89" i="26"/>
  <c r="P89" i="26" s="1"/>
  <c r="AE89" i="26" s="1"/>
  <c r="N67" i="26"/>
  <c r="P67" i="26" s="1"/>
  <c r="AE67" i="26" s="1"/>
  <c r="N90" i="26"/>
  <c r="P90" i="26" s="1"/>
  <c r="AE90" i="26" s="1"/>
  <c r="N49" i="26"/>
  <c r="P49" i="26" s="1"/>
  <c r="AE49" i="26" s="1"/>
  <c r="N48" i="26"/>
  <c r="P48" i="26" s="1"/>
  <c r="AE48" i="26" s="1"/>
  <c r="N50" i="26"/>
  <c r="P50" i="26" s="1"/>
  <c r="AE50" i="26" s="1"/>
  <c r="N51" i="26"/>
  <c r="P51" i="26" s="1"/>
  <c r="AE51" i="26" s="1"/>
  <c r="N52" i="26"/>
  <c r="P52" i="26" s="1"/>
  <c r="AE52" i="26" s="1"/>
  <c r="N54" i="26"/>
  <c r="P54" i="26" s="1"/>
  <c r="AE54" i="26" s="1"/>
  <c r="N53" i="26"/>
  <c r="P53" i="26" s="1"/>
  <c r="AE53" i="26" s="1"/>
  <c r="N55" i="26"/>
  <c r="P55" i="26" s="1"/>
  <c r="AE55" i="26" s="1"/>
  <c r="N56" i="26"/>
  <c r="P56" i="26" s="1"/>
  <c r="AE56" i="26" s="1"/>
  <c r="N57" i="26"/>
  <c r="P57" i="26" s="1"/>
  <c r="AE57" i="26" s="1"/>
  <c r="N58" i="26"/>
  <c r="P58" i="26" s="1"/>
  <c r="AE58" i="26" s="1"/>
  <c r="N59" i="26"/>
  <c r="P59" i="26" s="1"/>
  <c r="AE59" i="26" s="1"/>
  <c r="N60" i="26"/>
  <c r="P60" i="26" s="1"/>
  <c r="AE60" i="26" s="1"/>
  <c r="N61" i="26"/>
  <c r="P61" i="26" s="1"/>
  <c r="AE61" i="26" s="1"/>
  <c r="N62" i="26"/>
  <c r="P62" i="26" s="1"/>
  <c r="AE62" i="26" s="1"/>
  <c r="N63" i="26"/>
  <c r="P63" i="26" s="1"/>
  <c r="AE63" i="26" s="1"/>
  <c r="N64" i="26"/>
  <c r="P64" i="26" s="1"/>
  <c r="AE64" i="26" s="1"/>
  <c r="N68" i="26"/>
  <c r="P68" i="26" s="1"/>
  <c r="AE68" i="26" s="1"/>
  <c r="N69" i="26"/>
  <c r="P69" i="26" s="1"/>
  <c r="AE69" i="26" s="1"/>
  <c r="N75" i="26"/>
  <c r="P75" i="26" s="1"/>
  <c r="AE75" i="26" s="1"/>
  <c r="N70" i="26"/>
  <c r="P70" i="26" s="1"/>
  <c r="AE70" i="26" s="1"/>
  <c r="E32" i="37"/>
  <c r="U65" i="27"/>
  <c r="M97" i="26"/>
  <c r="AE94" i="26" l="1"/>
  <c r="AE93" i="26"/>
  <c r="AE92" i="26"/>
  <c r="AE91" i="26"/>
  <c r="O61" i="14"/>
  <c r="N61" i="14"/>
  <c r="Q61" i="14"/>
  <c r="S61" i="14"/>
  <c r="P61" i="14"/>
  <c r="C29" i="37"/>
  <c r="L86" i="13" l="1"/>
  <c r="L92" i="13"/>
  <c r="L90" i="13"/>
  <c r="L87" i="13"/>
  <c r="L88" i="13"/>
  <c r="L91" i="13"/>
  <c r="L89" i="13"/>
  <c r="N97" i="26"/>
  <c r="M33" i="49" l="1"/>
  <c r="P97" i="26"/>
  <c r="Q94" i="26" l="1"/>
  <c r="Q93" i="26"/>
  <c r="Q92" i="26"/>
  <c r="Q91" i="26"/>
  <c r="Q88" i="26"/>
  <c r="Q89" i="26"/>
  <c r="Q90" i="26"/>
  <c r="Q72" i="26"/>
  <c r="Q87" i="26"/>
  <c r="Q83" i="26"/>
  <c r="Q82" i="26"/>
  <c r="Q84" i="26"/>
  <c r="Q81" i="26"/>
  <c r="Q74" i="26"/>
  <c r="Q85" i="26"/>
  <c r="Q86" i="26"/>
  <c r="Q80" i="26"/>
  <c r="Q79" i="26"/>
  <c r="Q77" i="26"/>
  <c r="Q73" i="26"/>
  <c r="Q78" i="26"/>
  <c r="Q66" i="26"/>
  <c r="Q70" i="26"/>
  <c r="Q67" i="26"/>
  <c r="Q76" i="26"/>
  <c r="Q47" i="26"/>
  <c r="Q52" i="26"/>
  <c r="Q62" i="26"/>
  <c r="Q56" i="26"/>
  <c r="Q57" i="26"/>
  <c r="Q53" i="26"/>
  <c r="Q69" i="26"/>
  <c r="Q60" i="26"/>
  <c r="Q64" i="26"/>
  <c r="Q75" i="26"/>
  <c r="Q51" i="26"/>
  <c r="Q71" i="26"/>
  <c r="Q50" i="26"/>
  <c r="Q48" i="26"/>
  <c r="Q61" i="26"/>
  <c r="Q58" i="26"/>
  <c r="Q54" i="26"/>
  <c r="Q68" i="26"/>
  <c r="Q59" i="26"/>
  <c r="Q55" i="26"/>
  <c r="Q65" i="26"/>
  <c r="Q63" i="26"/>
  <c r="Q49" i="26"/>
  <c r="AE97" i="26"/>
  <c r="D32" i="37" l="1"/>
  <c r="B5" i="37"/>
  <c r="E5" i="37"/>
  <c r="D5" i="37"/>
  <c r="C5" i="37"/>
  <c r="E19" i="36"/>
  <c r="Q97" i="26"/>
  <c r="C16" i="36" l="1"/>
  <c r="C5" i="36"/>
  <c r="E5" i="36"/>
  <c r="D19" i="36"/>
  <c r="B5" i="36"/>
  <c r="D5" i="36"/>
  <c r="E9" i="37" l="1"/>
  <c r="E8" i="37"/>
  <c r="E11" i="37"/>
  <c r="E13" i="37"/>
  <c r="E7" i="37"/>
  <c r="E16" i="37"/>
  <c r="E18" i="37"/>
  <c r="E23" i="37"/>
  <c r="E20" i="37"/>
  <c r="E10" i="37"/>
  <c r="E12" i="37"/>
  <c r="E14" i="37"/>
  <c r="E21" i="37"/>
  <c r="E26" i="37"/>
  <c r="E19" i="37"/>
  <c r="E25" i="37"/>
  <c r="E27" i="37"/>
  <c r="E17" i="37"/>
  <c r="E22" i="37"/>
  <c r="E24" i="37"/>
  <c r="E15" i="37"/>
  <c r="E29" i="37" l="1"/>
  <c r="E35" i="37" s="1"/>
  <c r="E13" i="36"/>
  <c r="E12" i="36"/>
  <c r="E10" i="36"/>
  <c r="E8" i="36"/>
  <c r="E11" i="36"/>
  <c r="E14" i="36"/>
  <c r="E9" i="36"/>
  <c r="E7" i="36"/>
  <c r="AN50" i="27" l="1"/>
  <c r="E16" i="36"/>
  <c r="E22" i="36" s="1"/>
  <c r="E37" i="37" l="1"/>
  <c r="AN51" i="27"/>
  <c r="AN55" i="27" s="1"/>
  <c r="AF42" i="26"/>
  <c r="C7" i="22"/>
  <c r="C6" i="23" s="1"/>
  <c r="AN62" i="27" l="1"/>
  <c r="AO62" i="27" s="1"/>
  <c r="AN56" i="27"/>
  <c r="AO56" i="27" s="1"/>
  <c r="AN59" i="27"/>
  <c r="AO59" i="27" s="1"/>
  <c r="AN58" i="27"/>
  <c r="AO58" i="27" s="1"/>
  <c r="AN63" i="27"/>
  <c r="AO63" i="27" s="1"/>
  <c r="AN61" i="27"/>
  <c r="AO61" i="27" s="1"/>
  <c r="AN57" i="27"/>
  <c r="AO57" i="27" s="1"/>
  <c r="AN60" i="27"/>
  <c r="AO60" i="27" s="1"/>
  <c r="E24" i="36"/>
  <c r="AF43" i="26"/>
  <c r="AF92" i="26" l="1"/>
  <c r="AG92" i="26" s="1"/>
  <c r="AF93" i="26"/>
  <c r="AG93" i="26" s="1"/>
  <c r="AF94" i="26"/>
  <c r="AG94" i="26" s="1"/>
  <c r="AF91" i="26"/>
  <c r="AG91" i="26" s="1"/>
  <c r="S76" i="16"/>
  <c r="S75" i="16"/>
  <c r="AF90" i="26"/>
  <c r="AG90" i="26" s="1"/>
  <c r="AF89" i="26"/>
  <c r="AG89" i="26" s="1"/>
  <c r="AF88" i="26"/>
  <c r="AG88" i="26" s="1"/>
  <c r="AF74" i="26"/>
  <c r="AG74" i="26" s="1"/>
  <c r="AF86" i="26"/>
  <c r="AG86" i="26" s="1"/>
  <c r="AF85" i="26"/>
  <c r="AG85" i="26" s="1"/>
  <c r="AF80" i="26"/>
  <c r="AG80" i="26" s="1"/>
  <c r="AF83" i="26"/>
  <c r="AG83" i="26" s="1"/>
  <c r="AF84" i="26"/>
  <c r="AG84" i="26" s="1"/>
  <c r="AF72" i="26"/>
  <c r="AG72" i="26" s="1"/>
  <c r="AF81" i="26"/>
  <c r="AG81" i="26" s="1"/>
  <c r="AF82" i="26"/>
  <c r="AG82" i="26" s="1"/>
  <c r="AF79" i="26"/>
  <c r="AG79" i="26" s="1"/>
  <c r="AF87" i="26"/>
  <c r="AG87" i="26" s="1"/>
  <c r="AF66" i="26"/>
  <c r="AG66" i="26" s="1"/>
  <c r="AF78" i="26"/>
  <c r="AG78" i="26" s="1"/>
  <c r="AF77" i="26"/>
  <c r="AG77" i="26" s="1"/>
  <c r="AF73" i="26"/>
  <c r="AG73" i="26" s="1"/>
  <c r="AF76" i="26"/>
  <c r="AG76" i="26" s="1"/>
  <c r="AF70" i="26"/>
  <c r="AG70" i="26" s="1"/>
  <c r="AF67" i="26"/>
  <c r="AG67" i="26" s="1"/>
  <c r="AF47" i="26"/>
  <c r="AF71" i="26"/>
  <c r="AG71" i="26" s="1"/>
  <c r="AF64" i="26"/>
  <c r="AG64" i="26" s="1"/>
  <c r="AF68" i="26"/>
  <c r="AG68" i="26" s="1"/>
  <c r="AF52" i="26"/>
  <c r="AG52" i="26" s="1"/>
  <c r="AF50" i="26"/>
  <c r="AG50" i="26" s="1"/>
  <c r="AF61" i="26"/>
  <c r="AG61" i="26" s="1"/>
  <c r="AF69" i="26"/>
  <c r="AG69" i="26" s="1"/>
  <c r="AF49" i="26"/>
  <c r="AG49" i="26" s="1"/>
  <c r="AF62" i="26"/>
  <c r="AG62" i="26" s="1"/>
  <c r="AF75" i="26"/>
  <c r="AG75" i="26" s="1"/>
  <c r="AF65" i="26"/>
  <c r="AG65" i="26" s="1"/>
  <c r="AF58" i="26"/>
  <c r="AG58" i="26" s="1"/>
  <c r="AF54" i="26"/>
  <c r="AG54" i="26" s="1"/>
  <c r="AF53" i="26"/>
  <c r="AG53" i="26" s="1"/>
  <c r="AF57" i="26"/>
  <c r="AG57" i="26" s="1"/>
  <c r="AF48" i="26"/>
  <c r="AG48" i="26" s="1"/>
  <c r="AF55" i="26"/>
  <c r="AG55" i="26" s="1"/>
  <c r="AF51" i="26"/>
  <c r="AG51" i="26" s="1"/>
  <c r="AF63" i="26"/>
  <c r="AG63" i="26" s="1"/>
  <c r="AF60" i="26"/>
  <c r="AG60" i="26" s="1"/>
  <c r="AF59" i="26"/>
  <c r="AG59" i="26" s="1"/>
  <c r="AF56" i="26"/>
  <c r="AG56" i="26" s="1"/>
  <c r="S74" i="16"/>
  <c r="AN65" i="27"/>
  <c r="AO55" i="27"/>
  <c r="O110" i="13" l="1"/>
  <c r="O99" i="13"/>
  <c r="AW50" i="14"/>
  <c r="AW17" i="14"/>
  <c r="AU132" i="14"/>
  <c r="AW117" i="14"/>
  <c r="AW54" i="14"/>
  <c r="AW21" i="14"/>
  <c r="AU44" i="14"/>
  <c r="AU11" i="14"/>
  <c r="AW16" i="14"/>
  <c r="AW49" i="14"/>
  <c r="AU22" i="14"/>
  <c r="AU55" i="14"/>
  <c r="AW46" i="14"/>
  <c r="AW13" i="14"/>
  <c r="AU117" i="14"/>
  <c r="AW11" i="14"/>
  <c r="AW44" i="14"/>
  <c r="AU48" i="14"/>
  <c r="AU15" i="14"/>
  <c r="AU102" i="14"/>
  <c r="AW55" i="14"/>
  <c r="AW22" i="14"/>
  <c r="AW18" i="14"/>
  <c r="AW51" i="14"/>
  <c r="AU12" i="14"/>
  <c r="AU45" i="14"/>
  <c r="AW15" i="14"/>
  <c r="AW48" i="14"/>
  <c r="AW52" i="14"/>
  <c r="AW19" i="14"/>
  <c r="AU21" i="14"/>
  <c r="AU54" i="14"/>
  <c r="AW12" i="14"/>
  <c r="AW45" i="14"/>
  <c r="AW53" i="14"/>
  <c r="AW20" i="14"/>
  <c r="AU50" i="14"/>
  <c r="AU17" i="14"/>
  <c r="AU51" i="14"/>
  <c r="AU18" i="14"/>
  <c r="AU19" i="14"/>
  <c r="AU52" i="14"/>
  <c r="AU49" i="14"/>
  <c r="AU16" i="14"/>
  <c r="AW102" i="14"/>
  <c r="AW132" i="14"/>
  <c r="AU13" i="14"/>
  <c r="AU46" i="14"/>
  <c r="AW43" i="14"/>
  <c r="AW87" i="14"/>
  <c r="AW10" i="14"/>
  <c r="AW14" i="14"/>
  <c r="AW47" i="14"/>
  <c r="AU20" i="14"/>
  <c r="AU53" i="14"/>
  <c r="AU87" i="14"/>
  <c r="AU43" i="14"/>
  <c r="AU10" i="14"/>
  <c r="AU47" i="14"/>
  <c r="AU14" i="14"/>
  <c r="O119" i="13"/>
  <c r="O120" i="13"/>
  <c r="O101" i="13"/>
  <c r="O118" i="13"/>
  <c r="AP87" i="14"/>
  <c r="O116" i="13"/>
  <c r="O114" i="13"/>
  <c r="O117" i="13"/>
  <c r="O109" i="13"/>
  <c r="O112" i="13"/>
  <c r="O115" i="13"/>
  <c r="O111" i="13"/>
  <c r="O108" i="13"/>
  <c r="O113" i="13"/>
  <c r="O91" i="13"/>
  <c r="O107" i="13"/>
  <c r="O85" i="13"/>
  <c r="O78" i="13"/>
  <c r="O80" i="13"/>
  <c r="O105" i="13"/>
  <c r="O87" i="13"/>
  <c r="O83" i="13"/>
  <c r="O81" i="13"/>
  <c r="O106" i="13"/>
  <c r="O84" i="13"/>
  <c r="O79" i="13"/>
  <c r="O82" i="13"/>
  <c r="O88" i="13"/>
  <c r="O76" i="13"/>
  <c r="O86" i="13"/>
  <c r="O77" i="13"/>
  <c r="O92" i="13"/>
  <c r="O98" i="13"/>
  <c r="O104" i="13"/>
  <c r="O103" i="13"/>
  <c r="O102" i="13"/>
  <c r="O93" i="13"/>
  <c r="O100" i="13"/>
  <c r="O97" i="13"/>
  <c r="O95" i="13"/>
  <c r="O94" i="13"/>
  <c r="O96" i="13"/>
  <c r="O90" i="13"/>
  <c r="O89" i="13"/>
  <c r="AO65" i="27"/>
  <c r="S73" i="16"/>
  <c r="S98" i="16" s="1"/>
  <c r="AF97" i="26"/>
  <c r="AG47" i="26"/>
  <c r="A14" i="23"/>
  <c r="A15" i="23" s="1"/>
  <c r="A16" i="23" s="1"/>
  <c r="G16" i="23"/>
  <c r="G20" i="23" s="1"/>
  <c r="E24" i="22"/>
  <c r="E28" i="22"/>
  <c r="D23" i="17"/>
  <c r="E23" i="17"/>
  <c r="F23" i="17"/>
  <c r="F75" i="16" s="1"/>
  <c r="G23" i="17"/>
  <c r="F76" i="16" s="1"/>
  <c r="H23" i="17"/>
  <c r="I23" i="17"/>
  <c r="J23" i="17"/>
  <c r="K23" i="17"/>
  <c r="L23" i="17"/>
  <c r="M23" i="17"/>
  <c r="N23" i="17"/>
  <c r="O23" i="17"/>
  <c r="D56" i="17"/>
  <c r="E56" i="17"/>
  <c r="D61" i="17"/>
  <c r="E61" i="17"/>
  <c r="F61" i="17"/>
  <c r="P75" i="16" s="1"/>
  <c r="G61" i="17"/>
  <c r="P76" i="16" s="1"/>
  <c r="H61" i="17"/>
  <c r="I61" i="17"/>
  <c r="J61" i="17"/>
  <c r="K61" i="17"/>
  <c r="L61" i="17"/>
  <c r="M61" i="17"/>
  <c r="N61" i="17"/>
  <c r="O61" i="17"/>
  <c r="D66" i="17"/>
  <c r="E66" i="17"/>
  <c r="F66" i="17"/>
  <c r="G66" i="17"/>
  <c r="Q76" i="16" s="1"/>
  <c r="H66" i="17"/>
  <c r="I66" i="17"/>
  <c r="J66" i="17"/>
  <c r="K66" i="17"/>
  <c r="L66" i="17"/>
  <c r="M66" i="17"/>
  <c r="N66" i="17"/>
  <c r="O66" i="17"/>
  <c r="D62" i="16"/>
  <c r="K62" i="16"/>
  <c r="T62" i="16"/>
  <c r="K65" i="16"/>
  <c r="D61" i="14"/>
  <c r="D66" i="14"/>
  <c r="E66" i="14"/>
  <c r="F66" i="14"/>
  <c r="G66" i="14"/>
  <c r="H66" i="14"/>
  <c r="I66" i="14"/>
  <c r="J66" i="14"/>
  <c r="K66" i="14"/>
  <c r="L66" i="14"/>
  <c r="M66" i="14"/>
  <c r="D64" i="13"/>
  <c r="H64" i="13"/>
  <c r="P64" i="13"/>
  <c r="H67" i="13"/>
  <c r="AW36" i="14" l="1"/>
  <c r="AU33" i="14"/>
  <c r="AU30" i="14"/>
  <c r="AU34" i="14"/>
  <c r="AU31" i="14"/>
  <c r="AW37" i="14"/>
  <c r="AW38" i="14"/>
  <c r="AW33" i="14"/>
  <c r="AW35" i="14"/>
  <c r="AW29" i="14"/>
  <c r="AU29" i="14"/>
  <c r="AW31" i="14"/>
  <c r="AU32" i="14"/>
  <c r="AU36" i="14"/>
  <c r="AU26" i="14"/>
  <c r="AU23" i="14"/>
  <c r="AW56" i="14"/>
  <c r="AW32" i="14"/>
  <c r="AW26" i="14"/>
  <c r="AW23" i="14"/>
  <c r="AU27" i="14"/>
  <c r="AU56" i="14"/>
  <c r="AU37" i="14"/>
  <c r="AU28" i="14"/>
  <c r="AW34" i="14"/>
  <c r="AW30" i="14"/>
  <c r="AW27" i="14"/>
  <c r="AW28" i="14"/>
  <c r="AU38" i="14"/>
  <c r="AU35" i="14"/>
  <c r="Q75" i="16"/>
  <c r="AP46" i="14"/>
  <c r="G24" i="23"/>
  <c r="E32" i="39" s="1"/>
  <c r="M85" i="13"/>
  <c r="AP14" i="14"/>
  <c r="AP51" i="14"/>
  <c r="AP49" i="14"/>
  <c r="AP20" i="14"/>
  <c r="AP19" i="14"/>
  <c r="AP22" i="14"/>
  <c r="AP13" i="14"/>
  <c r="AP50" i="14"/>
  <c r="AP17" i="14"/>
  <c r="AP55" i="14"/>
  <c r="AP18" i="14"/>
  <c r="AP48" i="14"/>
  <c r="AP44" i="14"/>
  <c r="AP47" i="14"/>
  <c r="AP15" i="14"/>
  <c r="AP21" i="14"/>
  <c r="AP52" i="14"/>
  <c r="M83" i="13"/>
  <c r="M79" i="13"/>
  <c r="M75" i="13"/>
  <c r="M82" i="13"/>
  <c r="M84" i="13"/>
  <c r="M80" i="13"/>
  <c r="M76" i="13"/>
  <c r="M78" i="13"/>
  <c r="L75" i="13"/>
  <c r="M81" i="13"/>
  <c r="M77" i="13"/>
  <c r="P74" i="16"/>
  <c r="M74" i="16"/>
  <c r="Q73" i="16"/>
  <c r="P73" i="16"/>
  <c r="M73" i="16"/>
  <c r="F74" i="16"/>
  <c r="F73" i="16"/>
  <c r="Q74" i="16"/>
  <c r="AG97" i="26"/>
  <c r="O75" i="13"/>
  <c r="O125" i="13" s="1"/>
  <c r="N39" i="17"/>
  <c r="J39" i="17"/>
  <c r="F39" i="17"/>
  <c r="G75" i="16" s="1"/>
  <c r="O39" i="17"/>
  <c r="K39" i="17"/>
  <c r="G39" i="17"/>
  <c r="G76" i="16" s="1"/>
  <c r="L39" i="17"/>
  <c r="H39" i="17"/>
  <c r="D39" i="17"/>
  <c r="M39" i="17"/>
  <c r="I39" i="17"/>
  <c r="E39" i="17"/>
  <c r="A18" i="23"/>
  <c r="A20" i="23" s="1"/>
  <c r="AW39" i="14" l="1"/>
  <c r="AU39" i="14"/>
  <c r="AI97" i="26"/>
  <c r="AP29" i="14"/>
  <c r="C5" i="39"/>
  <c r="C29" i="39"/>
  <c r="B5" i="39"/>
  <c r="D32" i="39"/>
  <c r="D5" i="39"/>
  <c r="E5" i="39"/>
  <c r="AP30" i="14"/>
  <c r="AP33" i="14"/>
  <c r="AP34" i="14"/>
  <c r="AP38" i="14"/>
  <c r="AP35" i="14"/>
  <c r="AP31" i="14"/>
  <c r="G73" i="16"/>
  <c r="G74" i="16"/>
  <c r="Q98" i="16"/>
  <c r="C30" i="8"/>
  <c r="L27" i="49"/>
  <c r="O27" i="49" s="1"/>
  <c r="O33" i="49" s="1"/>
  <c r="D19" i="9"/>
  <c r="C15" i="12"/>
  <c r="AY66" i="14"/>
  <c r="E20" i="23"/>
  <c r="A22" i="23"/>
  <c r="A24" i="23" s="1"/>
  <c r="D59" i="12"/>
  <c r="D51" i="12"/>
  <c r="D55" i="12"/>
  <c r="C34" i="12"/>
  <c r="D58" i="12"/>
  <c r="D50" i="12"/>
  <c r="D53" i="12"/>
  <c r="C28" i="12"/>
  <c r="C26" i="12"/>
  <c r="C24" i="12"/>
  <c r="C22" i="12"/>
  <c r="C21" i="12"/>
  <c r="C19" i="12"/>
  <c r="C17" i="12"/>
  <c r="C14" i="12"/>
  <c r="C12" i="12"/>
  <c r="C10" i="12"/>
  <c r="D57" i="12"/>
  <c r="D49" i="12"/>
  <c r="C33" i="12"/>
  <c r="C30" i="12"/>
  <c r="D60" i="12"/>
  <c r="D56" i="12"/>
  <c r="D52" i="12"/>
  <c r="C31" i="12"/>
  <c r="C29" i="12"/>
  <c r="C27" i="12"/>
  <c r="C25" i="12"/>
  <c r="C23" i="12"/>
  <c r="C20" i="12"/>
  <c r="C18" i="12"/>
  <c r="C16" i="12"/>
  <c r="C13" i="12"/>
  <c r="C11" i="12"/>
  <c r="AL87" i="14" l="1"/>
  <c r="AT51" i="14"/>
  <c r="AN87" i="14"/>
  <c r="AV18" i="14"/>
  <c r="AP16" i="14"/>
  <c r="AP32" i="14" s="1"/>
  <c r="AR53" i="14"/>
  <c r="AT13" i="14"/>
  <c r="AV53" i="14"/>
  <c r="AR17" i="14"/>
  <c r="AT55" i="14"/>
  <c r="AO87" i="14"/>
  <c r="AM132" i="14"/>
  <c r="AQ49" i="14"/>
  <c r="AL117" i="14"/>
  <c r="AS20" i="14"/>
  <c r="AT19" i="14"/>
  <c r="AV51" i="14"/>
  <c r="AR16" i="14"/>
  <c r="AQ15" i="14"/>
  <c r="AM87" i="14"/>
  <c r="AQ17" i="14"/>
  <c r="AP43" i="14"/>
  <c r="AO132" i="14"/>
  <c r="AT52" i="14"/>
  <c r="AS13" i="14"/>
  <c r="AS19" i="14"/>
  <c r="AS16" i="14"/>
  <c r="AT21" i="14"/>
  <c r="AN132" i="14"/>
  <c r="AP45" i="14"/>
  <c r="AR22" i="14"/>
  <c r="AT47" i="14"/>
  <c r="AT11" i="14"/>
  <c r="AP53" i="14"/>
  <c r="AP36" i="14" s="1"/>
  <c r="AP11" i="14"/>
  <c r="AP27" i="14" s="1"/>
  <c r="AP10" i="14"/>
  <c r="AQ13" i="14"/>
  <c r="AV12" i="14"/>
  <c r="AS52" i="14"/>
  <c r="AP54" i="14"/>
  <c r="AP37" i="14" s="1"/>
  <c r="AR52" i="14"/>
  <c r="AS45" i="14"/>
  <c r="AS44" i="14"/>
  <c r="AS51" i="14"/>
  <c r="AR54" i="14"/>
  <c r="AS15" i="14"/>
  <c r="AV44" i="14"/>
  <c r="AP12" i="14"/>
  <c r="AV48" i="14"/>
  <c r="AQ18" i="14"/>
  <c r="AT22" i="14"/>
  <c r="AQ12" i="14"/>
  <c r="AQ20" i="14"/>
  <c r="AT48" i="14"/>
  <c r="AQ43" i="14"/>
  <c r="AR21" i="14"/>
  <c r="AR51" i="14"/>
  <c r="AP132" i="14"/>
  <c r="AQ21" i="14"/>
  <c r="AV52" i="14"/>
  <c r="AT14" i="14"/>
  <c r="AR48" i="14"/>
  <c r="AR18" i="14"/>
  <c r="AO117" i="14"/>
  <c r="AS49" i="14"/>
  <c r="AR11" i="14"/>
  <c r="AR49" i="14"/>
  <c r="I121" i="13"/>
  <c r="F121" i="13"/>
  <c r="F119" i="13"/>
  <c r="I119" i="13"/>
  <c r="L33" i="49"/>
  <c r="D62" i="12"/>
  <c r="E24" i="23"/>
  <c r="C19" i="10"/>
  <c r="E35" i="8"/>
  <c r="C33" i="8"/>
  <c r="C32" i="8"/>
  <c r="C31" i="8"/>
  <c r="C29" i="8"/>
  <c r="C28" i="8"/>
  <c r="B18" i="6"/>
  <c r="D249" i="56" s="1"/>
  <c r="D252" i="56" s="1"/>
  <c r="L17" i="5"/>
  <c r="H17" i="5"/>
  <c r="G5" i="4"/>
  <c r="E41" i="3"/>
  <c r="G22" i="3"/>
  <c r="F22" i="3"/>
  <c r="AQ11" i="14" l="1"/>
  <c r="AM102" i="14"/>
  <c r="AQ54" i="14"/>
  <c r="AQ37" i="14" s="1"/>
  <c r="AQ52" i="14"/>
  <c r="AQ48" i="14"/>
  <c r="AQ31" i="14" s="1"/>
  <c r="AV10" i="14"/>
  <c r="AO102" i="14"/>
  <c r="AT45" i="14"/>
  <c r="AT46" i="14"/>
  <c r="AT29" i="14" s="1"/>
  <c r="AQ55" i="14"/>
  <c r="AL132" i="14"/>
  <c r="AR47" i="14"/>
  <c r="AQ19" i="14"/>
  <c r="AV17" i="14"/>
  <c r="AV34" i="14"/>
  <c r="AS46" i="14"/>
  <c r="AS29" i="14" s="1"/>
  <c r="AP26" i="14"/>
  <c r="AV15" i="14"/>
  <c r="AV31" i="14" s="1"/>
  <c r="AV16" i="14"/>
  <c r="AS54" i="14"/>
  <c r="AV47" i="14"/>
  <c r="AT53" i="14"/>
  <c r="AQ50" i="14"/>
  <c r="AQ33" i="14" s="1"/>
  <c r="AR20" i="14"/>
  <c r="AR36" i="14" s="1"/>
  <c r="AY123" i="14"/>
  <c r="AT16" i="14"/>
  <c r="AN117" i="14"/>
  <c r="AV49" i="14"/>
  <c r="Z132" i="14"/>
  <c r="AT50" i="14"/>
  <c r="AV45" i="14"/>
  <c r="AV28" i="14" s="1"/>
  <c r="R132" i="14"/>
  <c r="AV117" i="14"/>
  <c r="AT20" i="14"/>
  <c r="AC132" i="14"/>
  <c r="AY125" i="14"/>
  <c r="AF132" i="14"/>
  <c r="AR43" i="14"/>
  <c r="AS50" i="14"/>
  <c r="AY122" i="14"/>
  <c r="AG132" i="14"/>
  <c r="AS55" i="14"/>
  <c r="AY124" i="14"/>
  <c r="AY130" i="14"/>
  <c r="AT12" i="14"/>
  <c r="AT28" i="14" s="1"/>
  <c r="AT15" i="14"/>
  <c r="AT31" i="14" s="1"/>
  <c r="V132" i="14"/>
  <c r="AQ117" i="14"/>
  <c r="AT102" i="14"/>
  <c r="AV13" i="14"/>
  <c r="L132" i="14"/>
  <c r="AS21" i="14"/>
  <c r="AS37" i="14" s="1"/>
  <c r="P132" i="14"/>
  <c r="AR13" i="14"/>
  <c r="X132" i="14"/>
  <c r="AQ53" i="14"/>
  <c r="AQ36" i="14" s="1"/>
  <c r="AY126" i="14"/>
  <c r="F132" i="14"/>
  <c r="AS132" i="14"/>
  <c r="AS17" i="14"/>
  <c r="AR34" i="14"/>
  <c r="AQ102" i="14"/>
  <c r="M132" i="14"/>
  <c r="AT117" i="14"/>
  <c r="K132" i="14"/>
  <c r="AL102" i="14"/>
  <c r="AV132" i="14"/>
  <c r="AY119" i="14"/>
  <c r="AV102" i="14"/>
  <c r="AR10" i="14"/>
  <c r="AR26" i="14" s="1"/>
  <c r="O132" i="14"/>
  <c r="AT132" i="14"/>
  <c r="AS117" i="14"/>
  <c r="Y132" i="14"/>
  <c r="J132" i="14"/>
  <c r="AT43" i="14"/>
  <c r="H132" i="14"/>
  <c r="AA132" i="14"/>
  <c r="AT30" i="14"/>
  <c r="AR132" i="14"/>
  <c r="AP56" i="14"/>
  <c r="AP102" i="14"/>
  <c r="Q132" i="14"/>
  <c r="AP23" i="14"/>
  <c r="AR12" i="14"/>
  <c r="AY128" i="14"/>
  <c r="AV19" i="14"/>
  <c r="AV35" i="14" s="1"/>
  <c r="AR45" i="14"/>
  <c r="AV22" i="14"/>
  <c r="AQ132" i="14"/>
  <c r="AR37" i="14"/>
  <c r="AR117" i="14"/>
  <c r="AY121" i="14"/>
  <c r="T132" i="14"/>
  <c r="S132" i="14"/>
  <c r="N132" i="14"/>
  <c r="AK132" i="14"/>
  <c r="AB132" i="14"/>
  <c r="AJ132" i="14"/>
  <c r="AH132" i="14"/>
  <c r="AD132" i="14"/>
  <c r="AS11" i="14"/>
  <c r="AS27" i="14" s="1"/>
  <c r="I132" i="14"/>
  <c r="AE132" i="14"/>
  <c r="AY129" i="14"/>
  <c r="AY131" i="14"/>
  <c r="AR102" i="14"/>
  <c r="AT87" i="14"/>
  <c r="AI132" i="14"/>
  <c r="W132" i="14"/>
  <c r="AN102" i="14"/>
  <c r="AT35" i="14"/>
  <c r="AY120" i="14"/>
  <c r="AV20" i="14"/>
  <c r="AV36" i="14" s="1"/>
  <c r="U132" i="14"/>
  <c r="AS102" i="14"/>
  <c r="AV43" i="14"/>
  <c r="AV26" i="14" s="1"/>
  <c r="AR44" i="14"/>
  <c r="AR27" i="14" s="1"/>
  <c r="AY127" i="14"/>
  <c r="AS12" i="14"/>
  <c r="AS28" i="14" s="1"/>
  <c r="AQ44" i="14"/>
  <c r="AQ27" i="14" s="1"/>
  <c r="AT18" i="14"/>
  <c r="AT34" i="14" s="1"/>
  <c r="AR15" i="14"/>
  <c r="AR31" i="14" s="1"/>
  <c r="AQ87" i="14"/>
  <c r="AR14" i="14"/>
  <c r="AR30" i="14" s="1"/>
  <c r="AP28" i="14"/>
  <c r="AS18" i="14"/>
  <c r="AS34" i="14" s="1"/>
  <c r="G132" i="14"/>
  <c r="AQ10" i="14"/>
  <c r="AQ26" i="14" s="1"/>
  <c r="AT49" i="14"/>
  <c r="AQ47" i="14"/>
  <c r="AQ51" i="14"/>
  <c r="AQ34" i="14" s="1"/>
  <c r="E132" i="14"/>
  <c r="AR46" i="14"/>
  <c r="AV14" i="14"/>
  <c r="AQ14" i="14"/>
  <c r="AS22" i="14"/>
  <c r="AR87" i="14"/>
  <c r="AP117" i="14"/>
  <c r="AR55" i="14"/>
  <c r="AR38" i="14" s="1"/>
  <c r="AQ45" i="14"/>
  <c r="AT17" i="14"/>
  <c r="AS87" i="14"/>
  <c r="AS32" i="14"/>
  <c r="D132" i="14"/>
  <c r="AQ22" i="14"/>
  <c r="AS14" i="14"/>
  <c r="AS47" i="14"/>
  <c r="AV21" i="14"/>
  <c r="AV54" i="14"/>
  <c r="AQ46" i="14"/>
  <c r="AQ29" i="14" s="1"/>
  <c r="AV55" i="14"/>
  <c r="AV11" i="14"/>
  <c r="AV27" i="14" s="1"/>
  <c r="AV50" i="14"/>
  <c r="AT54" i="14"/>
  <c r="AT37" i="14" s="1"/>
  <c r="AS53" i="14"/>
  <c r="AS36" i="14" s="1"/>
  <c r="AS35" i="14"/>
  <c r="AS48" i="14"/>
  <c r="AS31" i="14" s="1"/>
  <c r="AQ16" i="14"/>
  <c r="AQ32" i="14" s="1"/>
  <c r="AT10" i="14"/>
  <c r="AS43" i="14"/>
  <c r="AS10" i="14"/>
  <c r="AV46" i="14"/>
  <c r="AT44" i="14"/>
  <c r="AT27" i="14" s="1"/>
  <c r="AV87" i="14"/>
  <c r="AM117" i="14"/>
  <c r="AR50" i="14"/>
  <c r="AR33" i="14" s="1"/>
  <c r="AR19" i="14"/>
  <c r="AR35" i="14" s="1"/>
  <c r="AR32" i="14"/>
  <c r="AT38" i="14"/>
  <c r="D90" i="56"/>
  <c r="D123" i="56"/>
  <c r="E10" i="39"/>
  <c r="E13" i="39"/>
  <c r="E7" i="39"/>
  <c r="E23" i="39"/>
  <c r="E9" i="39"/>
  <c r="E26" i="39"/>
  <c r="E24" i="39"/>
  <c r="E27" i="39"/>
  <c r="E15" i="39"/>
  <c r="E22" i="39"/>
  <c r="E20" i="39"/>
  <c r="E8" i="39"/>
  <c r="E21" i="39"/>
  <c r="E25" i="39"/>
  <c r="E14" i="39"/>
  <c r="E17" i="39"/>
  <c r="E19" i="39"/>
  <c r="E12" i="39"/>
  <c r="E11" i="39"/>
  <c r="E18" i="39"/>
  <c r="E16" i="39"/>
  <c r="D184" i="56"/>
  <c r="D173" i="56"/>
  <c r="E42" i="12"/>
  <c r="H42" i="12" s="1"/>
  <c r="E43" i="12"/>
  <c r="H43" i="12" s="1"/>
  <c r="E44" i="12"/>
  <c r="H44" i="12" s="1"/>
  <c r="E45" i="12"/>
  <c r="H45" i="12" s="1"/>
  <c r="E46" i="12"/>
  <c r="H46" i="12" s="1"/>
  <c r="E39" i="12"/>
  <c r="H39" i="12" s="1"/>
  <c r="E41" i="12"/>
  <c r="H41" i="12" s="1"/>
  <c r="E40" i="12"/>
  <c r="H40" i="12" s="1"/>
  <c r="E36" i="12"/>
  <c r="H36" i="12" s="1"/>
  <c r="E37" i="12"/>
  <c r="H37" i="12" s="1"/>
  <c r="E38" i="12"/>
  <c r="H38" i="12" s="1"/>
  <c r="E35" i="12"/>
  <c r="H35" i="12" s="1"/>
  <c r="E22" i="12"/>
  <c r="H22" i="12" s="1"/>
  <c r="E32" i="12"/>
  <c r="H32" i="12" s="1"/>
  <c r="H23" i="13"/>
  <c r="K25" i="16"/>
  <c r="E53" i="12"/>
  <c r="H53" i="12" s="1"/>
  <c r="E56" i="12"/>
  <c r="H56" i="12" s="1"/>
  <c r="E21" i="12"/>
  <c r="H21" i="12" s="1"/>
  <c r="E55" i="12"/>
  <c r="H55" i="12" s="1"/>
  <c r="E30" i="12"/>
  <c r="H30" i="12" s="1"/>
  <c r="E52" i="12"/>
  <c r="H52" i="12" s="1"/>
  <c r="E24" i="12"/>
  <c r="H24" i="12" s="1"/>
  <c r="E54" i="12"/>
  <c r="H54" i="12" s="1"/>
  <c r="E26" i="12"/>
  <c r="H26" i="12" s="1"/>
  <c r="E14" i="12"/>
  <c r="H14" i="12" s="1"/>
  <c r="E29" i="12"/>
  <c r="H29" i="12" s="1"/>
  <c r="E27" i="12"/>
  <c r="H27" i="12" s="1"/>
  <c r="E60" i="12"/>
  <c r="H60" i="12" s="1"/>
  <c r="E58" i="12"/>
  <c r="H58" i="12" s="1"/>
  <c r="E50" i="12"/>
  <c r="H50" i="12" s="1"/>
  <c r="E16" i="12"/>
  <c r="H16" i="12" s="1"/>
  <c r="E34" i="12"/>
  <c r="H34" i="12" s="1"/>
  <c r="E33" i="12"/>
  <c r="H33" i="12" s="1"/>
  <c r="E18" i="12"/>
  <c r="H18" i="12" s="1"/>
  <c r="E28" i="12"/>
  <c r="H28" i="12" s="1"/>
  <c r="E19" i="12"/>
  <c r="H19" i="12" s="1"/>
  <c r="E10" i="12"/>
  <c r="H10" i="12" s="1"/>
  <c r="E57" i="12"/>
  <c r="H57" i="12" s="1"/>
  <c r="E23" i="12"/>
  <c r="H23" i="12" s="1"/>
  <c r="E12" i="12"/>
  <c r="H12" i="12" s="1"/>
  <c r="E25" i="12"/>
  <c r="H25" i="12" s="1"/>
  <c r="E15" i="12"/>
  <c r="H15" i="12" s="1"/>
  <c r="E59" i="12"/>
  <c r="H59" i="12" s="1"/>
  <c r="E49" i="12"/>
  <c r="H49" i="12" s="1"/>
  <c r="E51" i="12"/>
  <c r="H51" i="12" s="1"/>
  <c r="E13" i="12"/>
  <c r="H13" i="12" s="1"/>
  <c r="E31" i="12"/>
  <c r="H31" i="12" s="1"/>
  <c r="E17" i="12"/>
  <c r="H17" i="12" s="1"/>
  <c r="E11" i="12"/>
  <c r="H11" i="12" s="1"/>
  <c r="E20" i="12"/>
  <c r="H20" i="12" s="1"/>
  <c r="C35" i="8"/>
  <c r="AQ35" i="14" l="1"/>
  <c r="AV32" i="14"/>
  <c r="AV38" i="14"/>
  <c r="AV33" i="14"/>
  <c r="AQ38" i="14"/>
  <c r="AT33" i="14"/>
  <c r="AR29" i="14"/>
  <c r="AT36" i="14"/>
  <c r="AV30" i="14"/>
  <c r="AP39" i="14"/>
  <c r="AV29" i="14"/>
  <c r="AT32" i="14"/>
  <c r="AT26" i="14"/>
  <c r="AS38" i="14"/>
  <c r="AS33" i="14"/>
  <c r="AY132" i="14"/>
  <c r="AS23" i="14"/>
  <c r="F99" i="13" s="1"/>
  <c r="AQ56" i="14"/>
  <c r="AS56" i="14"/>
  <c r="AQ28" i="14"/>
  <c r="AR56" i="14"/>
  <c r="AT23" i="14"/>
  <c r="AT56" i="14"/>
  <c r="AR28" i="14"/>
  <c r="AQ30" i="14"/>
  <c r="AV37" i="14"/>
  <c r="AS30" i="14"/>
  <c r="AV56" i="14"/>
  <c r="I120" i="13" s="1"/>
  <c r="AV23" i="14"/>
  <c r="F120" i="13" s="1"/>
  <c r="AR23" i="14"/>
  <c r="AQ23" i="14"/>
  <c r="AS26" i="14"/>
  <c r="I99" i="13"/>
  <c r="D317" i="56"/>
  <c r="E29" i="39"/>
  <c r="E35" i="39" s="1"/>
  <c r="E37" i="39" s="1"/>
  <c r="G26" i="22" s="1"/>
  <c r="H62" i="12"/>
  <c r="C16" i="8"/>
  <c r="G17" i="5"/>
  <c r="E62" i="12"/>
  <c r="AQ39" i="14" l="1"/>
  <c r="AR39" i="14"/>
  <c r="AV39" i="14"/>
  <c r="AS39" i="14"/>
  <c r="AT39" i="14"/>
  <c r="D171" i="56"/>
  <c r="G272" i="56"/>
  <c r="I272" i="56" s="1"/>
  <c r="I275" i="56" s="1"/>
  <c r="D175" i="56" l="1"/>
  <c r="B10" i="8"/>
  <c r="C14" i="9"/>
  <c r="B11" i="8"/>
  <c r="T33" i="49"/>
  <c r="D11" i="4" l="1"/>
  <c r="G11" i="4" s="1"/>
  <c r="N17" i="5"/>
  <c r="E22" i="3"/>
  <c r="D10" i="4"/>
  <c r="G10" i="4" s="1"/>
  <c r="D14" i="4"/>
  <c r="G14" i="4" s="1"/>
  <c r="D17" i="4"/>
  <c r="G17" i="4" s="1"/>
  <c r="D15" i="4"/>
  <c r="G15" i="4" s="1"/>
  <c r="K17" i="5"/>
  <c r="G18" i="11"/>
  <c r="H22" i="3"/>
  <c r="I22" i="3"/>
  <c r="E17" i="5"/>
  <c r="D16" i="4"/>
  <c r="G16" i="4" s="1"/>
  <c r="C22" i="3"/>
  <c r="D8" i="4"/>
  <c r="G8" i="4" s="1"/>
  <c r="D9" i="4"/>
  <c r="G9" i="4" s="1"/>
  <c r="D13" i="4"/>
  <c r="G13" i="4" s="1"/>
  <c r="D6" i="4"/>
  <c r="G6" i="4" s="1"/>
  <c r="I5" i="4"/>
  <c r="M17" i="5"/>
  <c r="D12" i="4"/>
  <c r="G12" i="4" s="1"/>
  <c r="D7" i="4"/>
  <c r="G7" i="4" s="1"/>
  <c r="J17" i="5"/>
  <c r="F17" i="5"/>
  <c r="D88" i="56" l="1"/>
  <c r="D196" i="56"/>
  <c r="D128" i="56"/>
  <c r="D127" i="56"/>
  <c r="D195" i="56"/>
  <c r="D182" i="56"/>
  <c r="D179" i="56"/>
  <c r="D165" i="56"/>
  <c r="D164" i="56"/>
  <c r="D109" i="56"/>
  <c r="I18" i="11"/>
  <c r="D22" i="3"/>
  <c r="I6" i="4"/>
  <c r="I7" i="4" s="1"/>
  <c r="D15" i="9"/>
  <c r="D87" i="56" l="1"/>
  <c r="C17" i="5"/>
  <c r="D186" i="56"/>
  <c r="G18" i="22"/>
  <c r="G24" i="22" s="1"/>
  <c r="I8" i="4"/>
  <c r="D92" i="56" l="1"/>
  <c r="I230" i="56"/>
  <c r="I233" i="56" s="1"/>
  <c r="I235" i="56" s="1"/>
  <c r="D159" i="56"/>
  <c r="D17" i="5"/>
  <c r="G28" i="22"/>
  <c r="I9" i="4"/>
  <c r="I10" i="4" s="1"/>
  <c r="D162" i="56" l="1"/>
  <c r="D168" i="56" s="1"/>
  <c r="I238" i="56"/>
  <c r="I240" i="56" s="1"/>
  <c r="I242" i="56" s="1"/>
  <c r="G87" i="56"/>
  <c r="E249" i="56"/>
  <c r="G249" i="56" s="1"/>
  <c r="G252" i="56" s="1"/>
  <c r="I252" i="56" s="1"/>
  <c r="G14" i="56"/>
  <c r="I243" i="56"/>
  <c r="I11" i="4"/>
  <c r="D126" i="56" l="1"/>
  <c r="I244" i="56"/>
  <c r="G127" i="56" s="1"/>
  <c r="I127" i="56" s="1"/>
  <c r="G15" i="56"/>
  <c r="I14" i="56"/>
  <c r="G90" i="56"/>
  <c r="I90" i="56" s="1"/>
  <c r="I256" i="56"/>
  <c r="G96" i="56"/>
  <c r="I87" i="56"/>
  <c r="G88" i="56"/>
  <c r="I88" i="56" s="1"/>
  <c r="I12" i="4"/>
  <c r="D129" i="56" l="1"/>
  <c r="G159" i="56"/>
  <c r="G165" i="56" s="1"/>
  <c r="I165" i="56" s="1"/>
  <c r="E27" i="49"/>
  <c r="K18" i="16"/>
  <c r="H18" i="13"/>
  <c r="G99" i="56"/>
  <c r="G16" i="56"/>
  <c r="G97" i="56"/>
  <c r="G123" i="56"/>
  <c r="I13" i="4"/>
  <c r="I159" i="56" l="1"/>
  <c r="K24" i="16" s="1"/>
  <c r="K28" i="16" s="1"/>
  <c r="I123" i="56"/>
  <c r="G171" i="56"/>
  <c r="G162" i="56"/>
  <c r="I97" i="56"/>
  <c r="I109" i="56" s="1"/>
  <c r="G104" i="56"/>
  <c r="I16" i="56"/>
  <c r="G17" i="56"/>
  <c r="I17" i="56" s="1"/>
  <c r="E33" i="49"/>
  <c r="I14" i="4"/>
  <c r="G163" i="56" l="1"/>
  <c r="G173" i="56"/>
  <c r="I162" i="56"/>
  <c r="G172" i="56"/>
  <c r="I172" i="56" s="1"/>
  <c r="I171" i="56"/>
  <c r="I15" i="4"/>
  <c r="I163" i="56" l="1"/>
  <c r="G164" i="56"/>
  <c r="I164" i="56" s="1"/>
  <c r="G179" i="56"/>
  <c r="I173" i="56"/>
  <c r="I16" i="4"/>
  <c r="I179" i="56" l="1"/>
  <c r="G180" i="56"/>
  <c r="I180" i="56" s="1"/>
  <c r="I17" i="4"/>
  <c r="D117" i="56" l="1"/>
  <c r="AM12" i="14"/>
  <c r="AN49" i="14"/>
  <c r="AL50" i="14"/>
  <c r="AN13" i="14"/>
  <c r="AO18" i="14"/>
  <c r="AO44" i="14"/>
  <c r="AO48" i="14"/>
  <c r="AM48" i="14"/>
  <c r="AO11" i="14"/>
  <c r="AL16" i="14"/>
  <c r="AM51" i="14"/>
  <c r="AO51" i="14"/>
  <c r="AM47" i="14"/>
  <c r="AN43" i="14"/>
  <c r="AL20" i="14"/>
  <c r="AM44" i="14"/>
  <c r="AM15" i="14"/>
  <c r="D121" i="56" l="1"/>
  <c r="AN10" i="14"/>
  <c r="AN26" i="14" s="1"/>
  <c r="AM18" i="14"/>
  <c r="AM34" i="14" s="1"/>
  <c r="AM46" i="14"/>
  <c r="AN17" i="14"/>
  <c r="AM21" i="14"/>
  <c r="AM11" i="14"/>
  <c r="AM27" i="14" s="1"/>
  <c r="AO50" i="14"/>
  <c r="AM14" i="14"/>
  <c r="AM30" i="14" s="1"/>
  <c r="AN18" i="14"/>
  <c r="AL47" i="14"/>
  <c r="AL10" i="14"/>
  <c r="AO47" i="14"/>
  <c r="AL45" i="14"/>
  <c r="AO55" i="14"/>
  <c r="AL12" i="14"/>
  <c r="AM22" i="14"/>
  <c r="AL15" i="14"/>
  <c r="AM16" i="14"/>
  <c r="AM17" i="14"/>
  <c r="AN45" i="14"/>
  <c r="AO45" i="14"/>
  <c r="AO16" i="14"/>
  <c r="AM50" i="14"/>
  <c r="AL51" i="14"/>
  <c r="AL53" i="14"/>
  <c r="AL36" i="14" s="1"/>
  <c r="AM52" i="14"/>
  <c r="AM49" i="14"/>
  <c r="AN51" i="14"/>
  <c r="AL22" i="14"/>
  <c r="AO15" i="14"/>
  <c r="AO31" i="14" s="1"/>
  <c r="AL49" i="14"/>
  <c r="AL32" i="14" s="1"/>
  <c r="AL18" i="14"/>
  <c r="AO22" i="14"/>
  <c r="AN22" i="14"/>
  <c r="AL17" i="14"/>
  <c r="AL33" i="14" s="1"/>
  <c r="AN55" i="14"/>
  <c r="AN14" i="14"/>
  <c r="AO12" i="14"/>
  <c r="AL48" i="14"/>
  <c r="AN47" i="14"/>
  <c r="AL43" i="14"/>
  <c r="AN46" i="14"/>
  <c r="AN29" i="14" s="1"/>
  <c r="AL44" i="14"/>
  <c r="AM43" i="14"/>
  <c r="AM54" i="14"/>
  <c r="AM13" i="14"/>
  <c r="AO54" i="14"/>
  <c r="AO52" i="14"/>
  <c r="AO13" i="14"/>
  <c r="AN19" i="14"/>
  <c r="AO53" i="14"/>
  <c r="AM10" i="14"/>
  <c r="AO49" i="14"/>
  <c r="AN53" i="14"/>
  <c r="AN52" i="14"/>
  <c r="AN16" i="14"/>
  <c r="AN32" i="14" s="1"/>
  <c r="AL14" i="14"/>
  <c r="AL55" i="14"/>
  <c r="AL52" i="14"/>
  <c r="AO19" i="14"/>
  <c r="AO17" i="14"/>
  <c r="AL46" i="14"/>
  <c r="AL13" i="14"/>
  <c r="AO14" i="14"/>
  <c r="AN48" i="14"/>
  <c r="AL54" i="14"/>
  <c r="AN54" i="14"/>
  <c r="AN20" i="14"/>
  <c r="AL21" i="14"/>
  <c r="AM45" i="14"/>
  <c r="AM28" i="14" s="1"/>
  <c r="AN21" i="14"/>
  <c r="AO10" i="14"/>
  <c r="AM55" i="14"/>
  <c r="AO20" i="14"/>
  <c r="AM53" i="14"/>
  <c r="AO21" i="14"/>
  <c r="AO43" i="14"/>
  <c r="AN11" i="14"/>
  <c r="AL19" i="14"/>
  <c r="AN12" i="14"/>
  <c r="AM19" i="14"/>
  <c r="AL11" i="14"/>
  <c r="AN50" i="14"/>
  <c r="AN44" i="14"/>
  <c r="AM20" i="14"/>
  <c r="AO46" i="14"/>
  <c r="AN15" i="14"/>
  <c r="AM31" i="14"/>
  <c r="AO34" i="14"/>
  <c r="AO27" i="14"/>
  <c r="AN36" i="14" l="1"/>
  <c r="AL30" i="14"/>
  <c r="AO35" i="14"/>
  <c r="AO28" i="14"/>
  <c r="AM37" i="14"/>
  <c r="AL26" i="14"/>
  <c r="AO33" i="14"/>
  <c r="AN33" i="14"/>
  <c r="AM29" i="14"/>
  <c r="AL31" i="14"/>
  <c r="AO30" i="14"/>
  <c r="AO38" i="14"/>
  <c r="AN35" i="14"/>
  <c r="AN34" i="14"/>
  <c r="AL34" i="14"/>
  <c r="AN30" i="14"/>
  <c r="AL28" i="14"/>
  <c r="AO29" i="14"/>
  <c r="AN37" i="14"/>
  <c r="AM38" i="14"/>
  <c r="AO36" i="14"/>
  <c r="AM32" i="14"/>
  <c r="AN38" i="14"/>
  <c r="AM33" i="14"/>
  <c r="AL37" i="14"/>
  <c r="AL29" i="14"/>
  <c r="AN28" i="14"/>
  <c r="AN56" i="14"/>
  <c r="AL27" i="14"/>
  <c r="AM26" i="14"/>
  <c r="AL38" i="14"/>
  <c r="AN31" i="14"/>
  <c r="AO37" i="14"/>
  <c r="AL23" i="14"/>
  <c r="AO32" i="14"/>
  <c r="AM35" i="14"/>
  <c r="AL35" i="14"/>
  <c r="AL56" i="14"/>
  <c r="AO23" i="14"/>
  <c r="AM36" i="14"/>
  <c r="AN23" i="14"/>
  <c r="AM56" i="14"/>
  <c r="AO26" i="14"/>
  <c r="AM23" i="14"/>
  <c r="AN27" i="14"/>
  <c r="AO56" i="14"/>
  <c r="F109" i="13" l="1"/>
  <c r="I110" i="13"/>
  <c r="F118" i="13"/>
  <c r="I118" i="13"/>
  <c r="F110" i="13"/>
  <c r="F117" i="13"/>
  <c r="F116" i="13"/>
  <c r="I117" i="13"/>
  <c r="I116" i="13"/>
  <c r="I109" i="13"/>
  <c r="AL39" i="14"/>
  <c r="AM39" i="14"/>
  <c r="AN39" i="14"/>
  <c r="AO39" i="14"/>
  <c r="L61" i="14" l="1"/>
  <c r="J61" i="14"/>
  <c r="K61" i="14"/>
  <c r="M61" i="14"/>
  <c r="G61" i="14"/>
  <c r="H61" i="14"/>
  <c r="I61" i="14"/>
  <c r="E61" i="14"/>
  <c r="F61" i="14"/>
  <c r="L85" i="13" l="1"/>
  <c r="L76" i="13"/>
  <c r="L80" i="13"/>
  <c r="L82" i="13"/>
  <c r="L84" i="13"/>
  <c r="L77" i="13"/>
  <c r="L81" i="13"/>
  <c r="L79" i="13"/>
  <c r="L78" i="13"/>
  <c r="L83" i="13"/>
  <c r="AY61" i="14" l="1"/>
  <c r="I111" i="13" l="1"/>
  <c r="F115" i="13"/>
  <c r="I100" i="13"/>
  <c r="F111" i="13"/>
  <c r="I115" i="13"/>
  <c r="F100" i="13"/>
  <c r="I102" i="13" l="1"/>
  <c r="F102" i="13"/>
  <c r="S10" i="14" l="1"/>
  <c r="Y13" i="14"/>
  <c r="C41" i="3"/>
  <c r="Y52" i="14"/>
  <c r="U16" i="14"/>
  <c r="AE44" i="14"/>
  <c r="AE20" i="14"/>
  <c r="F45" i="14"/>
  <c r="AE15" i="14"/>
  <c r="F21" i="14"/>
  <c r="AG47" i="14"/>
  <c r="Q51" i="14"/>
  <c r="Y22" i="14"/>
  <c r="AC53" i="14"/>
  <c r="AK53" i="14"/>
  <c r="W44" i="14"/>
  <c r="AK55" i="14"/>
  <c r="AC54" i="14"/>
  <c r="AC19" i="14"/>
  <c r="V48" i="14"/>
  <c r="Q49" i="14"/>
  <c r="L13" i="14"/>
  <c r="L54" i="14"/>
  <c r="K51" i="14"/>
  <c r="F19" i="14"/>
  <c r="R55" i="14"/>
  <c r="S44" i="14"/>
  <c r="G102" i="14"/>
  <c r="Z54" i="14"/>
  <c r="AA47" i="14"/>
  <c r="X102" i="14"/>
  <c r="P46" i="14"/>
  <c r="V44" i="14"/>
  <c r="AJ12" i="14"/>
  <c r="AE43" i="14"/>
  <c r="S22" i="14"/>
  <c r="AG44" i="14"/>
  <c r="AJ44" i="14"/>
  <c r="I50" i="14"/>
  <c r="AB52" i="14"/>
  <c r="AF10" i="14"/>
  <c r="Q54" i="14"/>
  <c r="AF55" i="14"/>
  <c r="AK15" i="14"/>
  <c r="AD17" i="14"/>
  <c r="Q11" i="14"/>
  <c r="Q13" i="14"/>
  <c r="AI117" i="14"/>
  <c r="N13" i="14"/>
  <c r="H48" i="14"/>
  <c r="M16" i="14"/>
  <c r="E55" i="14"/>
  <c r="W22" i="14"/>
  <c r="AJ16" i="14"/>
  <c r="AJ10" i="14"/>
  <c r="M14" i="14"/>
  <c r="P22" i="14"/>
  <c r="P50" i="14"/>
  <c r="AC12" i="14"/>
  <c r="AJ46" i="14"/>
  <c r="P21" i="14"/>
  <c r="P52" i="14"/>
  <c r="J20" i="14"/>
  <c r="N14" i="14"/>
  <c r="R45" i="14"/>
  <c r="AI21" i="14"/>
  <c r="AD11" i="14"/>
  <c r="AK16" i="14"/>
  <c r="F49" i="14"/>
  <c r="M43" i="14"/>
  <c r="H55" i="14"/>
  <c r="Y18" i="14"/>
  <c r="S17" i="14"/>
  <c r="D51" i="14"/>
  <c r="AE16" i="14"/>
  <c r="Q47" i="14"/>
  <c r="AK52" i="14"/>
  <c r="S117" i="14"/>
  <c r="L15" i="14"/>
  <c r="J53" i="14"/>
  <c r="AE48" i="14"/>
  <c r="O12" i="14"/>
  <c r="AA21" i="14"/>
  <c r="AE102" i="14"/>
  <c r="U19" i="14"/>
  <c r="AD49" i="14"/>
  <c r="AG22" i="14"/>
  <c r="E16" i="14"/>
  <c r="AH48" i="14"/>
  <c r="J14" i="14"/>
  <c r="R13" i="14"/>
  <c r="AB54" i="14"/>
  <c r="AA45" i="14"/>
  <c r="G19" i="14"/>
  <c r="N10" i="14"/>
  <c r="M51" i="14"/>
  <c r="AG15" i="14"/>
  <c r="E46" i="14"/>
  <c r="G18" i="14"/>
  <c r="W54" i="14"/>
  <c r="AI54" i="14"/>
  <c r="M117" i="14"/>
  <c r="U43" i="14"/>
  <c r="F41" i="3"/>
  <c r="D99" i="56" s="1"/>
  <c r="I99" i="56" s="1"/>
  <c r="I111" i="56" s="1"/>
  <c r="V13" i="14"/>
  <c r="N53" i="14"/>
  <c r="O15" i="14"/>
  <c r="P48" i="14"/>
  <c r="L47" i="14"/>
  <c r="O19" i="14"/>
  <c r="K13" i="14"/>
  <c r="N44" i="14"/>
  <c r="V45" i="14"/>
  <c r="Q18" i="14"/>
  <c r="Q34" i="14" s="1"/>
  <c r="E10" i="14"/>
  <c r="H54" i="14"/>
  <c r="G16" i="14"/>
  <c r="AI50" i="14"/>
  <c r="AH12" i="14"/>
  <c r="AH55" i="14"/>
  <c r="X17" i="14"/>
  <c r="W13" i="14"/>
  <c r="AB16" i="14"/>
  <c r="AC18" i="14"/>
  <c r="S50" i="14"/>
  <c r="AJ21" i="14"/>
  <c r="R54" i="14"/>
  <c r="R16" i="14"/>
  <c r="AI44" i="14"/>
  <c r="O17" i="14"/>
  <c r="AC45" i="14"/>
  <c r="AJ55" i="14"/>
  <c r="H43" i="14"/>
  <c r="Y47" i="14"/>
  <c r="AH52" i="14"/>
  <c r="AK43" i="14"/>
  <c r="W10" i="14"/>
  <c r="Y20" i="14"/>
  <c r="AK20" i="14"/>
  <c r="AK36" i="14" s="1"/>
  <c r="AB117" i="14"/>
  <c r="AH21" i="14"/>
  <c r="Y45" i="14"/>
  <c r="K102" i="14"/>
  <c r="R46" i="14"/>
  <c r="R29" i="14" s="1"/>
  <c r="J55" i="14"/>
  <c r="AE55" i="14"/>
  <c r="S54" i="14"/>
  <c r="D12" i="14"/>
  <c r="D28" i="14" s="1"/>
  <c r="P17" i="14"/>
  <c r="P33" i="14" s="1"/>
  <c r="AD12" i="14"/>
  <c r="M10" i="14"/>
  <c r="AA15" i="14"/>
  <c r="AJ15" i="14"/>
  <c r="M54" i="14"/>
  <c r="Q55" i="14"/>
  <c r="P13" i="14"/>
  <c r="X43" i="14"/>
  <c r="V12" i="14"/>
  <c r="AH16" i="14"/>
  <c r="AI53" i="14"/>
  <c r="AA46" i="14"/>
  <c r="AY109" i="14"/>
  <c r="K45" i="14"/>
  <c r="L49" i="14"/>
  <c r="P15" i="14"/>
  <c r="P31" i="14" s="1"/>
  <c r="M44" i="14"/>
  <c r="R47" i="14"/>
  <c r="AC47" i="14"/>
  <c r="N117" i="14"/>
  <c r="V16" i="14"/>
  <c r="Z117" i="14"/>
  <c r="AH53" i="14"/>
  <c r="O47" i="14"/>
  <c r="O13" i="14"/>
  <c r="V50" i="14"/>
  <c r="U15" i="14"/>
  <c r="D45" i="14"/>
  <c r="AY115" i="14"/>
  <c r="AA55" i="14"/>
  <c r="AH102" i="14"/>
  <c r="X53" i="14"/>
  <c r="X11" i="14"/>
  <c r="G47" i="14"/>
  <c r="I117" i="14"/>
  <c r="AE50" i="14"/>
  <c r="M21" i="14"/>
  <c r="M37" i="14" s="1"/>
  <c r="AY99" i="14"/>
  <c r="AJ20" i="14"/>
  <c r="AY104" i="14"/>
  <c r="AC13" i="14"/>
  <c r="Y46" i="14"/>
  <c r="AG50" i="14"/>
  <c r="AJ50" i="14"/>
  <c r="F102" i="14"/>
  <c r="T46" i="14"/>
  <c r="X22" i="14"/>
  <c r="AB12" i="14"/>
  <c r="AY101" i="14"/>
  <c r="M15" i="14"/>
  <c r="J45" i="14"/>
  <c r="AA18" i="14"/>
  <c r="AB49" i="14"/>
  <c r="G12" i="14"/>
  <c r="Z45" i="14"/>
  <c r="Z10" i="14"/>
  <c r="S45" i="14"/>
  <c r="W52" i="14"/>
  <c r="AC50" i="14"/>
  <c r="AF50" i="14"/>
  <c r="AH117" i="14"/>
  <c r="T16" i="14"/>
  <c r="K17" i="14"/>
  <c r="AB102" i="14"/>
  <c r="Q19" i="14"/>
  <c r="AY114" i="14"/>
  <c r="W18" i="14"/>
  <c r="AB21" i="14"/>
  <c r="AG10" i="14"/>
  <c r="P16" i="14"/>
  <c r="AF13" i="14"/>
  <c r="U12" i="14"/>
  <c r="X13" i="14"/>
  <c r="AI13" i="14"/>
  <c r="R48" i="14"/>
  <c r="Q53" i="14"/>
  <c r="N49" i="14"/>
  <c r="J117" i="14"/>
  <c r="M13" i="14"/>
  <c r="Z55" i="14"/>
  <c r="AB87" i="14"/>
  <c r="AG17" i="14"/>
  <c r="W117" i="14"/>
  <c r="AY107" i="14"/>
  <c r="M19" i="14"/>
  <c r="G46" i="14"/>
  <c r="N11" i="14"/>
  <c r="K52" i="14"/>
  <c r="Y50" i="14"/>
  <c r="R17" i="14"/>
  <c r="AD13" i="14"/>
  <c r="L55" i="14"/>
  <c r="U53" i="14"/>
  <c r="U48" i="14"/>
  <c r="U31" i="14" s="1"/>
  <c r="O16" i="14"/>
  <c r="AE45" i="14"/>
  <c r="U117" i="14"/>
  <c r="H22" i="14"/>
  <c r="H38" i="14" s="1"/>
  <c r="AK47" i="14"/>
  <c r="AA117" i="14"/>
  <c r="I22" i="14"/>
  <c r="AD22" i="14"/>
  <c r="Q46" i="14"/>
  <c r="H47" i="14"/>
  <c r="J43" i="14"/>
  <c r="U11" i="14"/>
  <c r="Z18" i="14"/>
  <c r="AA13" i="14"/>
  <c r="M55" i="14"/>
  <c r="AI51" i="14"/>
  <c r="AE14" i="14"/>
  <c r="Q15" i="14"/>
  <c r="AA14" i="14"/>
  <c r="AA30" i="14" s="1"/>
  <c r="V15" i="14"/>
  <c r="V31" i="14" s="1"/>
  <c r="V47" i="14"/>
  <c r="AG102" i="14"/>
  <c r="L102" i="14"/>
  <c r="G54" i="14"/>
  <c r="AJ18" i="14"/>
  <c r="T12" i="14"/>
  <c r="W45" i="14"/>
  <c r="AC11" i="14"/>
  <c r="AB15" i="14"/>
  <c r="H117" i="14"/>
  <c r="AK46" i="14"/>
  <c r="F87" i="14"/>
  <c r="AY97" i="14"/>
  <c r="AI19" i="14"/>
  <c r="P102" i="14"/>
  <c r="H51" i="14"/>
  <c r="M50" i="14"/>
  <c r="U10" i="14"/>
  <c r="U26" i="14" s="1"/>
  <c r="Q52" i="14"/>
  <c r="T11" i="14"/>
  <c r="AI49" i="14"/>
  <c r="AG11" i="14"/>
  <c r="S13" i="14"/>
  <c r="K12" i="14"/>
  <c r="V19" i="14"/>
  <c r="I46" i="14"/>
  <c r="AB22" i="14"/>
  <c r="O55" i="14"/>
  <c r="W16" i="14"/>
  <c r="O54" i="14"/>
  <c r="AF15" i="14"/>
  <c r="AA49" i="14"/>
  <c r="I43" i="14"/>
  <c r="X52" i="14"/>
  <c r="AI46" i="14"/>
  <c r="AK45" i="14"/>
  <c r="U17" i="14"/>
  <c r="AC15" i="14"/>
  <c r="D14" i="14"/>
  <c r="E45" i="14"/>
  <c r="U55" i="14"/>
  <c r="I55" i="14"/>
  <c r="T48" i="14"/>
  <c r="R18" i="14"/>
  <c r="AF53" i="14"/>
  <c r="F20" i="14"/>
  <c r="Y51" i="14"/>
  <c r="Z16" i="14"/>
  <c r="K11" i="14"/>
  <c r="AA20" i="14"/>
  <c r="W55" i="14"/>
  <c r="F22" i="14"/>
  <c r="AC48" i="14"/>
  <c r="AC17" i="14"/>
  <c r="AG43" i="14"/>
  <c r="P44" i="14"/>
  <c r="H46" i="14"/>
  <c r="K47" i="14"/>
  <c r="I52" i="14"/>
  <c r="D16" i="14"/>
  <c r="H15" i="14"/>
  <c r="V51" i="14"/>
  <c r="K21" i="14"/>
  <c r="N22" i="14"/>
  <c r="W46" i="14"/>
  <c r="E53" i="14"/>
  <c r="T50" i="14"/>
  <c r="AG13" i="14"/>
  <c r="Q14" i="14"/>
  <c r="N18" i="14"/>
  <c r="AC43" i="14"/>
  <c r="O43" i="14"/>
  <c r="AB44" i="14"/>
  <c r="S19" i="14"/>
  <c r="L18" i="14"/>
  <c r="I45" i="14"/>
  <c r="G21" i="14"/>
  <c r="AC14" i="14"/>
  <c r="J10" i="14"/>
  <c r="Z22" i="14"/>
  <c r="N52" i="14"/>
  <c r="AA43" i="14"/>
  <c r="R49" i="14"/>
  <c r="T21" i="14"/>
  <c r="Y55" i="14"/>
  <c r="X117" i="14"/>
  <c r="S46" i="14"/>
  <c r="AF45" i="14"/>
  <c r="AA51" i="14"/>
  <c r="W11" i="14"/>
  <c r="W27" i="14" s="1"/>
  <c r="AB45" i="14"/>
  <c r="T14" i="14"/>
  <c r="T15" i="14"/>
  <c r="T31" i="14" s="1"/>
  <c r="S33" i="14"/>
  <c r="D50" i="14"/>
  <c r="V54" i="14"/>
  <c r="G55" i="14"/>
  <c r="T20" i="14"/>
  <c r="AH17" i="14"/>
  <c r="AF17" i="14"/>
  <c r="L21" i="14"/>
  <c r="L37" i="14" s="1"/>
  <c r="AE17" i="14"/>
  <c r="AE33" i="14" s="1"/>
  <c r="X49" i="14"/>
  <c r="AA11" i="14"/>
  <c r="S21" i="14"/>
  <c r="S37" i="14" s="1"/>
  <c r="Q16" i="14"/>
  <c r="Q32" i="14" s="1"/>
  <c r="J48" i="14"/>
  <c r="I15" i="14"/>
  <c r="E19" i="14"/>
  <c r="AB50" i="14"/>
  <c r="AH20" i="14"/>
  <c r="D46" i="14"/>
  <c r="W51" i="14"/>
  <c r="AJ14" i="14"/>
  <c r="X47" i="14"/>
  <c r="K49" i="14"/>
  <c r="AD102" i="14"/>
  <c r="H18" i="14"/>
  <c r="Q21" i="14"/>
  <c r="Q37" i="14" s="1"/>
  <c r="AD52" i="14"/>
  <c r="AA10" i="14"/>
  <c r="AC49" i="14"/>
  <c r="H52" i="14"/>
  <c r="R19" i="14"/>
  <c r="AK11" i="14"/>
  <c r="U18" i="14"/>
  <c r="E18" i="14"/>
  <c r="J16" i="14"/>
  <c r="H13" i="14"/>
  <c r="N47" i="14"/>
  <c r="N30" i="14" s="1"/>
  <c r="AD50" i="14"/>
  <c r="Y19" i="14"/>
  <c r="AK54" i="14"/>
  <c r="E49" i="14"/>
  <c r="AG45" i="14"/>
  <c r="Y16" i="14"/>
  <c r="N16" i="14"/>
  <c r="AJ43" i="14"/>
  <c r="AC20" i="14"/>
  <c r="Z44" i="14"/>
  <c r="AJ53" i="14"/>
  <c r="AC44" i="14"/>
  <c r="Q43" i="14"/>
  <c r="AA102" i="14"/>
  <c r="AC33" i="14"/>
  <c r="AA12" i="14"/>
  <c r="AA28" i="14" s="1"/>
  <c r="M52" i="14"/>
  <c r="U47" i="14"/>
  <c r="AE21" i="14"/>
  <c r="AF20" i="14"/>
  <c r="AG12" i="14"/>
  <c r="K46" i="14"/>
  <c r="K29" i="14" s="1"/>
  <c r="H44" i="14"/>
  <c r="AJ51" i="14"/>
  <c r="AE54" i="14"/>
  <c r="U45" i="14"/>
  <c r="U28" i="14" s="1"/>
  <c r="AH18" i="14"/>
  <c r="W49" i="14"/>
  <c r="W32" i="14" s="1"/>
  <c r="AA48" i="14"/>
  <c r="E12" i="14"/>
  <c r="E28" i="14" s="1"/>
  <c r="AE11" i="14"/>
  <c r="AE27" i="14" s="1"/>
  <c r="I48" i="14"/>
  <c r="X18" i="14"/>
  <c r="AG87" i="14"/>
  <c r="AD14" i="14"/>
  <c r="AG16" i="14"/>
  <c r="AY105" i="14"/>
  <c r="Y14" i="14"/>
  <c r="AY94" i="14"/>
  <c r="J13" i="14"/>
  <c r="S20" i="14"/>
  <c r="AB14" i="14"/>
  <c r="G10" i="14"/>
  <c r="R22" i="14"/>
  <c r="R38" i="14" s="1"/>
  <c r="D10" i="14"/>
  <c r="N43" i="14"/>
  <c r="S49" i="14"/>
  <c r="X45" i="14"/>
  <c r="I14" i="14"/>
  <c r="X12" i="14"/>
  <c r="AG27" i="14"/>
  <c r="Q17" i="14"/>
  <c r="V10" i="14"/>
  <c r="E50" i="14"/>
  <c r="Y12" i="14"/>
  <c r="W12" i="14"/>
  <c r="AG49" i="14"/>
  <c r="F43" i="14"/>
  <c r="I102" i="14"/>
  <c r="I12" i="14"/>
  <c r="AE12" i="14"/>
  <c r="I19" i="14"/>
  <c r="I35" i="14" s="1"/>
  <c r="O44" i="14"/>
  <c r="W17" i="14"/>
  <c r="S51" i="14"/>
  <c r="T47" i="14"/>
  <c r="K44" i="14"/>
  <c r="K27" i="14" s="1"/>
  <c r="H14" i="14"/>
  <c r="AG20" i="14"/>
  <c r="AJ49" i="14"/>
  <c r="G13" i="14"/>
  <c r="AF87" i="14"/>
  <c r="AF22" i="14"/>
  <c r="AH22" i="14"/>
  <c r="U44" i="14"/>
  <c r="U27" i="14" s="1"/>
  <c r="R11" i="14"/>
  <c r="R53" i="14"/>
  <c r="AD117" i="14"/>
  <c r="O22" i="14"/>
  <c r="O38" i="14" s="1"/>
  <c r="D52" i="14"/>
  <c r="AB55" i="14"/>
  <c r="AB38" i="14" s="1"/>
  <c r="T53" i="14"/>
  <c r="K50" i="14"/>
  <c r="K33" i="14" s="1"/>
  <c r="P19" i="14"/>
  <c r="AI52" i="14"/>
  <c r="L87" i="14"/>
  <c r="L14" i="14"/>
  <c r="L117" i="14"/>
  <c r="E117" i="14"/>
  <c r="I54" i="14"/>
  <c r="N46" i="14"/>
  <c r="I44" i="14"/>
  <c r="I11" i="14"/>
  <c r="AG55" i="14"/>
  <c r="R10" i="14"/>
  <c r="P87" i="14"/>
  <c r="K16" i="14"/>
  <c r="AY91" i="14"/>
  <c r="AC52" i="14"/>
  <c r="W14" i="14"/>
  <c r="W47" i="14"/>
  <c r="AK49" i="14"/>
  <c r="U50" i="14"/>
  <c r="U33" i="14" s="1"/>
  <c r="Y54" i="14"/>
  <c r="G117" i="14"/>
  <c r="AF102" i="14"/>
  <c r="AF12" i="14"/>
  <c r="M102" i="14"/>
  <c r="AH13" i="14"/>
  <c r="AH87" i="14"/>
  <c r="S53" i="14"/>
  <c r="AY108" i="14"/>
  <c r="AY95" i="14"/>
  <c r="AY112" i="14"/>
  <c r="W53" i="14"/>
  <c r="AG46" i="14"/>
  <c r="R117" i="14"/>
  <c r="L11" i="14"/>
  <c r="F10" i="14"/>
  <c r="F26" i="14" s="1"/>
  <c r="I20" i="14"/>
  <c r="F47" i="14"/>
  <c r="X10" i="14"/>
  <c r="X26" i="14" s="1"/>
  <c r="Q10" i="14"/>
  <c r="Q26" i="14" s="1"/>
  <c r="Q22" i="14"/>
  <c r="Z21" i="14"/>
  <c r="Z37" i="14" s="1"/>
  <c r="Z47" i="14"/>
  <c r="H11" i="14"/>
  <c r="AI45" i="14"/>
  <c r="Y49" i="14"/>
  <c r="AY93" i="14"/>
  <c r="H87" i="14"/>
  <c r="Y102" i="14"/>
  <c r="Z20" i="14"/>
  <c r="AK117" i="14"/>
  <c r="P53" i="14"/>
  <c r="E87" i="14"/>
  <c r="F117" i="14"/>
  <c r="AY79" i="14"/>
  <c r="N45" i="14"/>
  <c r="AB53" i="14"/>
  <c r="H49" i="14"/>
  <c r="D117" i="14"/>
  <c r="AB17" i="14"/>
  <c r="U102" i="14"/>
  <c r="U20" i="14"/>
  <c r="AI43" i="14"/>
  <c r="AG21" i="14"/>
  <c r="G53" i="14"/>
  <c r="AB10" i="14"/>
  <c r="AG51" i="14"/>
  <c r="K14" i="14"/>
  <c r="K30" i="14" s="1"/>
  <c r="AI87" i="14"/>
  <c r="AF44" i="14"/>
  <c r="R87" i="14"/>
  <c r="Q87" i="14"/>
  <c r="AY106" i="14"/>
  <c r="Z51" i="14"/>
  <c r="Z11" i="14"/>
  <c r="J50" i="14"/>
  <c r="AY89" i="14"/>
  <c r="AK102" i="14"/>
  <c r="U52" i="14"/>
  <c r="N55" i="14"/>
  <c r="N38" i="14" s="1"/>
  <c r="J12" i="14"/>
  <c r="J28" i="14" s="1"/>
  <c r="D20" i="14"/>
  <c r="Q50" i="14"/>
  <c r="Y21" i="14"/>
  <c r="F55" i="14"/>
  <c r="F38" i="14" s="1"/>
  <c r="AJ48" i="14"/>
  <c r="AJ31" i="14" s="1"/>
  <c r="AH43" i="14"/>
  <c r="AF51" i="14"/>
  <c r="AC102" i="14"/>
  <c r="E11" i="14"/>
  <c r="AY81" i="14"/>
  <c r="AY110" i="14"/>
  <c r="G52" i="14"/>
  <c r="G35" i="14" s="1"/>
  <c r="I18" i="14"/>
  <c r="AA87" i="14"/>
  <c r="AF18" i="14"/>
  <c r="Z102" i="14"/>
  <c r="AY116" i="14"/>
  <c r="AC117" i="14"/>
  <c r="AK18" i="14"/>
  <c r="F54" i="14"/>
  <c r="P14" i="14"/>
  <c r="AA16" i="14"/>
  <c r="AY96" i="14"/>
  <c r="Y117" i="14"/>
  <c r="S47" i="14"/>
  <c r="AI102" i="14"/>
  <c r="AK48" i="14"/>
  <c r="AK31" i="14" s="1"/>
  <c r="AY100" i="14"/>
  <c r="J11" i="14"/>
  <c r="AY84" i="14"/>
  <c r="AE117" i="14"/>
  <c r="AF19" i="14"/>
  <c r="J49" i="14"/>
  <c r="V21" i="14"/>
  <c r="AD51" i="14"/>
  <c r="N17" i="14"/>
  <c r="AK19" i="14"/>
  <c r="AK35" i="14" s="1"/>
  <c r="AC87" i="14"/>
  <c r="Q29" i="14"/>
  <c r="AD20" i="14"/>
  <c r="Y87" i="14"/>
  <c r="K18" i="14"/>
  <c r="X44" i="14"/>
  <c r="X27" i="14" s="1"/>
  <c r="K54" i="14"/>
  <c r="K37" i="14" s="1"/>
  <c r="S15" i="14"/>
  <c r="O50" i="14"/>
  <c r="O33" i="14" s="1"/>
  <c r="W20" i="14"/>
  <c r="AC30" i="14"/>
  <c r="J15" i="14"/>
  <c r="J31" i="14" s="1"/>
  <c r="F53" i="14"/>
  <c r="F36" i="14" s="1"/>
  <c r="K87" i="14"/>
  <c r="E17" i="14"/>
  <c r="AY83" i="14"/>
  <c r="G50" i="14"/>
  <c r="AD47" i="14"/>
  <c r="W21" i="14"/>
  <c r="AD43" i="14"/>
  <c r="E102" i="14"/>
  <c r="T45" i="14"/>
  <c r="AI22" i="14"/>
  <c r="U14" i="14"/>
  <c r="AC21" i="14"/>
  <c r="AF43" i="14"/>
  <c r="AF26" i="14" s="1"/>
  <c r="K117" i="14"/>
  <c r="O102" i="14"/>
  <c r="AC22" i="14"/>
  <c r="AY92" i="14"/>
  <c r="E20" i="14"/>
  <c r="E36" i="14" s="1"/>
  <c r="F52" i="14"/>
  <c r="F35" i="14" s="1"/>
  <c r="P55" i="14"/>
  <c r="K55" i="14"/>
  <c r="D49" i="14"/>
  <c r="D32" i="14" s="1"/>
  <c r="H12" i="14"/>
  <c r="V102" i="14"/>
  <c r="E52" i="14"/>
  <c r="P11" i="14"/>
  <c r="AE19" i="14"/>
  <c r="T49" i="14"/>
  <c r="O49" i="14"/>
  <c r="O32" i="14" s="1"/>
  <c r="D18" i="14"/>
  <c r="D34" i="14" s="1"/>
  <c r="X19" i="14"/>
  <c r="X35" i="14" s="1"/>
  <c r="AB32" i="14"/>
  <c r="AY77" i="14"/>
  <c r="Y11" i="14"/>
  <c r="P20" i="14"/>
  <c r="E13" i="14"/>
  <c r="E29" i="14" s="1"/>
  <c r="F46" i="14"/>
  <c r="D17" i="14"/>
  <c r="D33" i="14" s="1"/>
  <c r="F11" i="14"/>
  <c r="AE51" i="14"/>
  <c r="AJ87" i="14"/>
  <c r="M48" i="14"/>
  <c r="M31" i="14" s="1"/>
  <c r="M11" i="14"/>
  <c r="M27" i="14" s="1"/>
  <c r="D102" i="14"/>
  <c r="Z87" i="14"/>
  <c r="V46" i="14"/>
  <c r="V29" i="14" s="1"/>
  <c r="AB47" i="14"/>
  <c r="D48" i="14"/>
  <c r="AF47" i="14"/>
  <c r="AA50" i="14"/>
  <c r="Z53" i="14"/>
  <c r="P117" i="14"/>
  <c r="AA22" i="14"/>
  <c r="AA38" i="14" s="1"/>
  <c r="D43" i="14"/>
  <c r="AD55" i="14"/>
  <c r="AD38" i="14" s="1"/>
  <c r="AK44" i="14"/>
  <c r="AF54" i="14"/>
  <c r="AH15" i="14"/>
  <c r="AH31" i="14" s="1"/>
  <c r="H10" i="14"/>
  <c r="H26" i="14" s="1"/>
  <c r="N50" i="14"/>
  <c r="R15" i="14"/>
  <c r="AE47" i="14"/>
  <c r="AE30" i="14" s="1"/>
  <c r="H16" i="14"/>
  <c r="AD54" i="14"/>
  <c r="H17" i="14"/>
  <c r="AF49" i="14"/>
  <c r="K10" i="14"/>
  <c r="E15" i="14"/>
  <c r="AK50" i="14"/>
  <c r="AK17" i="14"/>
  <c r="AI11" i="14"/>
  <c r="AI27" i="14" s="1"/>
  <c r="Q44" i="14"/>
  <c r="Q27" i="14" s="1"/>
  <c r="J54" i="14"/>
  <c r="U51" i="14"/>
  <c r="K15" i="14"/>
  <c r="AG53" i="14"/>
  <c r="AE46" i="14"/>
  <c r="AE13" i="14"/>
  <c r="L17" i="14"/>
  <c r="L50" i="14"/>
  <c r="N27" i="14"/>
  <c r="L19" i="14"/>
  <c r="L52" i="14"/>
  <c r="AH14" i="14"/>
  <c r="J47" i="14"/>
  <c r="J30" i="14" s="1"/>
  <c r="I21" i="14"/>
  <c r="G15" i="14"/>
  <c r="AC55" i="14"/>
  <c r="V14" i="14"/>
  <c r="V30" i="14" s="1"/>
  <c r="D54" i="14"/>
  <c r="D21" i="14"/>
  <c r="AB46" i="14"/>
  <c r="S102" i="14"/>
  <c r="AD45" i="14"/>
  <c r="T43" i="14"/>
  <c r="Q30" i="14"/>
  <c r="G41" i="3"/>
  <c r="D104" i="56" s="1"/>
  <c r="AB43" i="14"/>
  <c r="AJ54" i="14"/>
  <c r="AJ37" i="14" s="1"/>
  <c r="AH54" i="14"/>
  <c r="AH37" i="14" s="1"/>
  <c r="D53" i="14"/>
  <c r="AK13" i="14"/>
  <c r="AK29" i="14" s="1"/>
  <c r="G20" i="14"/>
  <c r="V11" i="14"/>
  <c r="AH46" i="14"/>
  <c r="D15" i="14"/>
  <c r="O117" i="14"/>
  <c r="S52" i="14"/>
  <c r="S35" i="14" s="1"/>
  <c r="S12" i="14"/>
  <c r="I51" i="14"/>
  <c r="I34" i="14" s="1"/>
  <c r="Z46" i="14"/>
  <c r="J22" i="14"/>
  <c r="J38" i="14" s="1"/>
  <c r="T19" i="14"/>
  <c r="N21" i="14"/>
  <c r="AH19" i="14"/>
  <c r="AH35" i="14" s="1"/>
  <c r="V43" i="14"/>
  <c r="V87" i="14"/>
  <c r="K48" i="14"/>
  <c r="D19" i="14"/>
  <c r="W48" i="14"/>
  <c r="AJ47" i="14"/>
  <c r="AD21" i="14"/>
  <c r="E44" i="14"/>
  <c r="O51" i="14"/>
  <c r="O18" i="14"/>
  <c r="Z17" i="14"/>
  <c r="AD10" i="14"/>
  <c r="F48" i="14"/>
  <c r="AF46" i="14"/>
  <c r="N15" i="14"/>
  <c r="T10" i="14"/>
  <c r="AB37" i="14"/>
  <c r="AG54" i="14"/>
  <c r="AG37" i="14" s="1"/>
  <c r="O48" i="14"/>
  <c r="O31" i="14" s="1"/>
  <c r="AD53" i="14"/>
  <c r="P47" i="14"/>
  <c r="I13" i="14"/>
  <c r="M45" i="14"/>
  <c r="H21" i="14"/>
  <c r="H37" i="14" s="1"/>
  <c r="AF52" i="14"/>
  <c r="AF35" i="14" s="1"/>
  <c r="R52" i="14"/>
  <c r="R35" i="14" s="1"/>
  <c r="X51" i="14"/>
  <c r="X34" i="14" s="1"/>
  <c r="M17" i="14"/>
  <c r="N19" i="14"/>
  <c r="N35" i="14" s="1"/>
  <c r="H53" i="14"/>
  <c r="H20" i="14"/>
  <c r="AC46" i="14"/>
  <c r="Q12" i="14"/>
  <c r="T17" i="14"/>
  <c r="T33" i="14" s="1"/>
  <c r="AI55" i="14"/>
  <c r="T54" i="14"/>
  <c r="Y48" i="14"/>
  <c r="R20" i="14"/>
  <c r="N48" i="14"/>
  <c r="D47" i="14"/>
  <c r="D30" i="14" s="1"/>
  <c r="AH11" i="14"/>
  <c r="AH44" i="14"/>
  <c r="AE10" i="14"/>
  <c r="P43" i="14"/>
  <c r="U13" i="14"/>
  <c r="W19" i="14"/>
  <c r="AH47" i="14"/>
  <c r="H19" i="14"/>
  <c r="G14" i="14"/>
  <c r="N12" i="14"/>
  <c r="O11" i="14"/>
  <c r="O27" i="14" s="1"/>
  <c r="AJ45" i="14"/>
  <c r="AJ28" i="14" s="1"/>
  <c r="AB13" i="14"/>
  <c r="M12" i="14"/>
  <c r="Z50" i="14"/>
  <c r="X87" i="14"/>
  <c r="E51" i="14"/>
  <c r="U87" i="14"/>
  <c r="R44" i="14"/>
  <c r="N20" i="14"/>
  <c r="F18" i="14"/>
  <c r="Y15" i="14"/>
  <c r="R50" i="14"/>
  <c r="Y53" i="14"/>
  <c r="M22" i="14"/>
  <c r="AA29" i="14"/>
  <c r="J19" i="14"/>
  <c r="Z13" i="14"/>
  <c r="Z29" i="14" s="1"/>
  <c r="L22" i="14"/>
  <c r="L38" i="14" s="1"/>
  <c r="R43" i="14"/>
  <c r="AI16" i="14"/>
  <c r="AK51" i="14"/>
  <c r="X14" i="14"/>
  <c r="AK12" i="14"/>
  <c r="AK28" i="14" s="1"/>
  <c r="AK21" i="14"/>
  <c r="X55" i="14"/>
  <c r="X38" i="14" s="1"/>
  <c r="J17" i="14"/>
  <c r="V18" i="14"/>
  <c r="L53" i="14"/>
  <c r="L20" i="14"/>
  <c r="E47" i="14"/>
  <c r="AD46" i="14"/>
  <c r="V52" i="14"/>
  <c r="V35" i="14" s="1"/>
  <c r="F13" i="14"/>
  <c r="R21" i="14"/>
  <c r="R37" i="14" s="1"/>
  <c r="O14" i="14"/>
  <c r="O30" i="14" s="1"/>
  <c r="G45" i="14"/>
  <c r="G28" i="14" s="1"/>
  <c r="E48" i="14"/>
  <c r="T18" i="14"/>
  <c r="U49" i="14"/>
  <c r="U32" i="14" s="1"/>
  <c r="J21" i="14"/>
  <c r="T55" i="14"/>
  <c r="AC28" i="14"/>
  <c r="H29" i="14"/>
  <c r="N32" i="14"/>
  <c r="H31" i="14"/>
  <c r="V28" i="14"/>
  <c r="AF36" i="14"/>
  <c r="AC36" i="14"/>
  <c r="J36" i="14"/>
  <c r="I38" i="14"/>
  <c r="P29" i="14"/>
  <c r="AI29" i="14" l="1"/>
  <c r="Q35" i="14"/>
  <c r="AA34" i="14"/>
  <c r="AG33" i="14"/>
  <c r="AH36" i="14"/>
  <c r="AC27" i="14"/>
  <c r="K28" i="14"/>
  <c r="AE37" i="14"/>
  <c r="G29" i="14"/>
  <c r="Y29" i="14"/>
  <c r="M35" i="14"/>
  <c r="AG26" i="14"/>
  <c r="R32" i="14"/>
  <c r="AE31" i="14"/>
  <c r="AE26" i="14"/>
  <c r="N102" i="14"/>
  <c r="T36" i="14"/>
  <c r="AH38" i="14"/>
  <c r="AE28" i="14"/>
  <c r="N26" i="14"/>
  <c r="M46" i="14"/>
  <c r="R14" i="14"/>
  <c r="D22" i="14"/>
  <c r="L48" i="14"/>
  <c r="L31" i="14" s="1"/>
  <c r="Y38" i="14"/>
  <c r="G11" i="14"/>
  <c r="G44" i="14"/>
  <c r="J26" i="14"/>
  <c r="H102" i="14"/>
  <c r="AG19" i="14"/>
  <c r="AG52" i="14"/>
  <c r="H45" i="14"/>
  <c r="AJ19" i="14"/>
  <c r="AJ52" i="14"/>
  <c r="AJ56" i="14" s="1"/>
  <c r="I113" i="13" s="1"/>
  <c r="AJ102" i="14"/>
  <c r="Z49" i="14"/>
  <c r="Z32" i="14" s="1"/>
  <c r="G43" i="14"/>
  <c r="AY74" i="14"/>
  <c r="D87" i="14"/>
  <c r="S18" i="14"/>
  <c r="W102" i="14"/>
  <c r="R102" i="14"/>
  <c r="I10" i="14"/>
  <c r="I26" i="14" s="1"/>
  <c r="I87" i="14"/>
  <c r="AY98" i="14"/>
  <c r="T102" i="14"/>
  <c r="X21" i="14"/>
  <c r="X54" i="14"/>
  <c r="V17" i="14"/>
  <c r="V33" i="14" s="1"/>
  <c r="AD48" i="14"/>
  <c r="AD15" i="14"/>
  <c r="K20" i="14"/>
  <c r="AI48" i="14"/>
  <c r="AI15" i="14"/>
  <c r="W38" i="14"/>
  <c r="O53" i="14"/>
  <c r="O20" i="14"/>
  <c r="AB51" i="14"/>
  <c r="AB18" i="14"/>
  <c r="L10" i="14"/>
  <c r="L43" i="14"/>
  <c r="V117" i="14"/>
  <c r="G37" i="14"/>
  <c r="N51" i="14"/>
  <c r="N34" i="14" s="1"/>
  <c r="J44" i="14"/>
  <c r="J27" i="14" s="1"/>
  <c r="U54" i="14"/>
  <c r="U21" i="14"/>
  <c r="T13" i="14"/>
  <c r="T29" i="14" s="1"/>
  <c r="AK10" i="14"/>
  <c r="AK26" i="14" s="1"/>
  <c r="AK87" i="14"/>
  <c r="E54" i="14"/>
  <c r="E21" i="14"/>
  <c r="Y34" i="14"/>
  <c r="AY111" i="14"/>
  <c r="W50" i="14"/>
  <c r="W33" i="14" s="1"/>
  <c r="AF48" i="14"/>
  <c r="AF31" i="14" s="1"/>
  <c r="M38" i="14"/>
  <c r="N29" i="14"/>
  <c r="P10" i="14"/>
  <c r="AY78" i="14"/>
  <c r="AY75" i="14"/>
  <c r="G48" i="14"/>
  <c r="G31" i="14" s="1"/>
  <c r="M18" i="14"/>
  <c r="M34" i="14" s="1"/>
  <c r="S29" i="14"/>
  <c r="K53" i="14"/>
  <c r="AK14" i="14"/>
  <c r="AK30" i="14" s="1"/>
  <c r="S34" i="14"/>
  <c r="W87" i="14"/>
  <c r="J87" i="14"/>
  <c r="W43" i="14"/>
  <c r="M87" i="14"/>
  <c r="AK27" i="14"/>
  <c r="V37" i="14"/>
  <c r="AA32" i="14"/>
  <c r="AD87" i="14"/>
  <c r="AG117" i="14"/>
  <c r="AJ32" i="14"/>
  <c r="AI32" i="14"/>
  <c r="X20" i="14"/>
  <c r="AY80" i="14"/>
  <c r="AY82" i="14"/>
  <c r="S87" i="14"/>
  <c r="S55" i="14"/>
  <c r="S38" i="14" s="1"/>
  <c r="Q20" i="14"/>
  <c r="Q36" i="14" s="1"/>
  <c r="E43" i="14"/>
  <c r="O87" i="14"/>
  <c r="AJ11" i="14"/>
  <c r="AB48" i="14"/>
  <c r="AB31" i="14" s="1"/>
  <c r="AJ117" i="14"/>
  <c r="G49" i="14"/>
  <c r="G32" i="14" s="1"/>
  <c r="M47" i="14"/>
  <c r="AY76" i="14"/>
  <c r="AG14" i="14"/>
  <c r="Q102" i="14"/>
  <c r="AI17" i="14"/>
  <c r="AI33" i="14" s="1"/>
  <c r="G87" i="14"/>
  <c r="P49" i="14"/>
  <c r="P32" i="14" s="1"/>
  <c r="O46" i="14"/>
  <c r="I53" i="14"/>
  <c r="I36" i="14" s="1"/>
  <c r="AA17" i="14"/>
  <c r="AA33" i="14" s="1"/>
  <c r="AF14" i="14"/>
  <c r="AF30" i="14" s="1"/>
  <c r="AI12" i="14"/>
  <c r="AI28" i="14" s="1"/>
  <c r="E22" i="14"/>
  <c r="E38" i="14" s="1"/>
  <c r="D55" i="14"/>
  <c r="AY86" i="14"/>
  <c r="AI47" i="14"/>
  <c r="AI14" i="14"/>
  <c r="AY113" i="14"/>
  <c r="N54" i="14"/>
  <c r="N37" i="14" s="1"/>
  <c r="L51" i="14"/>
  <c r="L34" i="14" s="1"/>
  <c r="L12" i="14"/>
  <c r="L45" i="14"/>
  <c r="AH45" i="14"/>
  <c r="AH28" i="14" s="1"/>
  <c r="S43" i="14"/>
  <c r="S48" i="14"/>
  <c r="S31" i="14" s="1"/>
  <c r="T51" i="14"/>
  <c r="T34" i="14" s="1"/>
  <c r="K22" i="14"/>
  <c r="K38" i="14" s="1"/>
  <c r="O52" i="14"/>
  <c r="O35" i="14" s="1"/>
  <c r="J102" i="14"/>
  <c r="Y44" i="14"/>
  <c r="Y27" i="14" s="1"/>
  <c r="AJ26" i="14"/>
  <c r="I16" i="14"/>
  <c r="I49" i="14"/>
  <c r="T44" i="14"/>
  <c r="T27" i="14" s="1"/>
  <c r="T87" i="14"/>
  <c r="S14" i="14"/>
  <c r="AF117" i="14"/>
  <c r="M49" i="14"/>
  <c r="M32" i="14" s="1"/>
  <c r="AE53" i="14"/>
  <c r="AE36" i="14" s="1"/>
  <c r="V22" i="14"/>
  <c r="V55" i="14"/>
  <c r="P18" i="14"/>
  <c r="P51" i="14"/>
  <c r="M53" i="14"/>
  <c r="M20" i="14"/>
  <c r="X15" i="14"/>
  <c r="X48" i="14"/>
  <c r="AE87" i="14"/>
  <c r="P38" i="14"/>
  <c r="AG29" i="14"/>
  <c r="V49" i="14"/>
  <c r="AJ36" i="14"/>
  <c r="X50" i="14"/>
  <c r="X33" i="14" s="1"/>
  <c r="O21" i="14"/>
  <c r="O37" i="14" s="1"/>
  <c r="AE22" i="14"/>
  <c r="AE38" i="14" s="1"/>
  <c r="AJ22" i="14"/>
  <c r="AJ38" i="14" s="1"/>
  <c r="L44" i="14"/>
  <c r="L27" i="14" s="1"/>
  <c r="J51" i="14"/>
  <c r="W29" i="14"/>
  <c r="Z19" i="14"/>
  <c r="AI37" i="14"/>
  <c r="U22" i="14"/>
  <c r="U38" i="14" s="1"/>
  <c r="G22" i="14"/>
  <c r="G38" i="14" s="1"/>
  <c r="H28" i="14"/>
  <c r="K34" i="14"/>
  <c r="P27" i="14"/>
  <c r="N87" i="14"/>
  <c r="Z34" i="14"/>
  <c r="AG38" i="14"/>
  <c r="Q117" i="14"/>
  <c r="E32" i="14"/>
  <c r="AG48" i="14"/>
  <c r="AG31" i="14" s="1"/>
  <c r="X16" i="14"/>
  <c r="X32" i="14" s="1"/>
  <c r="AB11" i="14"/>
  <c r="AB27" i="14" s="1"/>
  <c r="AI18" i="14"/>
  <c r="AI34" i="14" s="1"/>
  <c r="D11" i="14"/>
  <c r="AY90" i="14"/>
  <c r="F14" i="14"/>
  <c r="F30" i="14" s="1"/>
  <c r="AA53" i="14"/>
  <c r="AA36" i="14" s="1"/>
  <c r="X46" i="14"/>
  <c r="X29" i="14" s="1"/>
  <c r="AY85" i="14"/>
  <c r="AI10" i="14"/>
  <c r="T117" i="14"/>
  <c r="Q48" i="14"/>
  <c r="Q31" i="14" s="1"/>
  <c r="G17" i="14"/>
  <c r="G33" i="14" s="1"/>
  <c r="AH50" i="14"/>
  <c r="AH33" i="14" s="1"/>
  <c r="V20" i="14"/>
  <c r="Z52" i="14"/>
  <c r="S16" i="14"/>
  <c r="S32" i="14" s="1"/>
  <c r="O10" i="14"/>
  <c r="O26" i="14" s="1"/>
  <c r="K43" i="14"/>
  <c r="K26" i="14" s="1"/>
  <c r="I17" i="14"/>
  <c r="I33" i="14" s="1"/>
  <c r="Z12" i="14"/>
  <c r="Z28" i="14" s="1"/>
  <c r="Y17" i="14"/>
  <c r="Y33" i="14" s="1"/>
  <c r="Y43" i="14"/>
  <c r="Y10" i="14"/>
  <c r="AG18" i="14"/>
  <c r="AG23" i="14" s="1"/>
  <c r="F107" i="13" s="1"/>
  <c r="D13" i="14"/>
  <c r="D29" i="14" s="1"/>
  <c r="AI20" i="14"/>
  <c r="AI36" i="14" s="1"/>
  <c r="T52" i="14"/>
  <c r="T35" i="14" s="1"/>
  <c r="K19" i="14"/>
  <c r="K35" i="14" s="1"/>
  <c r="R12" i="14"/>
  <c r="R28" i="14" s="1"/>
  <c r="F44" i="14"/>
  <c r="F27" i="14" s="1"/>
  <c r="S11" i="14"/>
  <c r="S27" i="14" s="1"/>
  <c r="J46" i="14"/>
  <c r="J56" i="14" s="1"/>
  <c r="I82" i="13" s="1"/>
  <c r="D44" i="14"/>
  <c r="D56" i="14" s="1"/>
  <c r="I75" i="13" s="1"/>
  <c r="L46" i="14"/>
  <c r="L29" i="14" s="1"/>
  <c r="AK22" i="14"/>
  <c r="AK38" i="14" s="1"/>
  <c r="Z43" i="14"/>
  <c r="Z26" i="14" s="1"/>
  <c r="AB19" i="14"/>
  <c r="AB35" i="14" s="1"/>
  <c r="V53" i="14"/>
  <c r="AB20" i="14"/>
  <c r="AB36" i="14" s="1"/>
  <c r="F16" i="14"/>
  <c r="F32" i="14" s="1"/>
  <c r="F15" i="14"/>
  <c r="F31" i="14" s="1"/>
  <c r="AE49" i="14"/>
  <c r="AE32" i="14" s="1"/>
  <c r="I47" i="14"/>
  <c r="E14" i="14"/>
  <c r="E30" i="14" s="1"/>
  <c r="Z14" i="14"/>
  <c r="Z30" i="14" s="1"/>
  <c r="P12" i="14"/>
  <c r="AA44" i="14"/>
  <c r="P45" i="14"/>
  <c r="P56" i="14" s="1"/>
  <c r="I87" i="13" s="1"/>
  <c r="AE52" i="14"/>
  <c r="AE56" i="14" s="1"/>
  <c r="I104" i="13" s="1"/>
  <c r="AD19" i="14"/>
  <c r="AD35" i="14" s="1"/>
  <c r="AJ13" i="14"/>
  <c r="AJ29" i="14" s="1"/>
  <c r="AH49" i="14"/>
  <c r="AH32" i="14" s="1"/>
  <c r="P54" i="14"/>
  <c r="P37" i="14" s="1"/>
  <c r="AJ17" i="14"/>
  <c r="AJ33" i="14" s="1"/>
  <c r="AA52" i="14"/>
  <c r="F12" i="14"/>
  <c r="F28" i="14" s="1"/>
  <c r="W15" i="14"/>
  <c r="W31" i="14" s="1"/>
  <c r="AF21" i="14"/>
  <c r="AF37" i="14" s="1"/>
  <c r="AF16" i="14"/>
  <c r="AF32" i="14" s="1"/>
  <c r="AD44" i="14"/>
  <c r="AD27" i="14" s="1"/>
  <c r="AH10" i="14"/>
  <c r="AH26" i="14" s="1"/>
  <c r="J18" i="14"/>
  <c r="J23" i="14" s="1"/>
  <c r="F82" i="13" s="1"/>
  <c r="L16" i="14"/>
  <c r="L32" i="14" s="1"/>
  <c r="H50" i="14"/>
  <c r="H33" i="14" s="1"/>
  <c r="O45" i="14"/>
  <c r="O28" i="14" s="1"/>
  <c r="Q45" i="14"/>
  <c r="Q28" i="14" s="1"/>
  <c r="G51" i="14"/>
  <c r="G34" i="14" s="1"/>
  <c r="J52" i="14"/>
  <c r="J35" i="14" s="1"/>
  <c r="AF11" i="14"/>
  <c r="AA19" i="14"/>
  <c r="AC51" i="14"/>
  <c r="AC56" i="14" s="1"/>
  <c r="I106" i="13" s="1"/>
  <c r="Z15" i="14"/>
  <c r="Z48" i="14"/>
  <c r="Z56" i="14" s="1"/>
  <c r="I97" i="13" s="1"/>
  <c r="U46" i="14"/>
  <c r="F50" i="14"/>
  <c r="AE18" i="14"/>
  <c r="AE34" i="14" s="1"/>
  <c r="AC10" i="14"/>
  <c r="AC26" i="14" s="1"/>
  <c r="F51" i="14"/>
  <c r="AC16" i="14"/>
  <c r="AC32" i="14" s="1"/>
  <c r="T22" i="14"/>
  <c r="T38" i="14" s="1"/>
  <c r="R51" i="14"/>
  <c r="R34" i="14" s="1"/>
  <c r="AD16" i="14"/>
  <c r="AD32" i="14" s="1"/>
  <c r="AH51" i="14"/>
  <c r="AH34" i="14" s="1"/>
  <c r="F17" i="14"/>
  <c r="AD18" i="14"/>
  <c r="AD34" i="14" s="1"/>
  <c r="AA54" i="14"/>
  <c r="AA37" i="14" s="1"/>
  <c r="AA26" i="14"/>
  <c r="AC31" i="14"/>
  <c r="D36" i="14"/>
  <c r="Y35" i="14"/>
  <c r="AF33" i="14"/>
  <c r="R30" i="14"/>
  <c r="I31" i="14"/>
  <c r="X28" i="14"/>
  <c r="W30" i="14"/>
  <c r="T30" i="14"/>
  <c r="AC38" i="14"/>
  <c r="W28" i="14"/>
  <c r="AB28" i="14"/>
  <c r="M26" i="14"/>
  <c r="AK32" i="14"/>
  <c r="R36" i="14"/>
  <c r="M29" i="14"/>
  <c r="Z38" i="14"/>
  <c r="J32" i="14"/>
  <c r="I28" i="14"/>
  <c r="Z27" i="14"/>
  <c r="AA31" i="14"/>
  <c r="V27" i="14"/>
  <c r="AC37" i="14"/>
  <c r="M30" i="14"/>
  <c r="H27" i="14"/>
  <c r="AF28" i="14"/>
  <c r="AF38" i="14"/>
  <c r="H30" i="14"/>
  <c r="O29" i="14"/>
  <c r="H34" i="14"/>
  <c r="T32" i="14"/>
  <c r="W36" i="14"/>
  <c r="E34" i="14"/>
  <c r="W34" i="14"/>
  <c r="Y32" i="14"/>
  <c r="U23" i="14"/>
  <c r="F92" i="13" s="1"/>
  <c r="T37" i="14"/>
  <c r="X30" i="14"/>
  <c r="M33" i="14"/>
  <c r="AB26" i="14"/>
  <c r="AG36" i="14"/>
  <c r="U30" i="14"/>
  <c r="R26" i="14"/>
  <c r="AD33" i="14"/>
  <c r="AF29" i="14"/>
  <c r="AE29" i="14"/>
  <c r="U34" i="14"/>
  <c r="S36" i="14"/>
  <c r="AD29" i="14"/>
  <c r="AK37" i="14"/>
  <c r="AJ30" i="14"/>
  <c r="U35" i="14"/>
  <c r="K32" i="14"/>
  <c r="H35" i="14"/>
  <c r="AI38" i="14"/>
  <c r="M28" i="14"/>
  <c r="D31" i="14"/>
  <c r="AK33" i="14"/>
  <c r="Z36" i="14"/>
  <c r="E35" i="14"/>
  <c r="Y28" i="14"/>
  <c r="I27" i="14"/>
  <c r="G26" i="14"/>
  <c r="AG28" i="14"/>
  <c r="D111" i="56"/>
  <c r="AD28" i="14"/>
  <c r="I37" i="14"/>
  <c r="W37" i="14"/>
  <c r="S30" i="14"/>
  <c r="AB33" i="14"/>
  <c r="AG32" i="14"/>
  <c r="AI35" i="14"/>
  <c r="N23" i="14"/>
  <c r="F86" i="13" s="1"/>
  <c r="AH30" i="14"/>
  <c r="AF34" i="14"/>
  <c r="AJ27" i="14"/>
  <c r="AH29" i="14"/>
  <c r="N28" i="14"/>
  <c r="T28" i="14"/>
  <c r="K56" i="14"/>
  <c r="I83" i="13" s="1"/>
  <c r="L35" i="14"/>
  <c r="P36" i="14"/>
  <c r="E37" i="14"/>
  <c r="Y30" i="14"/>
  <c r="AK56" i="14"/>
  <c r="I114" i="13" s="1"/>
  <c r="E33" i="14"/>
  <c r="N36" i="14"/>
  <c r="G30" i="14"/>
  <c r="AC29" i="14"/>
  <c r="AD36" i="14"/>
  <c r="E27" i="14"/>
  <c r="Q56" i="14"/>
  <c r="I88" i="13" s="1"/>
  <c r="U36" i="14"/>
  <c r="AH56" i="14"/>
  <c r="I108" i="13" s="1"/>
  <c r="Y37" i="14"/>
  <c r="Q38" i="14"/>
  <c r="AJ34" i="14"/>
  <c r="D35" i="14"/>
  <c r="P30" i="14"/>
  <c r="I104" i="56"/>
  <c r="R27" i="14"/>
  <c r="V26" i="14"/>
  <c r="AD30" i="14"/>
  <c r="AG30" i="14"/>
  <c r="L30" i="14"/>
  <c r="AD37" i="14"/>
  <c r="AD26" i="14"/>
  <c r="S26" i="14"/>
  <c r="P35" i="14"/>
  <c r="D23" i="14"/>
  <c r="F75" i="13" s="1"/>
  <c r="G23" i="14"/>
  <c r="F76" i="13" s="1"/>
  <c r="I29" i="14"/>
  <c r="Q33" i="14"/>
  <c r="AK34" i="14"/>
  <c r="F37" i="14"/>
  <c r="X36" i="14"/>
  <c r="R31" i="14"/>
  <c r="AB56" i="14"/>
  <c r="I101" i="13" s="1"/>
  <c r="H32" i="14"/>
  <c r="J37" i="14"/>
  <c r="V23" i="14"/>
  <c r="F93" i="13" s="1"/>
  <c r="W35" i="14"/>
  <c r="H36" i="14"/>
  <c r="O34" i="14"/>
  <c r="N33" i="14"/>
  <c r="V32" i="14"/>
  <c r="S28" i="14"/>
  <c r="E56" i="14"/>
  <c r="I77" i="13" s="1"/>
  <c r="E26" i="14"/>
  <c r="G36" i="14"/>
  <c r="F29" i="14"/>
  <c r="J33" i="14"/>
  <c r="R33" i="14"/>
  <c r="L56" i="14"/>
  <c r="I81" i="13" s="1"/>
  <c r="AF56" i="14"/>
  <c r="I105" i="13" s="1"/>
  <c r="R23" i="14"/>
  <c r="F89" i="13" s="1"/>
  <c r="Z33" i="14"/>
  <c r="V34" i="14"/>
  <c r="N31" i="14"/>
  <c r="D37" i="14"/>
  <c r="AC35" i="14"/>
  <c r="AB30" i="14"/>
  <c r="D26" i="14"/>
  <c r="M56" i="14"/>
  <c r="I84" i="13" s="1"/>
  <c r="AH27" i="14"/>
  <c r="T26" i="14"/>
  <c r="D41" i="3"/>
  <c r="D96" i="56" s="1"/>
  <c r="I96" i="56" s="1"/>
  <c r="S56" i="14"/>
  <c r="I90" i="13" s="1"/>
  <c r="N56" i="14"/>
  <c r="I86" i="13" s="1"/>
  <c r="L36" i="14"/>
  <c r="K31" i="14"/>
  <c r="Y36" i="14"/>
  <c r="Y31" i="14"/>
  <c r="AB29" i="14"/>
  <c r="H23" i="14"/>
  <c r="F79" i="13" s="1"/>
  <c r="W26" i="14"/>
  <c r="E31" i="14"/>
  <c r="P26" i="14"/>
  <c r="L33" i="14"/>
  <c r="AB34" i="14" l="1"/>
  <c r="AH23" i="14"/>
  <c r="F108" i="13" s="1"/>
  <c r="AY117" i="14"/>
  <c r="Y26" i="14"/>
  <c r="O56" i="14"/>
  <c r="I85" i="13" s="1"/>
  <c r="Z31" i="14"/>
  <c r="U37" i="14"/>
  <c r="G27" i="14"/>
  <c r="F23" i="14"/>
  <c r="F78" i="13" s="1"/>
  <c r="AJ23" i="14"/>
  <c r="F113" i="13" s="1"/>
  <c r="U56" i="14"/>
  <c r="I92" i="13" s="1"/>
  <c r="L28" i="14"/>
  <c r="I56" i="14"/>
  <c r="I80" i="13" s="1"/>
  <c r="M36" i="14"/>
  <c r="X37" i="14"/>
  <c r="R56" i="14"/>
  <c r="I89" i="13" s="1"/>
  <c r="AI23" i="14"/>
  <c r="F112" i="13" s="1"/>
  <c r="AD31" i="14"/>
  <c r="F56" i="14"/>
  <c r="I78" i="13" s="1"/>
  <c r="Y56" i="14"/>
  <c r="I96" i="13" s="1"/>
  <c r="W23" i="14"/>
  <c r="F94" i="13" s="1"/>
  <c r="Q23" i="14"/>
  <c r="F88" i="13" s="1"/>
  <c r="AA23" i="14"/>
  <c r="F98" i="13" s="1"/>
  <c r="AE23" i="14"/>
  <c r="F104" i="13" s="1"/>
  <c r="AD23" i="14"/>
  <c r="F103" i="13" s="1"/>
  <c r="I32" i="14"/>
  <c r="AI56" i="14"/>
  <c r="I112" i="13" s="1"/>
  <c r="L26" i="14"/>
  <c r="AA56" i="14"/>
  <c r="I98" i="13" s="1"/>
  <c r="K23" i="14"/>
  <c r="F83" i="13" s="1"/>
  <c r="V36" i="14"/>
  <c r="X23" i="14"/>
  <c r="F95" i="13" s="1"/>
  <c r="G56" i="14"/>
  <c r="I76" i="13" s="1"/>
  <c r="AF23" i="14"/>
  <c r="F105" i="13" s="1"/>
  <c r="I30" i="14"/>
  <c r="L23" i="14"/>
  <c r="F81" i="13" s="1"/>
  <c r="T56" i="14"/>
  <c r="I91" i="13" s="1"/>
  <c r="I23" i="14"/>
  <c r="F80" i="13" s="1"/>
  <c r="F33" i="14"/>
  <c r="Z35" i="14"/>
  <c r="K36" i="14"/>
  <c r="V56" i="14"/>
  <c r="I93" i="13" s="1"/>
  <c r="P23" i="14"/>
  <c r="F87" i="13" s="1"/>
  <c r="T23" i="14"/>
  <c r="F91" i="13" s="1"/>
  <c r="U29" i="14"/>
  <c r="U39" i="14" s="1"/>
  <c r="W56" i="14"/>
  <c r="I94" i="13" s="1"/>
  <c r="AI31" i="14"/>
  <c r="H56" i="14"/>
  <c r="I79" i="13" s="1"/>
  <c r="J29" i="14"/>
  <c r="AA27" i="14"/>
  <c r="F34" i="14"/>
  <c r="F39" i="14" s="1"/>
  <c r="Z23" i="14"/>
  <c r="F97" i="13" s="1"/>
  <c r="J34" i="14"/>
  <c r="AA35" i="14"/>
  <c r="P28" i="14"/>
  <c r="AY87" i="14"/>
  <c r="H27" i="49" s="1"/>
  <c r="H33" i="49" s="1"/>
  <c r="AC23" i="14"/>
  <c r="F106" i="13" s="1"/>
  <c r="Y23" i="14"/>
  <c r="F96" i="13" s="1"/>
  <c r="AI26" i="14"/>
  <c r="P34" i="14"/>
  <c r="AF27" i="14"/>
  <c r="AF39" i="14" s="1"/>
  <c r="D38" i="14"/>
  <c r="AB23" i="14"/>
  <c r="F101" i="13" s="1"/>
  <c r="AE35" i="14"/>
  <c r="AE39" i="14" s="1"/>
  <c r="AG34" i="14"/>
  <c r="AC34" i="14"/>
  <c r="X56" i="14"/>
  <c r="I95" i="13" s="1"/>
  <c r="AY102" i="14"/>
  <c r="AG56" i="14"/>
  <c r="I107" i="13" s="1"/>
  <c r="AD56" i="14"/>
  <c r="I103" i="13" s="1"/>
  <c r="AK23" i="14"/>
  <c r="F114" i="13" s="1"/>
  <c r="S23" i="14"/>
  <c r="F90" i="13" s="1"/>
  <c r="V38" i="14"/>
  <c r="V39" i="14" s="1"/>
  <c r="AI30" i="14"/>
  <c r="AJ35" i="14"/>
  <c r="AJ39" i="14" s="1"/>
  <c r="O23" i="14"/>
  <c r="F85" i="13" s="1"/>
  <c r="M23" i="14"/>
  <c r="F84" i="13" s="1"/>
  <c r="E23" i="14"/>
  <c r="F77" i="13" s="1"/>
  <c r="D27" i="14"/>
  <c r="X31" i="14"/>
  <c r="X39" i="14" s="1"/>
  <c r="O36" i="14"/>
  <c r="O39" i="14" s="1"/>
  <c r="AG35" i="14"/>
  <c r="W39" i="14"/>
  <c r="Z39" i="14"/>
  <c r="E39" i="14"/>
  <c r="D108" i="56"/>
  <c r="D255" i="56" s="1"/>
  <c r="D258" i="56" s="1"/>
  <c r="G256" i="56" s="1"/>
  <c r="K256" i="56" s="1"/>
  <c r="G91" i="56" s="1"/>
  <c r="I39" i="14"/>
  <c r="T39" i="14"/>
  <c r="H39" i="14"/>
  <c r="M39" i="14"/>
  <c r="K39" i="14"/>
  <c r="AC39" i="14"/>
  <c r="R39" i="14"/>
  <c r="AK39" i="14"/>
  <c r="AD39" i="14"/>
  <c r="Q39" i="14"/>
  <c r="N39" i="14"/>
  <c r="L39" i="14"/>
  <c r="AH39" i="14"/>
  <c r="S39" i="14"/>
  <c r="Y39" i="14"/>
  <c r="G39" i="14"/>
  <c r="AB39" i="14"/>
  <c r="D101" i="56"/>
  <c r="K19" i="16"/>
  <c r="I108" i="56"/>
  <c r="D39" i="14" l="1"/>
  <c r="AG39" i="14"/>
  <c r="AA39" i="14"/>
  <c r="AY56" i="14"/>
  <c r="J39" i="14"/>
  <c r="G27" i="49"/>
  <c r="G33" i="49" s="1"/>
  <c r="P39" i="14"/>
  <c r="AY23" i="14"/>
  <c r="D113" i="56"/>
  <c r="D131" i="56" s="1"/>
  <c r="D203" i="56" s="1"/>
  <c r="AI39" i="14"/>
  <c r="H19" i="13"/>
  <c r="K20" i="16"/>
  <c r="K30" i="16"/>
  <c r="M30" i="16" s="1"/>
  <c r="G100" i="56"/>
  <c r="I91" i="56"/>
  <c r="J27" i="49" l="1"/>
  <c r="R27" i="49" s="1"/>
  <c r="R33" i="49" s="1"/>
  <c r="I92" i="56"/>
  <c r="G92" i="56" s="1"/>
  <c r="G166" i="56"/>
  <c r="I100" i="56"/>
  <c r="I101" i="56" s="1"/>
  <c r="H74" i="16"/>
  <c r="I74" i="16" s="1"/>
  <c r="H76" i="16"/>
  <c r="I76" i="16" s="1"/>
  <c r="H75" i="16"/>
  <c r="I75" i="16" s="1"/>
  <c r="H73" i="16"/>
  <c r="I73" i="16" s="1"/>
  <c r="J33" i="49" l="1"/>
  <c r="I166" i="56"/>
  <c r="I168" i="56" s="1"/>
  <c r="G174" i="56"/>
  <c r="I174" i="56" s="1"/>
  <c r="I112" i="56"/>
  <c r="I113" i="56" s="1"/>
  <c r="G113" i="56" s="1"/>
  <c r="G128" i="56"/>
  <c r="I128" i="56" s="1"/>
  <c r="G182" i="56"/>
  <c r="G184" i="56" l="1"/>
  <c r="I184" i="56" s="1"/>
  <c r="G185" i="56"/>
  <c r="I185" i="56" s="1"/>
  <c r="I182" i="56"/>
  <c r="G198" i="56"/>
  <c r="G199" i="56" s="1"/>
  <c r="G200" i="56" s="1"/>
  <c r="G117" i="56"/>
  <c r="H28" i="13"/>
  <c r="H29" i="13" s="1"/>
  <c r="N29" i="13" s="1"/>
  <c r="K38" i="16"/>
  <c r="K39" i="16" s="1"/>
  <c r="M39" i="16" s="1"/>
  <c r="I175" i="56"/>
  <c r="H22" i="13"/>
  <c r="H24" i="13" s="1"/>
  <c r="H25" i="13" s="1"/>
  <c r="N25" i="13" s="1"/>
  <c r="K23" i="16"/>
  <c r="K34" i="16" s="1"/>
  <c r="K35" i="16" s="1"/>
  <c r="M35" i="16" s="1"/>
  <c r="I126" i="56"/>
  <c r="I129" i="56" s="1"/>
  <c r="I117" i="56" l="1"/>
  <c r="G118" i="56"/>
  <c r="I186" i="56"/>
  <c r="K42" i="16" l="1"/>
  <c r="K43" i="16" s="1"/>
  <c r="H32" i="13"/>
  <c r="H33" i="13" s="1"/>
  <c r="N33" i="13" s="1"/>
  <c r="N35" i="13" s="1"/>
  <c r="G120" i="56"/>
  <c r="I120" i="56" s="1"/>
  <c r="I118" i="56"/>
  <c r="G119" i="56"/>
  <c r="I119" i="56" s="1"/>
  <c r="I121" i="56" l="1"/>
  <c r="I131" i="56" s="1"/>
  <c r="I203" i="56" s="1"/>
  <c r="G92" i="13"/>
  <c r="H92" i="13" s="1"/>
  <c r="G105" i="13"/>
  <c r="H105" i="13" s="1"/>
  <c r="G91" i="13"/>
  <c r="H91" i="13" s="1"/>
  <c r="G102" i="13"/>
  <c r="H102" i="13" s="1"/>
  <c r="G111" i="13"/>
  <c r="H111" i="13" s="1"/>
  <c r="G89" i="13"/>
  <c r="H89" i="13" s="1"/>
  <c r="G80" i="13"/>
  <c r="H80" i="13" s="1"/>
  <c r="G96" i="13"/>
  <c r="H96" i="13" s="1"/>
  <c r="G99" i="13"/>
  <c r="H99" i="13" s="1"/>
  <c r="G95" i="13"/>
  <c r="H95" i="13" s="1"/>
  <c r="G83" i="13"/>
  <c r="H83" i="13" s="1"/>
  <c r="G113" i="13"/>
  <c r="H113" i="13" s="1"/>
  <c r="G103" i="13"/>
  <c r="H103" i="13" s="1"/>
  <c r="G98" i="13"/>
  <c r="H98" i="13" s="1"/>
  <c r="G75" i="13"/>
  <c r="H75" i="13" s="1"/>
  <c r="G107" i="13"/>
  <c r="H107" i="13" s="1"/>
  <c r="G116" i="13"/>
  <c r="H116" i="13" s="1"/>
  <c r="G108" i="13"/>
  <c r="H108" i="13" s="1"/>
  <c r="G79" i="13"/>
  <c r="H79" i="13" s="1"/>
  <c r="G114" i="13"/>
  <c r="H114" i="13" s="1"/>
  <c r="G109" i="13"/>
  <c r="H109" i="13" s="1"/>
  <c r="G90" i="13"/>
  <c r="H90" i="13" s="1"/>
  <c r="G88" i="13"/>
  <c r="H88" i="13" s="1"/>
  <c r="G82" i="13"/>
  <c r="H82" i="13" s="1"/>
  <c r="G94" i="13"/>
  <c r="H94" i="13" s="1"/>
  <c r="G120" i="13"/>
  <c r="H120" i="13" s="1"/>
  <c r="G106" i="13"/>
  <c r="H106" i="13" s="1"/>
  <c r="G77" i="13"/>
  <c r="H77" i="13" s="1"/>
  <c r="G118" i="13"/>
  <c r="H118" i="13" s="1"/>
  <c r="G104" i="13"/>
  <c r="H104" i="13" s="1"/>
  <c r="G119" i="13"/>
  <c r="H119" i="13" s="1"/>
  <c r="G97" i="13"/>
  <c r="H97" i="13" s="1"/>
  <c r="G81" i="13"/>
  <c r="H81" i="13" s="1"/>
  <c r="G101" i="13"/>
  <c r="H101" i="13" s="1"/>
  <c r="G87" i="13"/>
  <c r="H87" i="13" s="1"/>
  <c r="G86" i="13"/>
  <c r="H86" i="13" s="1"/>
  <c r="G112" i="13"/>
  <c r="H112" i="13" s="1"/>
  <c r="G121" i="13"/>
  <c r="H121" i="13" s="1"/>
  <c r="G84" i="13"/>
  <c r="H84" i="13" s="1"/>
  <c r="G115" i="13"/>
  <c r="H115" i="13" s="1"/>
  <c r="G85" i="13"/>
  <c r="H85" i="13" s="1"/>
  <c r="G78" i="13"/>
  <c r="H78" i="13" s="1"/>
  <c r="G100" i="13"/>
  <c r="H100" i="13" s="1"/>
  <c r="G110" i="13"/>
  <c r="H110" i="13" s="1"/>
  <c r="G93" i="13"/>
  <c r="H93" i="13" s="1"/>
  <c r="G76" i="13"/>
  <c r="H76" i="13" s="1"/>
  <c r="G117" i="13"/>
  <c r="H117" i="13" s="1"/>
  <c r="M43" i="16"/>
  <c r="M45" i="16" s="1"/>
  <c r="K45" i="16"/>
  <c r="J73" i="16" l="1"/>
  <c r="K73" i="16" s="1"/>
  <c r="L73" i="16" s="1"/>
  <c r="J76" i="16"/>
  <c r="K76" i="16" s="1"/>
  <c r="L76" i="16" s="1"/>
  <c r="J75" i="16"/>
  <c r="K75" i="16" s="1"/>
  <c r="L75" i="16" s="1"/>
  <c r="J74" i="16"/>
  <c r="K74" i="16" s="1"/>
  <c r="L74" i="16" s="1"/>
  <c r="H42" i="13"/>
  <c r="H43" i="13" s="1"/>
  <c r="N43" i="13" s="1"/>
  <c r="K52" i="16"/>
  <c r="K53" i="16" s="1"/>
  <c r="M53" i="16" s="1"/>
  <c r="C5" i="8"/>
  <c r="C8" i="8" l="1"/>
  <c r="D11" i="9"/>
  <c r="D17" i="9" s="1"/>
  <c r="D21" i="9" s="1"/>
  <c r="D22" i="9" s="1"/>
  <c r="D24" i="9" s="1"/>
  <c r="C15" i="8"/>
  <c r="C17" i="8" s="1"/>
  <c r="C19" i="8" s="1"/>
  <c r="C12" i="8"/>
  <c r="D319" i="56" l="1"/>
  <c r="D189" i="56" s="1"/>
  <c r="D190" i="56" s="1"/>
  <c r="C13" i="8"/>
  <c r="D193" i="56" l="1"/>
  <c r="D198" i="56" s="1"/>
  <c r="I198" i="56" s="1"/>
  <c r="I197" i="56"/>
  <c r="D197" i="56"/>
  <c r="D199" i="56" l="1"/>
  <c r="I199" i="56" s="1"/>
  <c r="D200" i="56"/>
  <c r="I200" i="56" s="1"/>
  <c r="I201" i="56" l="1"/>
  <c r="E6" i="8" s="1"/>
  <c r="D201" i="56"/>
  <c r="D206" i="56" s="1"/>
  <c r="H38" i="13"/>
  <c r="H39" i="13" s="1"/>
  <c r="N39" i="13" s="1"/>
  <c r="N45" i="13" s="1"/>
  <c r="I206" i="56"/>
  <c r="I287" i="56" s="1"/>
  <c r="K48" i="16" l="1"/>
  <c r="K49" i="16" s="1"/>
  <c r="J111" i="13"/>
  <c r="K111" i="13" s="1"/>
  <c r="N111" i="13" s="1"/>
  <c r="P111" i="13" s="1"/>
  <c r="J93" i="13"/>
  <c r="K93" i="13" s="1"/>
  <c r="N93" i="13" s="1"/>
  <c r="P93" i="13" s="1"/>
  <c r="J101" i="13"/>
  <c r="K101" i="13" s="1"/>
  <c r="N101" i="13" s="1"/>
  <c r="P101" i="13" s="1"/>
  <c r="J118" i="13"/>
  <c r="K118" i="13" s="1"/>
  <c r="N118" i="13" s="1"/>
  <c r="P118" i="13" s="1"/>
  <c r="J94" i="13"/>
  <c r="K94" i="13" s="1"/>
  <c r="N94" i="13" s="1"/>
  <c r="P94" i="13" s="1"/>
  <c r="J106" i="13"/>
  <c r="K106" i="13" s="1"/>
  <c r="N106" i="13" s="1"/>
  <c r="P106" i="13" s="1"/>
  <c r="J112" i="13"/>
  <c r="K112" i="13" s="1"/>
  <c r="N112" i="13" s="1"/>
  <c r="P112" i="13" s="1"/>
  <c r="J82" i="13"/>
  <c r="K82" i="13" s="1"/>
  <c r="N82" i="13" s="1"/>
  <c r="P82" i="13" s="1"/>
  <c r="J103" i="13"/>
  <c r="K103" i="13" s="1"/>
  <c r="N103" i="13" s="1"/>
  <c r="P103" i="13" s="1"/>
  <c r="J90" i="13"/>
  <c r="K90" i="13" s="1"/>
  <c r="N90" i="13" s="1"/>
  <c r="P90" i="13" s="1"/>
  <c r="J77" i="13"/>
  <c r="K77" i="13" s="1"/>
  <c r="N77" i="13" s="1"/>
  <c r="P77" i="13" s="1"/>
  <c r="J95" i="13"/>
  <c r="K95" i="13" s="1"/>
  <c r="N95" i="13" s="1"/>
  <c r="P95" i="13" s="1"/>
  <c r="J89" i="13"/>
  <c r="K89" i="13" s="1"/>
  <c r="N89" i="13" s="1"/>
  <c r="P89" i="13" s="1"/>
  <c r="J102" i="13"/>
  <c r="K102" i="13" s="1"/>
  <c r="N102" i="13" s="1"/>
  <c r="P102" i="13" s="1"/>
  <c r="J105" i="13"/>
  <c r="K105" i="13" s="1"/>
  <c r="N105" i="13" s="1"/>
  <c r="P105" i="13" s="1"/>
  <c r="J92" i="13"/>
  <c r="K92" i="13" s="1"/>
  <c r="N92" i="13" s="1"/>
  <c r="P92" i="13" s="1"/>
  <c r="J84" i="13"/>
  <c r="K84" i="13" s="1"/>
  <c r="N84" i="13" s="1"/>
  <c r="P84" i="13" s="1"/>
  <c r="J79" i="13"/>
  <c r="K79" i="13" s="1"/>
  <c r="N79" i="13" s="1"/>
  <c r="P79" i="13" s="1"/>
  <c r="J108" i="13"/>
  <c r="K108" i="13" s="1"/>
  <c r="N108" i="13" s="1"/>
  <c r="P108" i="13" s="1"/>
  <c r="J109" i="13"/>
  <c r="K109" i="13" s="1"/>
  <c r="N109" i="13" s="1"/>
  <c r="P109" i="13" s="1"/>
  <c r="J96" i="13"/>
  <c r="K96" i="13" s="1"/>
  <c r="N96" i="13" s="1"/>
  <c r="P96" i="13" s="1"/>
  <c r="J116" i="13"/>
  <c r="K116" i="13" s="1"/>
  <c r="N116" i="13" s="1"/>
  <c r="P116" i="13" s="1"/>
  <c r="J117" i="13"/>
  <c r="K117" i="13" s="1"/>
  <c r="N117" i="13" s="1"/>
  <c r="P117" i="13" s="1"/>
  <c r="J97" i="13"/>
  <c r="K97" i="13" s="1"/>
  <c r="N97" i="13" s="1"/>
  <c r="P97" i="13" s="1"/>
  <c r="J75" i="13"/>
  <c r="K75" i="13" s="1"/>
  <c r="N75" i="13" s="1"/>
  <c r="J104" i="13"/>
  <c r="K104" i="13" s="1"/>
  <c r="N104" i="13" s="1"/>
  <c r="P104" i="13" s="1"/>
  <c r="J120" i="13"/>
  <c r="K120" i="13" s="1"/>
  <c r="N120" i="13" s="1"/>
  <c r="P120" i="13" s="1"/>
  <c r="J98" i="13"/>
  <c r="K98" i="13" s="1"/>
  <c r="N98" i="13" s="1"/>
  <c r="P98" i="13" s="1"/>
  <c r="J99" i="13"/>
  <c r="K99" i="13" s="1"/>
  <c r="N99" i="13" s="1"/>
  <c r="P99" i="13" s="1"/>
  <c r="J113" i="13"/>
  <c r="K113" i="13" s="1"/>
  <c r="N113" i="13" s="1"/>
  <c r="P113" i="13" s="1"/>
  <c r="J119" i="13"/>
  <c r="K119" i="13" s="1"/>
  <c r="N119" i="13" s="1"/>
  <c r="P119" i="13" s="1"/>
  <c r="J87" i="13"/>
  <c r="K87" i="13" s="1"/>
  <c r="N87" i="13" s="1"/>
  <c r="P87" i="13" s="1"/>
  <c r="J114" i="13"/>
  <c r="K114" i="13" s="1"/>
  <c r="N114" i="13" s="1"/>
  <c r="P114" i="13" s="1"/>
  <c r="J81" i="13"/>
  <c r="K81" i="13" s="1"/>
  <c r="N81" i="13" s="1"/>
  <c r="P81" i="13" s="1"/>
  <c r="J85" i="13"/>
  <c r="K85" i="13" s="1"/>
  <c r="N85" i="13" s="1"/>
  <c r="P85" i="13" s="1"/>
  <c r="J91" i="13"/>
  <c r="K91" i="13" s="1"/>
  <c r="N91" i="13" s="1"/>
  <c r="P91" i="13" s="1"/>
  <c r="J115" i="13"/>
  <c r="K115" i="13" s="1"/>
  <c r="N115" i="13" s="1"/>
  <c r="P115" i="13" s="1"/>
  <c r="J83" i="13"/>
  <c r="K83" i="13" s="1"/>
  <c r="N83" i="13" s="1"/>
  <c r="P83" i="13" s="1"/>
  <c r="J80" i="13"/>
  <c r="K80" i="13" s="1"/>
  <c r="N80" i="13" s="1"/>
  <c r="P80" i="13" s="1"/>
  <c r="J86" i="13"/>
  <c r="K86" i="13" s="1"/>
  <c r="N86" i="13" s="1"/>
  <c r="P86" i="13" s="1"/>
  <c r="J100" i="13"/>
  <c r="K100" i="13" s="1"/>
  <c r="N100" i="13" s="1"/>
  <c r="P100" i="13" s="1"/>
  <c r="J76" i="13"/>
  <c r="K76" i="13" s="1"/>
  <c r="N76" i="13" s="1"/>
  <c r="P76" i="13" s="1"/>
  <c r="J110" i="13"/>
  <c r="K110" i="13" s="1"/>
  <c r="N110" i="13" s="1"/>
  <c r="P110" i="13" s="1"/>
  <c r="J78" i="13"/>
  <c r="K78" i="13" s="1"/>
  <c r="N78" i="13" s="1"/>
  <c r="P78" i="13" s="1"/>
  <c r="J121" i="13"/>
  <c r="K121" i="13" s="1"/>
  <c r="N121" i="13" s="1"/>
  <c r="J88" i="13"/>
  <c r="K88" i="13" s="1"/>
  <c r="N88" i="13" s="1"/>
  <c r="P88" i="13" s="1"/>
  <c r="J107" i="13"/>
  <c r="K107" i="13" s="1"/>
  <c r="N107" i="13" s="1"/>
  <c r="P107" i="13" s="1"/>
  <c r="M49" i="16"/>
  <c r="M55" i="16" s="1"/>
  <c r="K55" i="16"/>
  <c r="P75" i="13" l="1"/>
  <c r="P125" i="13" s="1"/>
  <c r="N125" i="13"/>
  <c r="N74" i="16"/>
  <c r="O74" i="16" s="1"/>
  <c r="R74" i="16" s="1"/>
  <c r="T74" i="16" s="1"/>
  <c r="N76" i="16"/>
  <c r="O76" i="16" s="1"/>
  <c r="R76" i="16" s="1"/>
  <c r="T76" i="16" s="1"/>
  <c r="N73" i="16"/>
  <c r="O73" i="16" s="1"/>
  <c r="R73" i="16" s="1"/>
  <c r="N75" i="16"/>
  <c r="O75" i="16" s="1"/>
  <c r="R75" i="16" s="1"/>
  <c r="T75" i="16" s="1"/>
  <c r="R98" i="16" l="1"/>
  <c r="T73" i="16"/>
  <c r="T98" i="16" s="1"/>
  <c r="N127" i="13"/>
  <c r="I289" i="56" l="1"/>
  <c r="D210" i="56"/>
  <c r="R100" i="16"/>
  <c r="D214" i="56" l="1"/>
  <c r="I290" i="56"/>
  <c r="I210" i="56"/>
  <c r="D215" i="56" l="1"/>
  <c r="I214" i="56"/>
  <c r="I215" i="56" s="1"/>
  <c r="I11" i="56" s="1"/>
  <c r="D15" i="56" l="1"/>
  <c r="I15" i="56" s="1"/>
  <c r="I18" i="56" s="1"/>
  <c r="I20" i="56" s="1"/>
  <c r="H203" i="58" s="1"/>
  <c r="H206" i="58" s="1"/>
  <c r="H208" i="58" l="1"/>
  <c r="B207" i="58" s="1"/>
  <c r="G4" i="20"/>
  <c r="D32" i="56"/>
  <c r="I288" i="56"/>
  <c r="U33" i="49"/>
  <c r="G15" i="20" l="1"/>
  <c r="G17" i="20" s="1"/>
  <c r="G13" i="20"/>
  <c r="G14" i="20" s="1"/>
  <c r="G16" i="20" s="1"/>
  <c r="G87" i="20"/>
  <c r="G12" i="20"/>
  <c r="C207" i="58"/>
  <c r="B208" i="58"/>
  <c r="G27" i="20" s="1"/>
  <c r="U27" i="49"/>
  <c r="U29" i="49"/>
  <c r="U31" i="49"/>
  <c r="U32" i="49"/>
  <c r="U30" i="49"/>
  <c r="U28" i="49"/>
  <c r="D33" i="56"/>
  <c r="I37" i="56"/>
  <c r="I38" i="56" s="1"/>
  <c r="I36" i="56"/>
  <c r="D36" i="56"/>
  <c r="D37" i="56" s="1"/>
  <c r="D38" i="56" s="1"/>
  <c r="D207" i="58" l="1"/>
  <c r="C208" i="58"/>
  <c r="G38" i="20" s="1"/>
  <c r="G98" i="20"/>
  <c r="G95" i="20"/>
  <c r="G96" i="20"/>
  <c r="G97" i="20" s="1"/>
  <c r="G104" i="20"/>
  <c r="G33" i="20"/>
  <c r="G35" i="20" s="1"/>
  <c r="G30" i="20"/>
  <c r="G31" i="20"/>
  <c r="G32" i="20" s="1"/>
  <c r="G34" i="20" s="1"/>
  <c r="G42" i="20" l="1"/>
  <c r="G43" i="20" s="1"/>
  <c r="G45" i="20" s="1"/>
  <c r="G113" i="20"/>
  <c r="G44" i="20"/>
  <c r="G46" i="20" s="1"/>
  <c r="G41" i="20"/>
  <c r="G110" i="20"/>
  <c r="G108" i="20"/>
  <c r="G109" i="20" s="1"/>
  <c r="G107" i="20"/>
  <c r="D208" i="58"/>
  <c r="G49" i="20" s="1"/>
  <c r="E207" i="58"/>
  <c r="G53" i="20" l="1"/>
  <c r="G54" i="20" s="1"/>
  <c r="G56" i="20" s="1"/>
  <c r="G52" i="20"/>
  <c r="G55" i="20"/>
  <c r="G57" i="20" s="1"/>
  <c r="G122" i="20"/>
  <c r="G119" i="20"/>
  <c r="G116" i="20"/>
  <c r="G117" i="20"/>
  <c r="G118" i="20" s="1"/>
  <c r="E208" i="58"/>
  <c r="G60" i="20" s="1"/>
  <c r="F207" i="58"/>
  <c r="F208" i="58" s="1"/>
  <c r="G71" i="20" s="1"/>
  <c r="G63" i="20" l="1"/>
  <c r="G66" i="20"/>
  <c r="G68" i="20" s="1"/>
  <c r="G64" i="20"/>
  <c r="G65" i="20" s="1"/>
  <c r="G67" i="20" s="1"/>
  <c r="G131" i="20"/>
  <c r="G125" i="20"/>
  <c r="G128" i="20"/>
  <c r="G126" i="20"/>
  <c r="G127" i="20" s="1"/>
  <c r="G77" i="20"/>
  <c r="G79" i="20" s="1"/>
  <c r="G75" i="20"/>
  <c r="G76" i="20" s="1"/>
  <c r="G78" i="20" s="1"/>
  <c r="G140" i="20"/>
  <c r="G74" i="20"/>
  <c r="G135" i="20" l="1"/>
  <c r="G136" i="20" s="1"/>
  <c r="G137" i="20"/>
  <c r="G134" i="20"/>
  <c r="G143" i="20"/>
  <c r="G144" i="20"/>
  <c r="G145" i="20" s="1"/>
  <c r="G146" i="20"/>
</calcChain>
</file>

<file path=xl/sharedStrings.xml><?xml version="1.0" encoding="utf-8"?>
<sst xmlns="http://schemas.openxmlformats.org/spreadsheetml/2006/main" count="2631" uniqueCount="1283">
  <si>
    <t>page 1 of 5</t>
  </si>
  <si>
    <t xml:space="preserve">Formula Rate - Non-Levelized </t>
  </si>
  <si>
    <t>Rate Formula Template</t>
  </si>
  <si>
    <t xml:space="preserve"> </t>
  </si>
  <si>
    <t>Utilizing FERC Form 1 Data</t>
  </si>
  <si>
    <t>American Transmission Company LLC</t>
  </si>
  <si>
    <t>Thirteen Monthly Balances</t>
  </si>
  <si>
    <t>Composite Depreciation Rates</t>
  </si>
  <si>
    <t>Line</t>
  </si>
  <si>
    <t>Allocated</t>
  </si>
  <si>
    <t>No.</t>
  </si>
  <si>
    <t>Amount</t>
  </si>
  <si>
    <r>
      <t xml:space="preserve">GROSS REVENUE REQUIREMENT  (page 3, line </t>
    </r>
    <r>
      <rPr>
        <sz val="12"/>
        <rFont val="Times New Roman"/>
        <family val="1"/>
      </rPr>
      <t>31)</t>
    </r>
  </si>
  <si>
    <t xml:space="preserve">REVENUE CREDITS </t>
  </si>
  <si>
    <t>(Note T)</t>
  </si>
  <si>
    <t>Total</t>
  </si>
  <si>
    <t>Allocator</t>
  </si>
  <si>
    <t xml:space="preserve">  Account No. 454</t>
  </si>
  <si>
    <t>(page 4, line 34)</t>
  </si>
  <si>
    <t>TP</t>
  </si>
  <si>
    <t xml:space="preserve">  Account No. 456.1</t>
  </si>
  <si>
    <t>(page 4, line 37)</t>
  </si>
  <si>
    <t xml:space="preserve">  Revenues from Grandfathered Interzonal Transactions</t>
  </si>
  <si>
    <t xml:space="preserve">  Revenues from service provided by the ISO at a discount</t>
  </si>
  <si>
    <t>TOTAL REVENUE CREDITS  (sum lines 2-5)</t>
  </si>
  <si>
    <t>NET REVENUE REQUIREMENT</t>
  </si>
  <si>
    <t>(line 1 minus line 6)</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</si>
  <si>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</si>
  <si>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</si>
  <si>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</si>
  <si>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</si>
  <si>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</si>
  <si>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</si>
  <si>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</si>
  <si>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</si>
  <si>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</si>
  <si>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</si>
  <si>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  (Note S)</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</si>
  <si>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</si>
  <si>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</si>
  <si>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</si>
  <si>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</si>
  <si>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</si>
  <si>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</si>
  <si>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</si>
  <si>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</si>
  <si>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</si>
  <si>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</si>
  <si>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</si>
  <si>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</si>
  <si>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</si>
  <si>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</si>
  <si>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</si>
  <si>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</si>
  <si>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</si>
  <si>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</si>
  <si>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 ($/MWh)</t>
  </si>
  <si>
    <t>(Note E)</t>
  </si>
  <si>
    <t>Short Term</t>
  </si>
  <si>
    <t>Long Term</t>
  </si>
  <si>
    <t>page 2 of 5</t>
  </si>
  <si>
    <t>Thirteen Month Average Rate Base Balances (Note Z)</t>
  </si>
  <si>
    <t>(1)</t>
  </si>
  <si>
    <t>(2)</t>
  </si>
  <si>
    <t>(3)</t>
  </si>
  <si>
    <t>(4)</t>
  </si>
  <si>
    <t>(5)</t>
  </si>
  <si>
    <t>Form No. 1</t>
  </si>
  <si>
    <t>Transmission</t>
  </si>
  <si>
    <t>Page, Line, Col.</t>
  </si>
  <si>
    <t>Company Total</t>
  </si>
  <si>
    <t xml:space="preserve">                  Allocator</t>
  </si>
  <si>
    <t>(Col 3 times Col 4)</t>
  </si>
  <si>
    <r>
      <t>RATE BASE:</t>
    </r>
    <r>
      <rPr>
        <b/>
        <sz val="12"/>
        <color indexed="10"/>
        <rFont val="Times New Roman"/>
        <family val="1"/>
      </rPr>
      <t xml:space="preserve"> </t>
    </r>
  </si>
  <si>
    <t>GROSS PLANT IN SERVICE</t>
  </si>
  <si>
    <t xml:space="preserve">  Production</t>
  </si>
  <si>
    <t>205.46.g</t>
  </si>
  <si>
    <t>NA</t>
  </si>
  <si>
    <t>2a</t>
  </si>
  <si>
    <t xml:space="preserve">  Transmission &amp; Intangible</t>
  </si>
  <si>
    <t>207.58.g &amp; 205.5g</t>
  </si>
  <si>
    <t>2b</t>
  </si>
  <si>
    <t xml:space="preserve">  CWIP</t>
  </si>
  <si>
    <t xml:space="preserve">  Distribution</t>
  </si>
  <si>
    <t>207.75.g</t>
  </si>
  <si>
    <t xml:space="preserve">  General</t>
  </si>
  <si>
    <t>207.99.g</t>
  </si>
  <si>
    <t>W/S</t>
  </si>
  <si>
    <t xml:space="preserve">  Common</t>
  </si>
  <si>
    <t>356.1</t>
  </si>
  <si>
    <t>CE</t>
  </si>
  <si>
    <t>TOTAL GROSS PLANT  (sum lines 1-5)</t>
  </si>
  <si>
    <t>GP=</t>
  </si>
  <si>
    <t>ACCUMULATED DEPRECIATION</t>
  </si>
  <si>
    <t>219.20-24.c</t>
  </si>
  <si>
    <t>8a</t>
  </si>
  <si>
    <t>219.25.c&amp;d &amp; 200.21.c</t>
  </si>
  <si>
    <t>8b</t>
  </si>
  <si>
    <t>219.26.c</t>
  </si>
  <si>
    <t>219.28.c&amp;d</t>
  </si>
  <si>
    <t>TOTAL ACCUM. DEPRECIATION  (sum lines 7-11)</t>
  </si>
  <si>
    <t>NET PLANT IN SERVICE</t>
  </si>
  <si>
    <t>(line 1- line 7)</t>
  </si>
  <si>
    <t>14a</t>
  </si>
  <si>
    <t>14b</t>
  </si>
  <si>
    <t>(line 3 - line 9)</t>
  </si>
  <si>
    <t xml:space="preserve">  General </t>
  </si>
  <si>
    <t>(line 4 - line 10)</t>
  </si>
  <si>
    <t>(line 5 - line 11)</t>
  </si>
  <si>
    <t>TOTAL NET PLANT  (sum lines 13-17)</t>
  </si>
  <si>
    <t>NP=</t>
  </si>
  <si>
    <t>ADJUSTMENTS TO RATE BASE  (Note F)</t>
  </si>
  <si>
    <t xml:space="preserve">  Account No. 281 (enter negative)</t>
  </si>
  <si>
    <t>273.8.k</t>
  </si>
  <si>
    <t>zero</t>
  </si>
  <si>
    <t xml:space="preserve">  Account No. 282 (enter negative)</t>
  </si>
  <si>
    <t>275.2.k</t>
  </si>
  <si>
    <t>NP</t>
  </si>
  <si>
    <t xml:space="preserve">  Account No. 283 (enter negative)</t>
  </si>
  <si>
    <t>277.9.k</t>
  </si>
  <si>
    <t xml:space="preserve">  Account No. 190 </t>
  </si>
  <si>
    <t>234.8.c</t>
  </si>
  <si>
    <t xml:space="preserve">  Account No. 255 (enter negative)</t>
  </si>
  <si>
    <t>267.8.h</t>
  </si>
  <si>
    <t>TOTAL ADJUSTMENTS  (sum lines 19- 23)</t>
  </si>
  <si>
    <t xml:space="preserve">LAND HELD FOR FUTURE USE </t>
  </si>
  <si>
    <t>214.x.d  (Note G)</t>
  </si>
  <si>
    <t>WORKING CAPITAL  (Note H)</t>
  </si>
  <si>
    <t xml:space="preserve">  CWC </t>
  </si>
  <si>
    <t>calculated</t>
  </si>
  <si>
    <t xml:space="preserve">  Materials &amp; Supplies  (Note G)</t>
  </si>
  <si>
    <t>227.8.c &amp; .16.c</t>
  </si>
  <si>
    <t>TE</t>
  </si>
  <si>
    <t xml:space="preserve">  Prepayments (Account 165)</t>
  </si>
  <si>
    <t>111.57.c</t>
  </si>
  <si>
    <t>GP</t>
  </si>
  <si>
    <t>TOTAL WORKING CAPITAL  (sum lines 26 - 28)</t>
  </si>
  <si>
    <t>RATE BASE  (sum lines 18, 24, 25, &amp; 29)</t>
  </si>
  <si>
    <t>page 3 of 5</t>
  </si>
  <si>
    <t>O&amp;M (Note U, Note CC)</t>
  </si>
  <si>
    <t xml:space="preserve">  Transmission </t>
  </si>
  <si>
    <t>1a</t>
  </si>
  <si>
    <t xml:space="preserve">     Less LSE Expenses Included in Transmission O&amp;M Accounts  (Note W)</t>
  </si>
  <si>
    <t xml:space="preserve">     Less Account 565</t>
  </si>
  <si>
    <t>321.96.b</t>
  </si>
  <si>
    <t xml:space="preserve">  A&amp;G</t>
  </si>
  <si>
    <t>323.197.b</t>
  </si>
  <si>
    <t xml:space="preserve">     Less FERC Annual Fees</t>
  </si>
  <si>
    <t xml:space="preserve">     Less EPRI &amp; Reg. Comm. Exp. &amp; Non-safety  Ad.  (Note I)</t>
  </si>
  <si>
    <t>5a</t>
  </si>
  <si>
    <t xml:space="preserve">     Plus Transmission Related Reg. Comm. Exp.  (Note I)</t>
  </si>
  <si>
    <t xml:space="preserve">  Transmission Lease Payments</t>
  </si>
  <si>
    <t>TOTAL O&amp;M   (sum lines 1, 3, 5a, 6, 7 less lines 1a, 2, 4, 5)</t>
  </si>
  <si>
    <t>DEPRECIATION AND AMORTIZATION EXPENSE</t>
  </si>
  <si>
    <t>336.7.b &amp; 336.1.d</t>
  </si>
  <si>
    <t>336.10.b&amp;d</t>
  </si>
  <si>
    <t>336.11.b&amp;d</t>
  </si>
  <si>
    <t>TOTAL DEPRECIATION  (sum lines 9 - 11)</t>
  </si>
  <si>
    <t>TAXES OTHER THAN INCOME TAXES  (Note J)</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</si>
  <si>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</si>
  <si>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</si>
  <si>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</si>
  <si>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</si>
  <si>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</si>
  <si>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</si>
  <si>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</si>
  <si>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</si>
  <si>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</si>
  <si>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</si>
  <si>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</si>
  <si>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(Note K)</t>
  </si>
  <si>
    <t xml:space="preserve">     T=1 - {[(1 - SIT) * (1 - FIT)] / (1 - SIT * FIT * p)} * (1-TEP)=</t>
  </si>
  <si>
    <t xml:space="preserve">       where WCLTD = (page 4, line 27) and R = (page 4, line 30)</t>
  </si>
  <si>
    <t xml:space="preserve">       and FIT, SIT &amp; p are as given in footnote K.</t>
  </si>
  <si>
    <t xml:space="preserve">      1 / (1 - T)  =  (from line 21)</t>
  </si>
  <si>
    <t>Amortized Investment Tax Credit (266.8f) (enter negative)</t>
  </si>
  <si>
    <t>24a</t>
  </si>
  <si>
    <t>24b</t>
  </si>
  <si>
    <t>Tax Affect of Permanent Differences</t>
  </si>
  <si>
    <t>Income Tax Calculation = line 22 * line 28</t>
  </si>
  <si>
    <t>ITC adjustment (line 23 * line 24)</t>
  </si>
  <si>
    <t>26a</t>
  </si>
  <si>
    <t>26b</t>
  </si>
  <si>
    <t>Permanent Differences Tax Adjustment</t>
  </si>
  <si>
    <t>Total Income Taxes (line 25 plus line 26 plus lines 26a and 26b)</t>
  </si>
  <si>
    <t xml:space="preserve">RETURN </t>
  </si>
  <si>
    <t xml:space="preserve">  [Rate Base (page 2, line 30) * Rate of Return (page 4, line 30)]</t>
  </si>
  <si>
    <t>REV. REQUIREMENT  (sum lines 8, 12, 20, 27, 28)</t>
  </si>
  <si>
    <t>LESS ATTACHMENT GG ADJUSTMENT [Attachment GG, page 2, line 3]   (Note X)</t>
  </si>
  <si>
    <t xml:space="preserve">[Revenue Requirement for facilities included on page 2, line 2, and also  </t>
  </si>
  <si>
    <t>included in Attachment GG]</t>
  </si>
  <si>
    <t>30a</t>
  </si>
  <si>
    <t>LESS ATTACHMENT MM ADJUSTMENT [Attachment MM, page 2, line 3]   (Note AA)</t>
  </si>
  <si>
    <t>included in Attachment MM]</t>
  </si>
  <si>
    <t>REV. REQUIREMENT TO BE COLLECTED UNDER ATTACHMENT O</t>
  </si>
  <si>
    <t>(line 29 - line 30 - line30a)</t>
  </si>
  <si>
    <t>page 4 of 5</t>
  </si>
  <si>
    <t xml:space="preserve">                SUPPORTING CALCULATIONS AND NOTES</t>
  </si>
  <si>
    <t>TRANSMISSION PLANT INCLUDED IN ISO RATES</t>
  </si>
  <si>
    <t>Total Transmission plant  (page 2, line 2a, column 3)</t>
  </si>
  <si>
    <t>Less Transmission plant excluded from ISO rates  (Note M)</t>
  </si>
  <si>
    <t>Less Transmission plant included in OATT Ancillary Services  (Note N )</t>
  </si>
  <si>
    <t>Transmission plant included in ISO rates  (line 1 less lines 2 &amp; 3)</t>
  </si>
  <si>
    <t>Percentage of Transmission plant included in ISO Rates  (line 4 divided by line 1)</t>
  </si>
  <si>
    <t>TP=</t>
  </si>
  <si>
    <t xml:space="preserve">TRANSMISSION EXPENSES </t>
  </si>
  <si>
    <r>
      <t>Total Transmission expenses  (page 3, line 1, column 3)</t>
    </r>
    <r>
      <rPr>
        <sz val="12"/>
        <color indexed="10"/>
        <rFont val="Times New Roman"/>
        <family val="1"/>
      </rPr>
      <t xml:space="preserve"> </t>
    </r>
  </si>
  <si>
    <t>Less revenue received attributable to account 457.1  (Note L)</t>
  </si>
  <si>
    <r>
      <t>Included Transmission expenses  (line 6 less line</t>
    </r>
    <r>
      <rPr>
        <sz val="12"/>
        <color indexed="10"/>
        <rFont val="Times New Roman"/>
        <family val="1"/>
      </rPr>
      <t xml:space="preserve"> </t>
    </r>
    <r>
      <rPr>
        <sz val="12"/>
        <rFont val="Times New Roman"/>
        <family val="1"/>
      </rPr>
      <t>7)</t>
    </r>
  </si>
  <si>
    <t>Percentage of Transmission expenses after adjustment  (line 8 divided by line 6)</t>
  </si>
  <si>
    <t>Percentage of Transmission plant included in ISO Rates  (line 5)</t>
  </si>
  <si>
    <t>Percentage of Transmission expenses included in ISO Rates  (line 9 times line 10)</t>
  </si>
  <si>
    <t>TE=</t>
  </si>
  <si>
    <t>WAGES &amp; SALARY ALLOCATOR  (W&amp;S)</t>
  </si>
  <si>
    <t>Form 1 Reference</t>
  </si>
  <si>
    <t>$</t>
  </si>
  <si>
    <t>Allocation</t>
  </si>
  <si>
    <t>354.20.b</t>
  </si>
  <si>
    <t xml:space="preserve">  Transmission</t>
  </si>
  <si>
    <t>354.21.b</t>
  </si>
  <si>
    <t>354.23.b</t>
  </si>
  <si>
    <t>W&amp;S Allocator</t>
  </si>
  <si>
    <t xml:space="preserve">  Other</t>
  </si>
  <si>
    <t>354.24,25,26.b</t>
  </si>
  <si>
    <t>($ / Allocation)</t>
  </si>
  <si>
    <t xml:space="preserve">  Total  (sum lines 12-15)</t>
  </si>
  <si>
    <t>=</t>
  </si>
  <si>
    <t>WS</t>
  </si>
  <si>
    <t>COMMON PLANT ALLOCATOR  (CE)  (Note O)</t>
  </si>
  <si>
    <t>% Electric</t>
  </si>
  <si>
    <t xml:space="preserve">  Electric</t>
  </si>
  <si>
    <t>200.3.c</t>
  </si>
  <si>
    <t>(line 17 / line 20)</t>
  </si>
  <si>
    <t>(line 16)</t>
  </si>
  <si>
    <t xml:space="preserve">  Gas</t>
  </si>
  <si>
    <t>200.3.d</t>
  </si>
  <si>
    <t>*</t>
  </si>
  <si>
    <t xml:space="preserve">  Water</t>
  </si>
  <si>
    <t>200.3.e</t>
  </si>
  <si>
    <t xml:space="preserve">  Total  (sum lines 17 - 19)</t>
  </si>
  <si>
    <t>RETURN (R)</t>
  </si>
  <si>
    <t>Long Term Interest (117, sum of 62.c through 66.c)</t>
  </si>
  <si>
    <t>n/a</t>
  </si>
  <si>
    <t>Preferred Dividends (118.29c)  (positive number)</t>
  </si>
  <si>
    <t xml:space="preserve">                                          Development of Common Stock:</t>
  </si>
  <si>
    <t>Proprietary Capital (112.16.c)</t>
  </si>
  <si>
    <t xml:space="preserve">Less Preferred Stock (line 28) </t>
  </si>
  <si>
    <t>Less Account 216.1 (112.12.c)  (enter negative)</t>
  </si>
  <si>
    <t>Common Stock</t>
  </si>
  <si>
    <t>(sum lines 23-25)</t>
  </si>
  <si>
    <t>Cost</t>
  </si>
  <si>
    <t>%</t>
  </si>
  <si>
    <t>(Note P)</t>
  </si>
  <si>
    <t>Weighted</t>
  </si>
  <si>
    <t xml:space="preserve">  Long Term Debt  (112, sum of 18.c through 21.c)</t>
  </si>
  <si>
    <t>=WCLTD</t>
  </si>
  <si>
    <t xml:space="preserve">  Preferred Stock  (112.3.c)</t>
  </si>
  <si>
    <t xml:space="preserve">  Common Stock  (line 26)</t>
  </si>
  <si>
    <t>Total  (sum lines 27-29)</t>
  </si>
  <si>
    <t>=R</t>
  </si>
  <si>
    <t>REVENUE CREDITS</t>
  </si>
  <si>
    <t>Load</t>
  </si>
  <si>
    <t>ACCOUNT 447 (SALES FOR RESALE)</t>
  </si>
  <si>
    <t>(310-311)</t>
  </si>
  <si>
    <t>(Note Q)</t>
  </si>
  <si>
    <t xml:space="preserve">  a. Bundled Non-RQ Sales for Resale (311.x.h)</t>
  </si>
  <si>
    <t xml:space="preserve">  b. Bundled Sales for Resale  included in Divisor on page 1</t>
  </si>
  <si>
    <t xml:space="preserve">  Total of (a)-(b)</t>
  </si>
  <si>
    <t>ACCOUNT 454 (RENT FROM ELECTRIC PROPERTY)  (Note R)</t>
  </si>
  <si>
    <t>ACCOUNT 456.1 (OTHER ELECTRIC REVENUES)  (Note V)</t>
  </si>
  <si>
    <t>(330.x.n)</t>
  </si>
  <si>
    <t xml:space="preserve">  a. Transmission charges for all transmission transactions </t>
  </si>
  <si>
    <t xml:space="preserve">  b. Transmission charges for all transmission transactions included in Divisor on Page 1</t>
  </si>
  <si>
    <t>36a</t>
  </si>
  <si>
    <t xml:space="preserve">  c. Transmission charges from Schedules associated with Attachment GG  (Note Y)</t>
  </si>
  <si>
    <t>36b</t>
  </si>
  <si>
    <t xml:space="preserve">  d. Transmission charges from Schedules associated with Attachment MM  (Note BB)</t>
  </si>
  <si>
    <t xml:space="preserve">  Total of (a)-(b)-(c)-(d)</t>
  </si>
  <si>
    <t>page 5 of 5</t>
  </si>
  <si>
    <t>General Note:  References to pages in this formulary rate are indicated as:  (page#, line#, col.#)</t>
  </si>
  <si>
    <t>References to data from FERC Form 1 are indicated as:  #.y.x  (page, line, column)</t>
  </si>
  <si>
    <t>Note</t>
  </si>
  <si>
    <t>Letter</t>
  </si>
  <si>
    <t>A</t>
  </si>
  <si>
    <t>Peak as would be reported on page 401, column d of Form 1 at the time of the applicable pricing zone coincident monthly peaks.</t>
  </si>
  <si>
    <t>B</t>
  </si>
  <si>
    <t>Labeled LF, LU, IF, IU on pages 310-311 of Form 1at the time of the applicable pricing zone coincident monthly peaks.</t>
  </si>
  <si>
    <t>C</t>
  </si>
  <si>
    <t>Labeled LF on page 328 of Form 1 at the time of the applicable pricing zone coincident monthly peaks.</t>
  </si>
  <si>
    <t>D</t>
  </si>
  <si>
    <t>E</t>
  </si>
  <si>
    <t xml:space="preserve">The FERC's annual charges for the year assessed the Transmission Owner for service under this tariff. </t>
  </si>
  <si>
    <t>F</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</si>
  <si>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</si>
  <si>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G</t>
  </si>
  <si>
    <t>Identified in Form 1 as being only transmission related.</t>
  </si>
  <si>
    <t>H</t>
  </si>
  <si>
    <t>Cash Working Capital assigned to transmission is one-eighth of O&amp;M allocated to transmission at page 3, line 8, column 5.  Prepayments are the electric related prepayments booked to Account No. 165 and reported on pages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</si>
  <si>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</si>
  <si>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</si>
  <si>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</si>
  <si>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</si>
  <si>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</si>
  <si>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t xml:space="preserve">         Inputs Required:</t>
  </si>
  <si>
    <t>FIT =</t>
  </si>
  <si>
    <t>SIT=</t>
  </si>
  <si>
    <t>(State Income Tax Rate or Composite SIT)</t>
  </si>
  <si>
    <t>p =</t>
  </si>
  <si>
    <t>(percent of federal income tax deductible for state purposes)</t>
  </si>
  <si>
    <t>TEP =</t>
  </si>
  <si>
    <t>(percent of the tax exempt ownership)</t>
  </si>
  <si>
    <t>L</t>
  </si>
  <si>
    <t>M</t>
  </si>
  <si>
    <t>Removes transmission plant determined by Commission order to be state-jurisdictional according to the seven-factor test (until Form 1 balances are adjusted to reflect application of seven-factor test).</t>
  </si>
  <si>
    <t>N</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</si>
  <si>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</si>
  <si>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</si>
  <si>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Enter dollar amounts</t>
  </si>
  <si>
    <t>P</t>
  </si>
  <si>
    <t>Q</t>
  </si>
  <si>
    <t>Line 33 must equal zero since all short-term power sales must be unbundled and the transmission component reflected in Account No. 456 and all other uses are to be included in the divisor.</t>
  </si>
  <si>
    <t>R</t>
  </si>
  <si>
    <t>Includes income related only to transmission facilities, such as pole attachments, rentals and special use.</t>
  </si>
  <si>
    <t>S</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</si>
  <si>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</si>
  <si>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T</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</si>
  <si>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</si>
  <si>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U</t>
  </si>
  <si>
    <t>Preliminary Survey and Investigation charges related to transmission construction projects started on or after January 1, 2004 are included in account 566 and not in account 183.</t>
  </si>
  <si>
    <t>V</t>
  </si>
  <si>
    <t>Account 456.1 entry shall be the annual total of the quarterly values reported at Form 1, page 300.22.b.</t>
  </si>
  <si>
    <t>W</t>
  </si>
  <si>
    <t>Account Nos. 561.4 and 561.8 consist of RTO expenses billed to load-serving entities and are not included in Transmission Owner revenue requirements.</t>
  </si>
  <si>
    <t>X</t>
  </si>
  <si>
    <t>Y</t>
  </si>
  <si>
    <t>Z</t>
  </si>
  <si>
    <t>AA</t>
  </si>
  <si>
    <t>BB</t>
  </si>
  <si>
    <t>CC</t>
  </si>
  <si>
    <t>Schedule 10-FERC charges should not be included in O&amp;M recovered under this Attachment O.</t>
  </si>
  <si>
    <t>Gross Plant Balances</t>
  </si>
  <si>
    <t>Transmission, General &amp; Intangible (includes Held for Future Use)</t>
  </si>
  <si>
    <t>Transmission &amp; Intangible</t>
  </si>
  <si>
    <t>CWIP</t>
  </si>
  <si>
    <t>General</t>
  </si>
  <si>
    <t>Held for Future Use</t>
  </si>
  <si>
    <t>Deferred Tax Balance for Averaging</t>
  </si>
  <si>
    <t xml:space="preserve">  Materials &amp; Supplies</t>
  </si>
  <si>
    <t xml:space="preserve">  Prepayments</t>
  </si>
  <si>
    <t>Year</t>
  </si>
  <si>
    <t>Month</t>
  </si>
  <si>
    <t>American Transmission Company</t>
  </si>
  <si>
    <t>Projected Monthly Plant and Accumulated Depreciation Balances</t>
  </si>
  <si>
    <t>Line Number</t>
  </si>
  <si>
    <t>Avg</t>
  </si>
  <si>
    <t>Accumulated Depreciation</t>
  </si>
  <si>
    <t>Net Plant Balances</t>
  </si>
  <si>
    <t>Projected Monthly Deferred Tax Balances</t>
  </si>
  <si>
    <t>Balance at End of Month</t>
  </si>
  <si>
    <t>Change</t>
  </si>
  <si>
    <t>Days to Prorate</t>
  </si>
  <si>
    <t>Days in Calendar Year</t>
  </si>
  <si>
    <t>Prorated Change</t>
  </si>
  <si>
    <t>True-up</t>
  </si>
  <si>
    <t>A&amp;G</t>
  </si>
  <si>
    <t>EPRI &amp; Reg. Comm. Exp. &amp; Non-safety  Ad.</t>
  </si>
  <si>
    <t>Transmission Related Reg. Comm. Exp.</t>
  </si>
  <si>
    <t>Payroll</t>
  </si>
  <si>
    <t>Property</t>
  </si>
  <si>
    <t>Other</t>
  </si>
  <si>
    <t>Excess Deferred Income Taxes</t>
  </si>
  <si>
    <t>Amortization Schedule</t>
  </si>
  <si>
    <t>Amortized Investment Tax Credit (266.8f)</t>
  </si>
  <si>
    <t xml:space="preserve">Schedule 9 </t>
  </si>
  <si>
    <t>Schedule 26</t>
  </si>
  <si>
    <t>Schedule 26-A</t>
  </si>
  <si>
    <t>Schedule 7&amp;8</t>
  </si>
  <si>
    <t>Account 454</t>
  </si>
  <si>
    <t>Total Revenue Requirement</t>
  </si>
  <si>
    <t>Account 457.1</t>
  </si>
  <si>
    <t>Proof of SIT Calculation</t>
  </si>
  <si>
    <t>Return ( Lines 28, page 3)</t>
  </si>
  <si>
    <t>Total Income taxes (line 27, page 3)</t>
  </si>
  <si>
    <t xml:space="preserve">   Less:  Michigan Business Tax paid by LLC</t>
  </si>
  <si>
    <t>Return + Total Members income taxes</t>
  </si>
  <si>
    <t>Debt component of return (page 4, line 27)</t>
  </si>
  <si>
    <t>Total return (page 4, line 30)</t>
  </si>
  <si>
    <t xml:space="preserve">  Less:  Interest Expense Calculated by Attachment O</t>
  </si>
  <si>
    <t>Equity Return</t>
  </si>
  <si>
    <t>Taxable Portion of Equity Return (Taxable Members)</t>
  </si>
  <si>
    <t xml:space="preserve">  Blended State Tax Rate</t>
  </si>
  <si>
    <t>State Taxes</t>
  </si>
  <si>
    <t>SIT</t>
  </si>
  <si>
    <t>Taxable Ownership Percentage</t>
  </si>
  <si>
    <t>Federal Rate</t>
  </si>
  <si>
    <t>State Rate:</t>
  </si>
  <si>
    <t>Apportioned Rate</t>
  </si>
  <si>
    <t>Statutory</t>
  </si>
  <si>
    <t>ATC Apportionment Factor</t>
  </si>
  <si>
    <t>Wisconsin</t>
  </si>
  <si>
    <t>Minnesota</t>
  </si>
  <si>
    <t>Illinois</t>
  </si>
  <si>
    <t>District of Columbia</t>
  </si>
  <si>
    <t>Michigan</t>
  </si>
  <si>
    <t>North Carolina</t>
  </si>
  <si>
    <t>Notes:</t>
  </si>
  <si>
    <t>Apportionment formulas for states are not uniform, resulting in an aggregate apportionment that may not equal 100%</t>
  </si>
  <si>
    <t>Proof of Tax Exempt Ownership % for Attachment O</t>
  </si>
  <si>
    <t>Return on rate base (page 3, line 28)</t>
  </si>
  <si>
    <t>Equity component of return (page 4, line 29)</t>
  </si>
  <si>
    <t>Equity / total return</t>
  </si>
  <si>
    <t>Equity component of return on rate base</t>
  </si>
  <si>
    <t>Total income taxes (page3, line 27)</t>
  </si>
  <si>
    <t>Earnings before tax from Attachment O</t>
  </si>
  <si>
    <t xml:space="preserve"> Earnings allocated to tax exempt owners</t>
  </si>
  <si>
    <t>Tax exempt ownership percentage</t>
  </si>
  <si>
    <t>Attach GG (pg. 1, line 3a, col. 3)</t>
  </si>
  <si>
    <t>Attach MM (pg. 1, line 3a1, col. 3)</t>
  </si>
  <si>
    <t>Preliminary Survey and Investigation</t>
  </si>
  <si>
    <t>pg. 4 line 36</t>
  </si>
  <si>
    <t>pg. 4 line 36a</t>
  </si>
  <si>
    <t>pg. 4 line 36b</t>
  </si>
  <si>
    <t>pg. 4 line 37</t>
  </si>
  <si>
    <t>pg. 4 line 35</t>
  </si>
  <si>
    <t>pg. 4 line 34</t>
  </si>
  <si>
    <t>pg. 4 line 7</t>
  </si>
  <si>
    <t>pg. 3 line 30</t>
  </si>
  <si>
    <t>pg. 3 line 30a</t>
  </si>
  <si>
    <t>pg. 3 line 29</t>
  </si>
  <si>
    <t>pg. 1 line 7</t>
  </si>
  <si>
    <t>pg. 1 line 3</t>
  </si>
  <si>
    <t>pg. 1 line 2</t>
  </si>
  <si>
    <t>Precert</t>
  </si>
  <si>
    <t>D - Effective rates for LT debt are calculated by General Accounting for each issuance using the debt issue costs &amp; coupon rate Effective rates for ST debt are calculated by Asset Accounting using the average rate of ST debt outstanding during the month (shown on AFUDC Rate Calc)</t>
  </si>
  <si>
    <t>C - Calculation of the percentage of the weighted debt total</t>
  </si>
  <si>
    <t>B - the number of months the debt it outstanding during the year</t>
  </si>
  <si>
    <t>A - Amount of note shown for Long-term Debt, Weighted average monthly Short-term Debt is calculated using the individual debt issuances and the days outstanding during the month (shown on AFUDC Rate Calc)</t>
  </si>
  <si>
    <t xml:space="preserve"> Weighted Avg. ST Debt - Dec</t>
  </si>
  <si>
    <t xml:space="preserve"> Weighted Avg. ST Debt - Nov</t>
  </si>
  <si>
    <t xml:space="preserve"> Weighted Avg. ST Debt - Oct</t>
  </si>
  <si>
    <t xml:space="preserve"> Weighted Avg. ST Debt - Sept</t>
  </si>
  <si>
    <t xml:space="preserve"> Weighted Avg. ST Debt - Aug</t>
  </si>
  <si>
    <t xml:space="preserve"> Weighted Avg. ST Debt - July</t>
  </si>
  <si>
    <t xml:space="preserve"> Weighted Avg. ST Debt - June</t>
  </si>
  <si>
    <t xml:space="preserve"> Weighted Avg. ST Debt - May</t>
  </si>
  <si>
    <t xml:space="preserve"> Weighted Avg. ST Debt - Apr</t>
  </si>
  <si>
    <t xml:space="preserve"> Weighted Avg. ST Debt -Mar</t>
  </si>
  <si>
    <t xml:space="preserve"> Weighted Avg. ST Debt -Feb</t>
  </si>
  <si>
    <t xml:space="preserve"> Weighted Avg. ST Debt -Jan</t>
  </si>
  <si>
    <t>C*D</t>
  </si>
  <si>
    <t>A*B</t>
  </si>
  <si>
    <t>Weighted Rate</t>
  </si>
  <si>
    <t>Eff. Rate**</t>
  </si>
  <si>
    <t>Percentage of Total</t>
  </si>
  <si>
    <t>Weighted Debt Amount</t>
  </si>
  <si>
    <t>Months O/S during year</t>
  </si>
  <si>
    <t>Debt Amount</t>
  </si>
  <si>
    <t>Description</t>
  </si>
  <si>
    <t>Weighted Avg. Debt Rate</t>
  </si>
  <si>
    <t>ATC LLC</t>
  </si>
  <si>
    <t>Total Income Taxes</t>
  </si>
  <si>
    <t>Transmission O&amp;M</t>
  </si>
  <si>
    <t>Preliminary Survey and Investigation expense (pre-certification costs) equals the actual value booked, or projected to be booked for forward-looking rate periods, for each of the MISO approved RECB Projects and included in Attachment O – ATCLLC, Page 3, Line 1, Column 5.</t>
  </si>
  <si>
    <t>Preliminary Survey and Investigation expense (pre-certification costs) equals the actual value booked, or projected to be booked for forward-looking rate periods, for all of the MISO approved projects and included in Attachment O – ATCLLC, Page 3, Line 1, Column 5.</t>
  </si>
  <si>
    <t>The Network Upgrade Charge is the value to be used in schedules associated with Attachment GG - ATCLLC.</t>
  </si>
  <si>
    <t>True-Up Adjustment is included pursuant to a FERC approved methodology, if applicable.</t>
  </si>
  <si>
    <t>Project Depreciation Expense is the actual value booked for the project and included in the Depreciation Expense in Attachment O - ATCLLC page 3 line 12.</t>
  </si>
  <si>
    <t>Project Net Plant is the Project Gross Plant Identified in Column 3 less the associated Accumulated Depreciation.</t>
  </si>
  <si>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</si>
  <si>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</si>
  <si>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</si>
  <si>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t>Rev. Req. Adj For Attachment O - ATCLLC</t>
  </si>
  <si>
    <t>Annual Totals</t>
  </si>
  <si>
    <t>2</t>
  </si>
  <si>
    <t>1p</t>
  </si>
  <si>
    <t>1o</t>
  </si>
  <si>
    <t>1n</t>
  </si>
  <si>
    <t>1m</t>
  </si>
  <si>
    <t>1l</t>
  </si>
  <si>
    <t>1k</t>
  </si>
  <si>
    <t>1j</t>
  </si>
  <si>
    <t>1i</t>
  </si>
  <si>
    <t>2452 / 3160</t>
  </si>
  <si>
    <t>1h</t>
  </si>
  <si>
    <t>1g</t>
  </si>
  <si>
    <t>1d</t>
  </si>
  <si>
    <t>1c</t>
  </si>
  <si>
    <t>1b</t>
  </si>
  <si>
    <t>(Sum Col. 10 &amp; 11)
(Note G)</t>
  </si>
  <si>
    <t>(Note F)</t>
  </si>
  <si>
    <t>(Sum Col. 5, 8, 9  &amp; 9a)</t>
  </si>
  <si>
    <t>(Note J)</t>
  </si>
  <si>
    <t>(Col. 6 * Col. 7)</t>
  </si>
  <si>
    <t>(Page 1 line 14)</t>
  </si>
  <si>
    <t>(Col. 3 * Col. 4)</t>
  </si>
  <si>
    <t>(Page 1 line 9)</t>
  </si>
  <si>
    <t>Network Upgrade Charge</t>
  </si>
  <si>
    <t>True-Up Adjustment</t>
  </si>
  <si>
    <t>Annual Revenue Requirement</t>
  </si>
  <si>
    <t>Preliminary Survey and Investigation Expense</t>
  </si>
  <si>
    <t>Project Depreciation Expense</t>
  </si>
  <si>
    <t>Annual Return Charge</t>
  </si>
  <si>
    <t>Annual Allocation Factor for Return</t>
  </si>
  <si>
    <t xml:space="preserve">Project Net Plant </t>
  </si>
  <si>
    <t>Annual Expense Charge</t>
  </si>
  <si>
    <t>Annual Allocation Factor for Expense</t>
  </si>
  <si>
    <t xml:space="preserve">Project Gross Plant </t>
  </si>
  <si>
    <t>MTEP Project Number</t>
  </si>
  <si>
    <t>Project Name</t>
  </si>
  <si>
    <t>Line No.</t>
  </si>
  <si>
    <t>(9a)</t>
  </si>
  <si>
    <t xml:space="preserve">                           Network Upgrade Charge Calculation By Project</t>
  </si>
  <si>
    <t>Page 2 of 2</t>
  </si>
  <si>
    <t xml:space="preserve"> Utilizing Attachment O - ATCLLC Data</t>
  </si>
  <si>
    <t>Attachment GG - ATCLLC</t>
  </si>
  <si>
    <t>Sum of line 11 and 13</t>
  </si>
  <si>
    <t>14</t>
  </si>
  <si>
    <t>(line 12 divided by line 2 col 3)</t>
  </si>
  <si>
    <t>Annual Allocation Factor for Return on Rate Base</t>
  </si>
  <si>
    <t>13</t>
  </si>
  <si>
    <t>Attach O - ATCLLC, p 3, line 28 col 5</t>
  </si>
  <si>
    <t>Return on Rate Base</t>
  </si>
  <si>
    <t>12</t>
  </si>
  <si>
    <t>(line 10 divided by line 2 col 3)</t>
  </si>
  <si>
    <t>Annual Allocation Factor for Income Taxes</t>
  </si>
  <si>
    <t>11</t>
  </si>
  <si>
    <t>Attach O - ATCLLC, p 3, line 27 col 5</t>
  </si>
  <si>
    <t>10</t>
  </si>
  <si>
    <t>INCOME TAXES</t>
  </si>
  <si>
    <t>Sum of line 4, 6, and 8</t>
  </si>
  <si>
    <t>9</t>
  </si>
  <si>
    <t>(line 7 divided by line 1 col 3)</t>
  </si>
  <si>
    <t>Annual Allocation Factor for Other Taxes</t>
  </si>
  <si>
    <t>8</t>
  </si>
  <si>
    <t>Attach O - ATCLLC, p 3, line 20 col 5</t>
  </si>
  <si>
    <t>Total Other Taxes</t>
  </si>
  <si>
    <t>7</t>
  </si>
  <si>
    <t>TAXES OTHER THAN INCOME TAXES</t>
  </si>
  <si>
    <t>(line 5 divided by line 1 col 3)</t>
  </si>
  <si>
    <t>Annual Allocation Factor for G&amp;C Depreciation Expense</t>
  </si>
  <si>
    <t>6</t>
  </si>
  <si>
    <t>Attach O - ATCLLC, p 3, lines 10 &amp; 11, col 5 (Note H)</t>
  </si>
  <si>
    <t>Total G&amp;C Depreciation Expense</t>
  </si>
  <si>
    <t>5</t>
  </si>
  <si>
    <t>(line 3b divided by line 1 col 3)</t>
  </si>
  <si>
    <t>Annual Allocation Factor for O&amp;M</t>
  </si>
  <si>
    <t>(line 3 minus line 3a col 3)</t>
  </si>
  <si>
    <t>Adjusted O&amp;M Allocated to Transmission</t>
  </si>
  <si>
    <t>3b</t>
  </si>
  <si>
    <t>Included in Attach O - ATCLLC, P 3, line 1 col 5</t>
  </si>
  <si>
    <t>Less: Preliminary Survey and Investigation Adjustment  (Note I)</t>
  </si>
  <si>
    <t>3a</t>
  </si>
  <si>
    <t>Attach O - ATCLLC, p 3, line 8 col 5</t>
  </si>
  <si>
    <t>Total O&amp;M Allocated to Transmission</t>
  </si>
  <si>
    <t>O&amp;M EXPENSE</t>
  </si>
  <si>
    <t>Attach O - ATCLLC, p 2, line 14 col 5 (Note B)</t>
  </si>
  <si>
    <t>Net Transmission Plant - Total</t>
  </si>
  <si>
    <t>Attach O - ATCLLC, p 2, line 2 col 5 (Note A)</t>
  </si>
  <si>
    <t>Gross Transmission Plant - Total</t>
  </si>
  <si>
    <t>Attachment O - ATCLLC</t>
  </si>
  <si>
    <t>To be completed in conjunction with Attachment O - ATCLLC.</t>
  </si>
  <si>
    <t>Page 1 of 2</t>
  </si>
  <si>
    <t xml:space="preserve">     Rate Formula Template</t>
  </si>
  <si>
    <t>Formula Rate calculation</t>
  </si>
  <si>
    <t>Precertification Expense Total</t>
  </si>
  <si>
    <t>Column (9a)</t>
  </si>
  <si>
    <t>Precertification Expense</t>
  </si>
  <si>
    <t>Project O&amp;M Incentive</t>
  </si>
  <si>
    <t>Depreciation Expense Total</t>
  </si>
  <si>
    <t>Project Amortization Expense</t>
  </si>
  <si>
    <t>Column (9)</t>
  </si>
  <si>
    <t>Depreciation Expense</t>
  </si>
  <si>
    <t>13 Month Average</t>
  </si>
  <si>
    <t>Column (6)</t>
  </si>
  <si>
    <t>Net Plant</t>
  </si>
  <si>
    <t>Depreciation</t>
  </si>
  <si>
    <t>Accumulated</t>
  </si>
  <si>
    <t>Column (3)</t>
  </si>
  <si>
    <t>Gross Plant</t>
  </si>
  <si>
    <t>Reliability</t>
  </si>
  <si>
    <t>Allocation Type Per Attachment FF</t>
  </si>
  <si>
    <t>ATC</t>
  </si>
  <si>
    <t>Pricing Zone</t>
  </si>
  <si>
    <t>MTEP Project ID</t>
  </si>
  <si>
    <t>Reporting Company</t>
  </si>
  <si>
    <t xml:space="preserve">Rate Year </t>
  </si>
  <si>
    <t>Attachment GG - Supporting Data for Network Upgrade Charge Calculation - Forward Looking Rate Transmission Owner</t>
  </si>
  <si>
    <t>New Green Bay area sub to Morgan 345 kV line and new 138 kV line from Holmes to 18th road</t>
  </si>
  <si>
    <t>Tap the Plains-Dead River 345 kV line into the Arnold 138 kV substation and add a 345/138 kV transformer</t>
  </si>
  <si>
    <t>Install AC-DC-AC Back to Back Voltage Source Converter (VSC) power flow controller at the Straits 138-kV substation</t>
  </si>
  <si>
    <t>1) Construct a new Barnhart 345 &amp; 138 kV substation
2) Install a new 345/138 kV transformer at Barnhart
3) Loop Edgewater-South Fond du Lac, Edgewater-Cedarsauk, Sheboygan Energy Center-Granville 
    345 kV lines into Barnhart
4) Loop the South Sheboygan Falls-Mullet River 138 kV line into Barnhart 138 kV
5) Construct a new 138 kV line from Barnhart to Plymouth #4
6) Construct a new 138 kV line from Plymouth #4 to Howards Grove
7) Construct a new 138 kV line from Howards Grove to Erdman
8) Convert the existing Forest Junction-Howards Grove-Plymouth #4 138 kV line and the 
    northern portion of the existing Plymouth #4-Holland 138 kV line to 345 kV
9) Terminate the not-converted Holland 138 kV line at Barnhart 138 kV
10) Terminate the southern end of the converted 345 kV line at Barnhart  
11) Construct a new Branch River 345 kV substation
12) Loop the converted 345 kV line into Branch River 345 kV substation
13) Loop the Point Beach-Forest Juction, Point Beach-Sheboygan Energy Center 345 kV lines into Branch River
14) Uprate Barnhart-Cedarsauk 345 kV line to 960 MVA for SN/SE</t>
  </si>
  <si>
    <t>5955, 5970-73</t>
  </si>
  <si>
    <t>Reconfigure Kewaunee 345/138 kV switchyard and install a 2nd Kewaunee 345-138 kV transformer of 500 MVA.</t>
  </si>
  <si>
    <t>G883/4 Increase ground clearance of the Point Beach-Sheboygan EC 345-kV to 167 deg F</t>
  </si>
  <si>
    <t>G833/4-J022/3 Uprate Cypress-Arcadian 345 kV line to 584 MVA SE = 125 deg F clearance</t>
  </si>
  <si>
    <t>G706 Glacier Hills Wind Farm; taps Friesland-Hamilton 138 kV line</t>
  </si>
  <si>
    <t>4393, 5550-53</t>
  </si>
  <si>
    <t>2708, 2712</t>
  </si>
  <si>
    <t>Construct a new 345/138 kV substation at Cardinal (next to the existing West Middleton sub), install a 345/138 kV 500 MVA transformer at Cardinal, construct 47.9 miles overhead 345 kV line from Albion to Cardinal/West Middleton, modifications to the existing West Middleton substation, construct a new Albion 345 kV switching station.  Facility costs listed in the facility table are for the southern route.</t>
  </si>
  <si>
    <t>486, 488, 897, 3383, 3384</t>
  </si>
  <si>
    <t>Construct Cranberry-Lakota Rd 115 kV line, 	Rebuild/convert Conover-Plains 69 kV line to 138 kV, 	Construct 138 kV bus and install 138/115 kV 150 MVA and 138/69 kV 60 MVA transformers at Conover, 	Construct 138 kV bus and install 60 MVA transformer at Aspen, 	Relocate Iron River substation (Iron Grove), 	Construct 138 kV bus and install a 138/69 kV, 60 MVA transformer at Iron Grove</t>
  </si>
  <si>
    <t>St Lawrence - Pleasant Valley - Saukville 138 kV line reconductor</t>
  </si>
  <si>
    <t>467, 468</t>
  </si>
  <si>
    <t>Morgan - Werner West 345 kV line, Clintonville - Werner West 138 kV line primarily on 345 kV line structures, and terminate the existing Werner - White Lake 138 kV line at the Werner West switching station</t>
  </si>
  <si>
    <t>480, 608, 2458, 2459, 2994</t>
  </si>
  <si>
    <t>Description of Facilities Included in Network Upgrade Charge as of Record Date</t>
  </si>
  <si>
    <t>Facility #(s)</t>
  </si>
  <si>
    <t>Project Record Date</t>
  </si>
  <si>
    <t>Attachment GG - Description of Facilities Included in Network Upgrade Charge</t>
  </si>
  <si>
    <t>Preliminary Survey and Investigation expense (pre-certification costs) equals the actual value booked, or projected to be booked for forward-looking rate periods, for each of the MISO approved MVP Projects and included in Attachment O – ATCLLC, Page 3, Line 1, Column 5.</t>
  </si>
  <si>
    <t>The Total General and Common Depreciation Expense excludes any depreciation expense directly associated with a project and thereby included in page 2 column 13.</t>
  </si>
  <si>
    <t>The MVP Annual Revenue Requirement is the value to be used in Schedule 26-A.</t>
  </si>
  <si>
    <t>True-Up Adjustment is included pursuant to Attachment MM - ATCLLC Annual True-up Procedure.</t>
  </si>
  <si>
    <t>Note deliberately left blank.</t>
  </si>
  <si>
    <t>Project Gross Plant is the total capital investment for the project calculated in the same method as the gross plant value in line 1 and includes CWIP in rate base.  This value includes subsequent capital investments required to maintain the facilities to their original capabilities.</t>
  </si>
  <si>
    <t>Net Transmission Plant is that identified on page 2 lines 14a and 14b of Attachment O - ATCLLC and is inclusive of any CWIP included in rate base.</t>
  </si>
  <si>
    <t>MVP Total Annual Revenue Requirements</t>
  </si>
  <si>
    <t/>
  </si>
  <si>
    <t>Multi-Value Projects (MVP)</t>
  </si>
  <si>
    <t>Sum Col. 14 &amp; 15
(Note G)</t>
  </si>
  <si>
    <t>(Sum Col. 9, 12, 13 &amp; 13a)</t>
  </si>
  <si>
    <t>(Col 10 * Col 11)</t>
  </si>
  <si>
    <t>(Col 3 - Col 4)</t>
  </si>
  <si>
    <t>(Col 6 + Col 8)</t>
  </si>
  <si>
    <t>(Col 3 * Col 7)</t>
  </si>
  <si>
    <t>Page 1 line 9</t>
  </si>
  <si>
    <t>(Col 4 * Col 5)</t>
  </si>
  <si>
    <t>Page 1 line 4</t>
  </si>
  <si>
    <t>MVP Annual Adjusted Revenue Requirement</t>
  </si>
  <si>
    <t>Annual Allocation for Other Expense</t>
  </si>
  <si>
    <t>Other Expense Annual Allocation Factor</t>
  </si>
  <si>
    <t>Annual Allocation for Transmission O&amp;M Expense</t>
  </si>
  <si>
    <t>Transmission O&amp;M Annual Allocation Factor</t>
  </si>
  <si>
    <t>Project Accumulated Depreciation</t>
  </si>
  <si>
    <t>Project Gross Plant</t>
  </si>
  <si>
    <t>(16)</t>
  </si>
  <si>
    <t>(15)</t>
  </si>
  <si>
    <t>(14)</t>
  </si>
  <si>
    <t>(13a)</t>
  </si>
  <si>
    <t>(13)</t>
  </si>
  <si>
    <t>(12)</t>
  </si>
  <si>
    <t>(11)</t>
  </si>
  <si>
    <t>(10)</t>
  </si>
  <si>
    <t>(9)</t>
  </si>
  <si>
    <t>(8)</t>
  </si>
  <si>
    <t>(7)</t>
  </si>
  <si>
    <t>(6)</t>
  </si>
  <si>
    <t>Multi-Value Project (MVP) Revenue Requirement Calculation</t>
  </si>
  <si>
    <t>Attachment MM - ATCLLC</t>
  </si>
  <si>
    <t>Sum of line 4b, 6, and 8</t>
  </si>
  <si>
    <t>Annual Allocation Factor for Other Expense</t>
  </si>
  <si>
    <t>Line 4a divided by Line 1, col 3</t>
  </si>
  <si>
    <t>Annual Allocation Factor for Other O&amp;M</t>
  </si>
  <si>
    <t>4b</t>
  </si>
  <si>
    <t>Line 3 minus Lines 3d and 3a1</t>
  </si>
  <si>
    <t>Other O&amp;M Allocated to Transmission</t>
  </si>
  <si>
    <t>4a</t>
  </si>
  <si>
    <t>OTHER O&amp;M EXPENSE</t>
  </si>
  <si>
    <t>(Line 3d divided by line 1a, col 3)</t>
  </si>
  <si>
    <t>Annual Allocation Factor for Transmission O&amp;M</t>
  </si>
  <si>
    <t>Line 3a minus Lines 3a1, 3b and 3c</t>
  </si>
  <si>
    <t>Adjusted Transmission O&amp;M</t>
  </si>
  <si>
    <t>3d</t>
  </si>
  <si>
    <t>Attach O - ATCLLC, p 3, line 2 col 5</t>
  </si>
  <si>
    <t>Less: Account 565 included in above, if any</t>
  </si>
  <si>
    <t>3c</t>
  </si>
  <si>
    <t>Attach O - ATCLLC, p 3, line 1a col 5</t>
  </si>
  <si>
    <t>Less: LSE Expenses included in above, if any</t>
  </si>
  <si>
    <t>Preliminary and Survey Expense included in Attach O - ATCLLC, P 3, line 1 col 5</t>
  </si>
  <si>
    <t>Less Preliminary Survey and Investigation Adjustment  (Note I)</t>
  </si>
  <si>
    <t>3a1</t>
  </si>
  <si>
    <t>Attach O - ATCLLC, p 3, line 1 col 5</t>
  </si>
  <si>
    <t>O&amp;M TRANSMISSION EXPENSE</t>
  </si>
  <si>
    <t>Line 1 minus Line 1a (Note B)</t>
  </si>
  <si>
    <t>Attach O - ATCLLC, p 2, line 8a and 8b col 5 (Note A)</t>
  </si>
  <si>
    <t>Transmission Accumulated Depreciation</t>
  </si>
  <si>
    <t>Attach O - ATCLLC, p 2, line 2a and 2b col 5 (Note A)</t>
  </si>
  <si>
    <t>(inputs from Attachment O - ATCLLC are rounded to whole dollars)</t>
  </si>
  <si>
    <t>Column (14)</t>
  </si>
  <si>
    <t>Column (13)</t>
  </si>
  <si>
    <t>Column (10)</t>
  </si>
  <si>
    <t>MVP</t>
  </si>
  <si>
    <t>Attachment MM - Supporting Data for Network Upgrade Charge Calculation - Forward Looking Rate Transmission Owner</t>
  </si>
  <si>
    <t>Attachment MM - Description of Facilities Included in Network Upgrade Charge</t>
  </si>
  <si>
    <t>ATC rate</t>
  </si>
  <si>
    <t>Zonal Revenue</t>
  </si>
  <si>
    <t>ATC load</t>
  </si>
  <si>
    <t>ATC ATRR</t>
  </si>
  <si>
    <t>Coincident load</t>
  </si>
  <si>
    <t>Rate Calculation</t>
  </si>
  <si>
    <t>MISO ATRR</t>
  </si>
  <si>
    <t>2017 Rates:</t>
  </si>
  <si>
    <t xml:space="preserve">2015 True-Up </t>
  </si>
  <si>
    <t>2016 Rates:</t>
  </si>
  <si>
    <t xml:space="preserve">2014 True-Up </t>
  </si>
  <si>
    <t>2015 Rates:</t>
  </si>
  <si>
    <t xml:space="preserve">2013 True-Up </t>
  </si>
  <si>
    <t>2014 Rates (12mo End 8/13)</t>
  </si>
  <si>
    <t xml:space="preserve">2012 True-Up </t>
  </si>
  <si>
    <t>2013 Rates (12mo End 8/12)</t>
  </si>
  <si>
    <t xml:space="preserve">2011 True-Up </t>
  </si>
  <si>
    <t>2012 Rates (12mo End 8/11):</t>
  </si>
  <si>
    <t>2011 Rates (12mo End 8/10):</t>
  </si>
  <si>
    <t xml:space="preserve">2010 True-Up </t>
  </si>
  <si>
    <t xml:space="preserve">2009 True-Up </t>
  </si>
  <si>
    <t>2010 Rates (12mo End 8/09):</t>
  </si>
  <si>
    <t xml:space="preserve">2008 True-Up </t>
  </si>
  <si>
    <t>2009 Rates (2008 Data):</t>
  </si>
  <si>
    <t>2008 Rates (2007 Data):</t>
  </si>
  <si>
    <t xml:space="preserve">2007 True-Up </t>
  </si>
  <si>
    <t xml:space="preserve">2006 True-Up </t>
  </si>
  <si>
    <t>2007 Rates (2006 Data):</t>
  </si>
  <si>
    <t>2006 Rates (2005 Data):</t>
  </si>
  <si>
    <t xml:space="preserve">2005 True-Up </t>
  </si>
  <si>
    <t>(Phase-In Complete)                 (Phase-In Complete)                 (Phase-In Complete)</t>
  </si>
  <si>
    <t>Adjusted revenue</t>
  </si>
  <si>
    <t>ATC Average</t>
  </si>
  <si>
    <t>Adjusted rate</t>
  </si>
  <si>
    <t>Adjustment</t>
  </si>
  <si>
    <t>Balancing adjustment</t>
  </si>
  <si>
    <t>ATC CKW</t>
  </si>
  <si>
    <t>Initial adjusted rate</t>
  </si>
  <si>
    <t>Shortfall</t>
  </si>
  <si>
    <t>100% adjustment</t>
  </si>
  <si>
    <t>Initial revenue</t>
  </si>
  <si>
    <t>Difference</t>
  </si>
  <si>
    <t>Previous year's rate</t>
  </si>
  <si>
    <t>Balancing Adjustment</t>
  </si>
  <si>
    <t>ATC average rate</t>
  </si>
  <si>
    <t>Start-up ATRR</t>
  </si>
  <si>
    <t xml:space="preserve">2004 True-Up </t>
  </si>
  <si>
    <t>2005 Rates (2004 Data):</t>
  </si>
  <si>
    <t>50% adjustment</t>
  </si>
  <si>
    <t>2004 Rates (2003 Data):</t>
  </si>
  <si>
    <t>33% adjustment</t>
  </si>
  <si>
    <t>2003 Rates (2002 Data):</t>
  </si>
  <si>
    <t>25% adjustment</t>
  </si>
  <si>
    <t>2002 Rates (2001 Data):</t>
  </si>
  <si>
    <t>2001 Avg Rate</t>
  </si>
  <si>
    <t>Rate:</t>
  </si>
  <si>
    <t>ATC Load</t>
  </si>
  <si>
    <t>Zonal revenue</t>
  </si>
  <si>
    <t>ATC ARR</t>
  </si>
  <si>
    <t>Average Rate Calculation</t>
  </si>
  <si>
    <t>2001 Rates (2000 Data):</t>
  </si>
  <si>
    <t>UPPCO</t>
  </si>
  <si>
    <t>WEC/ESE</t>
  </si>
  <si>
    <t>WPS</t>
  </si>
  <si>
    <t>WPL/SB</t>
  </si>
  <si>
    <t>MGE</t>
  </si>
  <si>
    <t xml:space="preserve">Date modified: </t>
  </si>
  <si>
    <t>Schedule 9</t>
  </si>
  <si>
    <t>Off-Peak Hourly Charge per MW:</t>
  </si>
  <si>
    <t>On-Peak Hourly Charge per MW:</t>
  </si>
  <si>
    <t>Off-Peak Daily Charge per MW:</t>
  </si>
  <si>
    <t>On-Peak Daily Charge per MW:</t>
  </si>
  <si>
    <t>Weekly Charge per MW:</t>
  </si>
  <si>
    <t>Monthly Charge per MW:</t>
  </si>
  <si>
    <t>Total NITS and long-term Point-to-Point kilowatts are:</t>
  </si>
  <si>
    <t>Phase-in Revenue Requirement:</t>
  </si>
  <si>
    <t>WISCONSIN ENERGY CORP</t>
  </si>
  <si>
    <t>WISCONSIN POWER &amp; LIGHT</t>
  </si>
  <si>
    <t>WISCONSIN PUBLIC SERVICE</t>
  </si>
  <si>
    <t>MADISON GAS &amp; ELECTRIC COMPANY</t>
  </si>
  <si>
    <t>ATCLLC's Annual Transmission Revenue Requirement is:</t>
  </si>
  <si>
    <t>Schedule 8</t>
  </si>
  <si>
    <t>Non-Firm Point to Point Transmission Rates</t>
  </si>
  <si>
    <t>Schedule 7</t>
  </si>
  <si>
    <t>Firm Point to Point Transmission Rates</t>
  </si>
  <si>
    <t>Source references may vary by company; page references are to each company's source document; analogous figures would be provided for projected year.  Inputs in whole dollars.</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</si>
  <si>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</si>
  <si>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Form 1 page references are for actual year for which there is a Form 1; analogous figures would be provided for projected year.</t>
  </si>
  <si>
    <t>Utilized by forward-looking Transmission Owners.  Line 8 will be supported by a True-Up Worksheet.</t>
  </si>
  <si>
    <t>Net Schedule 1 Adjusted Annual Revenue Requirement</t>
  </si>
  <si>
    <t>True-up Adjustment (Note D)</t>
  </si>
  <si>
    <t>Total Schedule 1 Annual Revenue Requirement</t>
  </si>
  <si>
    <t>Revenue Credits (excluding True-Up Adjustment) (Note C)</t>
  </si>
  <si>
    <t>(Form 1, footnote to p 320, Lines 85,86,87)</t>
  </si>
  <si>
    <t>Account 561.BA for Schedule 24</t>
  </si>
  <si>
    <t>(sum lines 1 - 3)</t>
  </si>
  <si>
    <t xml:space="preserve">   Subtotal</t>
  </si>
  <si>
    <t>(Form 1, p 321, Line 87)</t>
  </si>
  <si>
    <t>Account 561.3</t>
  </si>
  <si>
    <t>(Form 1, p 321, Line 86)</t>
  </si>
  <si>
    <t>Account 561.2</t>
  </si>
  <si>
    <t>(Form 1, p 321, Line 85)</t>
  </si>
  <si>
    <t>Account 561.1 (Note B)</t>
  </si>
  <si>
    <t>Company</t>
  </si>
  <si>
    <t>Projected</t>
  </si>
  <si>
    <t>Projected or Actual:</t>
  </si>
  <si>
    <t>True-Up Year:</t>
  </si>
  <si>
    <t>Rate Year:</t>
  </si>
  <si>
    <t>Company:</t>
  </si>
  <si>
    <t>Schedule 1 Recoverable Expenses</t>
  </si>
  <si>
    <t>Interest on the (over)/under collected amount will not be know at the time the template is submitted pursuant to the approved FERC methodology.</t>
  </si>
  <si>
    <t>Current Year Schedule 1 revenues include revenue credits and exclude True-Up Adjustments.</t>
  </si>
  <si>
    <t>Scheduling, Control, and Dispatch Service--Transmission.</t>
  </si>
  <si>
    <t>Scheduling, Control, and Dispatch Service--Balancing Authority.</t>
  </si>
  <si>
    <t>Source references may vary by company; page references are to each company's source document.  Inputs in whole dollars.</t>
  </si>
  <si>
    <t>(Over)/Under Collected Amount (Note E)</t>
  </si>
  <si>
    <t>(Form 1, footnote to p 300, Line 23)</t>
  </si>
  <si>
    <r>
      <t>Revenues including revenue credits (Account 457.1)</t>
    </r>
    <r>
      <rPr>
        <sz val="11"/>
        <color theme="1"/>
        <rFont val="Times New Roman"/>
        <family val="1"/>
      </rPr>
      <t xml:space="preserve"> (Note D)</t>
    </r>
  </si>
  <si>
    <r>
      <t>Account 561 Available excluding revenue credits</t>
    </r>
    <r>
      <rPr>
        <sz val="11"/>
        <color theme="1"/>
        <rFont val="Times New Roman"/>
        <family val="1"/>
      </rPr>
      <t xml:space="preserve"> (Note C)</t>
    </r>
  </si>
  <si>
    <t>(Form 1, footnote to p 321, Lines 85, 86, &amp; 87)</t>
  </si>
  <si>
    <t>Account 561.BA for Schedule 24 (Note B)</t>
  </si>
  <si>
    <t xml:space="preserve">   Subtotal (sum lines 1-3)</t>
  </si>
  <si>
    <t>Account 561.1 (Note A)</t>
  </si>
  <si>
    <t>Schedule 1 True-Up Adjustment</t>
  </si>
  <si>
    <r>
      <t xml:space="preserve">Revenue Received </t>
    </r>
    <r>
      <rPr>
        <b/>
        <vertAlign val="superscript"/>
        <sz val="12"/>
        <rFont val="Arial MT"/>
      </rPr>
      <t>4</t>
    </r>
  </si>
  <si>
    <t>Interest</t>
  </si>
  <si>
    <t>% of Revenue Received</t>
  </si>
  <si>
    <t>Interest Rate</t>
  </si>
  <si>
    <t>The cells highlighted in yellow contain the official data, either actual or projected, the cells in highlighted in orange contain placeholder estimates that assume the actual results equal the projected values.</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</si>
  <si>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</si>
  <si>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</si>
  <si>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</si>
  <si>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</si>
  <si>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</si>
  <si>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</si>
  <si>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</si>
  <si>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</si>
  <si>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(line 3 divided by line 1 col 3)</t>
  </si>
  <si>
    <t>Attach O, p 3, lines 10 &amp; 11, col 5 (Note H)</t>
  </si>
  <si>
    <t>Attach O, p 3, line 20 col 5</t>
  </si>
  <si>
    <t>TOTIT</t>
  </si>
  <si>
    <t>Attach O, p 3, line 27 col 5</t>
  </si>
  <si>
    <t>Total income taxes</t>
  </si>
  <si>
    <t>Attach O, p 3, line 28 col 5</t>
  </si>
  <si>
    <t>Return</t>
  </si>
  <si>
    <t xml:space="preserve">Annual Expense Factor </t>
  </si>
  <si>
    <t xml:space="preserve">Annual Return Factor </t>
  </si>
  <si>
    <t>C1</t>
  </si>
  <si>
    <t>C2</t>
  </si>
  <si>
    <t>C3</t>
  </si>
  <si>
    <t>C4</t>
  </si>
  <si>
    <t>C5</t>
  </si>
  <si>
    <t>C6</t>
  </si>
  <si>
    <t>C7</t>
  </si>
  <si>
    <t>I1</t>
  </si>
  <si>
    <t>I2</t>
  </si>
  <si>
    <t>I3</t>
  </si>
  <si>
    <t>I4</t>
  </si>
  <si>
    <t>I5</t>
  </si>
  <si>
    <t>I6</t>
  </si>
  <si>
    <t>I7</t>
  </si>
  <si>
    <r>
      <t xml:space="preserve">Project Gross Plant </t>
    </r>
    <r>
      <rPr>
        <vertAlign val="superscript"/>
        <sz val="12"/>
        <rFont val="Arial"/>
        <family val="2"/>
      </rPr>
      <t>1</t>
    </r>
  </si>
  <si>
    <r>
      <t xml:space="preserve">True-Up Adjustment </t>
    </r>
    <r>
      <rPr>
        <vertAlign val="superscript"/>
        <sz val="12"/>
        <rFont val="Arial"/>
        <family val="2"/>
      </rPr>
      <t>2</t>
    </r>
  </si>
  <si>
    <t>% of Total Rev. Req</t>
  </si>
  <si>
    <t>Revenue Received</t>
  </si>
  <si>
    <r>
      <t xml:space="preserve">Project Gross Plant </t>
    </r>
    <r>
      <rPr>
        <vertAlign val="superscript"/>
        <sz val="12"/>
        <rFont val="Arial"/>
        <family val="2"/>
      </rPr>
      <t>3</t>
    </r>
  </si>
  <si>
    <t>Net Under/(Over) Collection</t>
  </si>
  <si>
    <r>
      <t xml:space="preserve">Interest Income (Expense) </t>
    </r>
    <r>
      <rPr>
        <vertAlign val="superscript"/>
        <sz val="12"/>
        <rFont val="Arial"/>
        <family val="2"/>
      </rPr>
      <t>5</t>
    </r>
  </si>
  <si>
    <t>Received</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</si>
  <si>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</si>
  <si>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</si>
  <si>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</si>
  <si>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</si>
  <si>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</si>
  <si>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 xml:space="preserve">Less O&amp;M incentive </t>
  </si>
  <si>
    <t>Attach MM, p2 line 2 col 14</t>
  </si>
  <si>
    <t xml:space="preserve">Adjusted O&amp;M </t>
  </si>
  <si>
    <t>C8</t>
  </si>
  <si>
    <t>I8</t>
  </si>
  <si>
    <t>Attach O, p 2, line 8 col 5 (Note A)</t>
  </si>
  <si>
    <t>Attach O, p 3, line 1 col 5</t>
  </si>
  <si>
    <t>Less project O&amp;M incentive</t>
  </si>
  <si>
    <t>Attach O, p 3, line 1a col 5</t>
  </si>
  <si>
    <t>Attach O, p 3, line 2 col 5</t>
  </si>
  <si>
    <t>Line 3a minus Line 3b minus Line 3c</t>
  </si>
  <si>
    <t>Line 3 minus Line 3d</t>
  </si>
  <si>
    <t>Annual Interest Rate</t>
  </si>
  <si>
    <t>Interest Income(Expense)</t>
  </si>
  <si>
    <t>C9</t>
  </si>
  <si>
    <t>C10</t>
  </si>
  <si>
    <t>C11</t>
  </si>
  <si>
    <t>C12</t>
  </si>
  <si>
    <t>I9</t>
  </si>
  <si>
    <t>I10</t>
  </si>
  <si>
    <t>I11</t>
  </si>
  <si>
    <t>I12</t>
  </si>
  <si>
    <r>
      <t xml:space="preserve">Project Gross Plant </t>
    </r>
    <r>
      <rPr>
        <vertAlign val="superscript"/>
        <sz val="12"/>
        <rFont val="Arial MT"/>
      </rPr>
      <t>1</t>
    </r>
  </si>
  <si>
    <r>
      <t xml:space="preserve">Project Gross Plant </t>
    </r>
    <r>
      <rPr>
        <vertAlign val="superscript"/>
        <sz val="12"/>
        <rFont val="Arial MT"/>
      </rPr>
      <t>3</t>
    </r>
  </si>
  <si>
    <t>Total Interest Due</t>
  </si>
  <si>
    <t>Years</t>
  </si>
  <si>
    <t xml:space="preserve">2016 True-Up </t>
  </si>
  <si>
    <t>.</t>
  </si>
  <si>
    <t xml:space="preserve">2017 True-Up </t>
  </si>
  <si>
    <t>1q</t>
  </si>
  <si>
    <t>1r</t>
  </si>
  <si>
    <t>1s</t>
  </si>
  <si>
    <t>1t</t>
  </si>
  <si>
    <t xml:space="preserve">2018 True-Up </t>
  </si>
  <si>
    <t>22380, 22381</t>
  </si>
  <si>
    <t>138 kV Falcon SS Construction and 138 kV Darlington- North Monroe (X-49) Line Upgrade</t>
  </si>
  <si>
    <t>J703 GIC- Huron SS, Interconnection and Network Upgrades</t>
  </si>
  <si>
    <t>J704 GIC- Interconnection and Network Upgrades</t>
  </si>
  <si>
    <r>
      <t xml:space="preserve">   For </t>
    </r>
    <r>
      <rPr>
        <b/>
        <sz val="11"/>
        <color theme="1"/>
        <rFont val="Calibri"/>
        <family val="2"/>
        <scheme val="minor"/>
      </rPr>
      <t>Minnesota Power</t>
    </r>
    <r>
      <rPr>
        <sz val="11"/>
        <color theme="1"/>
        <rFont val="Calibri"/>
        <family val="2"/>
        <scheme val="minor"/>
      </rPr>
      <t xml:space="preserve"> specifically, please enter Allocated Gross Transmission Plant for the AC system only from Attachment O, page 2, column 7, line 2</t>
    </r>
  </si>
  <si>
    <r>
      <t xml:space="preserve">   For </t>
    </r>
    <r>
      <rPr>
        <b/>
        <sz val="11"/>
        <color theme="1"/>
        <rFont val="Calibri"/>
        <family val="2"/>
        <scheme val="minor"/>
      </rPr>
      <t>DPC</t>
    </r>
    <r>
      <rPr>
        <sz val="11"/>
        <color theme="1"/>
        <rFont val="Calibri"/>
        <family val="2"/>
        <scheme val="minor"/>
      </rPr>
      <t xml:space="preserve"> specifically, please enter Allocated Gross Transmission Plant from Attachment O, page 2, column 5, lines 2 + 2a + 2b + 2c</t>
    </r>
  </si>
  <si>
    <r>
      <t xml:space="preserve">   For </t>
    </r>
    <r>
      <rPr>
        <b/>
        <sz val="11"/>
        <color theme="1"/>
        <rFont val="Calibri"/>
        <family val="2"/>
        <scheme val="minor"/>
      </rPr>
      <t>CMMPA</t>
    </r>
    <r>
      <rPr>
        <sz val="11"/>
        <color theme="1"/>
        <rFont val="Calibri"/>
        <family val="2"/>
        <scheme val="minor"/>
      </rPr>
      <t xml:space="preserve"> and</t>
    </r>
    <r>
      <rPr>
        <b/>
        <sz val="11"/>
        <color theme="1"/>
        <rFont val="Calibri"/>
        <family val="2"/>
        <scheme val="minor"/>
      </rPr>
      <t xml:space="preserve"> MRES</t>
    </r>
    <r>
      <rPr>
        <sz val="11"/>
        <color theme="1"/>
        <rFont val="Calibri"/>
        <family val="2"/>
        <scheme val="minor"/>
      </rPr>
      <t xml:space="preserve"> specifically, please enter Allocated Gross Transmission Plant from Attachment O, page 2, column 5, lines 2 + 2a</t>
    </r>
  </si>
  <si>
    <r>
      <rPr>
        <b/>
        <vertAlign val="superscript"/>
        <sz val="11"/>
        <color theme="1"/>
        <rFont val="Calibri"/>
        <family val="2"/>
        <scheme val="minor"/>
      </rPr>
      <t>1</t>
    </r>
    <r>
      <rPr>
        <sz val="11"/>
        <color theme="1"/>
        <rFont val="Calibri"/>
        <family val="2"/>
        <scheme val="minor"/>
      </rPr>
      <t xml:space="preserve">  For </t>
    </r>
    <r>
      <rPr>
        <b/>
        <sz val="11"/>
        <color theme="1"/>
        <rFont val="Calibri"/>
        <family val="2"/>
        <scheme val="minor"/>
      </rPr>
      <t>ATC</t>
    </r>
    <r>
      <rPr>
        <sz val="11"/>
        <color theme="1"/>
        <rFont val="Calibri"/>
        <family val="2"/>
        <scheme val="minor"/>
      </rPr>
      <t xml:space="preserve"> specifically, please enter Allocated Gross Transmission Plant from Attachment O, page 2, column 5, line 2a</t>
    </r>
  </si>
  <si>
    <t>(O)</t>
  </si>
  <si>
    <t>(N)</t>
  </si>
  <si>
    <t>(M) = C - G - K - L</t>
  </si>
  <si>
    <t>(L)</t>
  </si>
  <si>
    <t>(K) = H + I + J</t>
  </si>
  <si>
    <t>(J)</t>
  </si>
  <si>
    <t>(I)</t>
  </si>
  <si>
    <t>(H)</t>
  </si>
  <si>
    <t>(G) = D + E + F</t>
  </si>
  <si>
    <t>(F)</t>
  </si>
  <si>
    <t>(E)</t>
  </si>
  <si>
    <t>(D)</t>
  </si>
  <si>
    <t>(C)</t>
  </si>
  <si>
    <t>(B)</t>
  </si>
  <si>
    <t>(A)</t>
  </si>
  <si>
    <t>Gross Trans Plant For Sched 7 &amp; 8 Thru &amp; Out Rev Distribution</t>
  </si>
  <si>
    <t>Subtotal Gross Trans Plant Att MM</t>
  </si>
  <si>
    <t>AFUDC excl from Att MM, page 2, col 3 (enter as positive)</t>
  </si>
  <si>
    <t>CWIP in Att MM, pg 2, col 3 (enter as negative)</t>
  </si>
  <si>
    <t>Gross Trans Plant Attach MM, pg 2, total of col 3</t>
  </si>
  <si>
    <t xml:space="preserve">Subtotal Gross Trans Plant Att GG </t>
  </si>
  <si>
    <t>AFUDC excl from Att GG, page 2, col 3 (enter as positive)</t>
  </si>
  <si>
    <t>CWIP in Att GG, pg 2, col 3 (enter as negative)</t>
  </si>
  <si>
    <r>
      <t>Allocated Gross Trans Plant (Att O, pg 2, ln 2, col 5)</t>
    </r>
    <r>
      <rPr>
        <b/>
        <vertAlign val="superscript"/>
        <sz val="11"/>
        <rFont val="Calibri"/>
        <family val="2"/>
        <scheme val="minor"/>
      </rPr>
      <t xml:space="preserve"> 1</t>
    </r>
  </si>
  <si>
    <t>Less Gross Trans Plant, Attach MM, page 2, col 3</t>
  </si>
  <si>
    <t>Less Gross Trans Plant, Attach GG, page 2, col 3</t>
  </si>
  <si>
    <r>
      <t xml:space="preserve">Column N  - applicable to </t>
    </r>
    <r>
      <rPr>
        <b/>
        <u/>
        <sz val="11"/>
        <rFont val="Calibri"/>
        <family val="2"/>
        <scheme val="minor"/>
      </rPr>
      <t>GRE, MRES, NSP, and RPU</t>
    </r>
    <r>
      <rPr>
        <sz val="11"/>
        <rFont val="Calibri"/>
        <family val="2"/>
        <scheme val="minor"/>
      </rPr>
      <t xml:space="preserve"> only - enter divisor from Attach O, page 1, line 15 for each TPZ</t>
    </r>
  </si>
  <si>
    <r>
      <t>Column L - applicable to</t>
    </r>
    <r>
      <rPr>
        <b/>
        <sz val="11"/>
        <rFont val="Calibri"/>
        <family val="2"/>
        <scheme val="minor"/>
      </rPr>
      <t xml:space="preserve"> </t>
    </r>
    <r>
      <rPr>
        <b/>
        <u/>
        <sz val="11"/>
        <rFont val="Calibri"/>
        <family val="2"/>
        <scheme val="minor"/>
      </rPr>
      <t>Minnesota Power (MP)</t>
    </r>
    <r>
      <rPr>
        <sz val="11"/>
        <rFont val="Calibri"/>
        <family val="2"/>
        <scheme val="minor"/>
      </rPr>
      <t xml:space="preserve"> only -enter the total Gross Transmission Plant from Attachment ZZ, pg 2, Col 3, </t>
    </r>
    <r>
      <rPr>
        <b/>
        <u/>
        <sz val="11"/>
        <rFont val="Calibri"/>
        <family val="2"/>
        <scheme val="minor"/>
      </rPr>
      <t>AC system only</t>
    </r>
  </si>
  <si>
    <t>Columns H - J - enter Attach MM information similar to how Attach GG information was entered for columns D - F</t>
  </si>
  <si>
    <t>Column F - if applicable, enter AFUDC excluded from Attach GG, page 2, Column 3 for each TPZ.  Enter this amount as a positive</t>
  </si>
  <si>
    <t>Column E - if applicable, enter CWIP included in Attach GG, page 2, Column 3 for each TPZ.  Enter this amount as a negative</t>
  </si>
  <si>
    <t>Column D - if applicable, enter total Gross Transmission Plant from Attachment GG, page 2, Column 3 for each TPZ</t>
  </si>
  <si>
    <t>Column C - enter Allocated Gross Transmission Plant from Attachment O, page 2, line 2, column 5 applicable to each TPZ - unless otherwise noted in footnote 1 below</t>
  </si>
  <si>
    <t>Column B - enter TPZ(s) where transmission assets are located</t>
  </si>
  <si>
    <t>Column A - enter the TO name or name abbreviation</t>
  </si>
  <si>
    <t>Enter "non-MISO" as the TPZ for transmission facilities and/or load included in Attachment O that is located outside of MISO</t>
  </si>
  <si>
    <t>TOs with load and/or transmission assets in multiple Transmission Pricing Zones (TPZs), enter amount applicable to each TPZ on a separate line</t>
  </si>
  <si>
    <t>Instructions:</t>
  </si>
  <si>
    <t>Item (1) above, is calculated using Gross Transmission plant reported on Attachment O, page 2, line 2, column 5 less Gross Transmission plant included in Attachments GG, MM, and ZZ page 2, column 3.  MISO requests TOs complete the following brief template to clearly show the calculation of Gross Transmission plant used for Schedule 7 and 8 Through and Out Revenue distribution.</t>
  </si>
  <si>
    <t>Per Appendix C.III.7 of the Transmission Owners Agreement (TOA), MISO is required to distribute Schedule 7 and 8 Through and Out Revenues (1) 50% in proportion to transmission investment reflected in the applicable rates determined by the Attachment O formula; and (2) 50% based upon power flows.</t>
  </si>
  <si>
    <t>Purpose:</t>
  </si>
  <si>
    <t>Gross Transmission Plant Reporting Form</t>
  </si>
  <si>
    <t>345 kV Substation</t>
  </si>
  <si>
    <t>Year►</t>
  </si>
  <si>
    <t>1v</t>
  </si>
  <si>
    <t>1w</t>
  </si>
  <si>
    <t>1x</t>
  </si>
  <si>
    <t xml:space="preserve">ROE Determination </t>
  </si>
  <si>
    <t>GIP</t>
  </si>
  <si>
    <t>7/5/2013, 10/5/2016</t>
  </si>
  <si>
    <t>J505 GIC, Apollo SS, Generator Interconnection and Network Facilities</t>
  </si>
  <si>
    <t>1y</t>
  </si>
  <si>
    <t>1z</t>
  </si>
  <si>
    <t>1aa</t>
  </si>
  <si>
    <t>&lt;updated to reflect the resettled ARR</t>
  </si>
  <si>
    <t>1u</t>
  </si>
  <si>
    <t>3925-26, 5484, 5626-28, 6573, 20578, 20580-81, 20607, 23506-07</t>
  </si>
  <si>
    <t>J928 Interconnection request is for a new 80 MW wind farm. This will be an expansion of the wind farm that is already at Garden Corners.</t>
  </si>
  <si>
    <t>24478, 24479</t>
  </si>
  <si>
    <t>J928/J849 Indian Lake Common Use Upgrades - Ground Grid work</t>
  </si>
  <si>
    <t>J870/J871 Network Upgrades at Highland SS, Eden SS, Spring Green SS, X-17 and Y-138</t>
  </si>
  <si>
    <t>J886 Kewaunee Substation Network Upgrades</t>
  </si>
  <si>
    <t>25248-51</t>
  </si>
  <si>
    <t>J855 GIC Ebenezer SS &amp; X-16 Network Upgrades</t>
  </si>
  <si>
    <t>Werner West-Morgan (MTEP06)</t>
  </si>
  <si>
    <t>Pleasant Valley - St. Lawrence (MTEP06)</t>
  </si>
  <si>
    <t>Cranberry-Conover-Iron River-Plains (MTEP06)</t>
  </si>
  <si>
    <t>Garden Corners SS GIC Network Upgrades (MTEP19)</t>
  </si>
  <si>
    <t>J928/J849 Indian Lake Common Use Upgrades (MTEP19)</t>
  </si>
  <si>
    <t>J870/J871 MPFCA Highland Generator Network Upgrades (MTEP20)</t>
  </si>
  <si>
    <t>J886 GIC Kewaunee SS Interconnection Facilities and Network Upgrades (MTEP20)</t>
  </si>
  <si>
    <t>J864 J870 J871 MPFCA Common Use Upgrades (MTEP20)</t>
  </si>
  <si>
    <t>Rockdale-W.Middleton 345kV (MTEP08)</t>
  </si>
  <si>
    <t>G507-Cedar Ridge Wind Farm (MTEP07)</t>
  </si>
  <si>
    <t>GIC706-H012 Glacier Hills Wind Park (MTEP09/11)</t>
  </si>
  <si>
    <t>G834 Interim Upgrades (MTEP10)</t>
  </si>
  <si>
    <t>G833 Interim Upgrades (MTEP10)</t>
  </si>
  <si>
    <t>2nd Kewaunee Xfr (MTEP11)</t>
  </si>
  <si>
    <t>G833/4 Long Term Solution (MTEP11)</t>
  </si>
  <si>
    <t>Straits Power Flow Controller (MTEP11)</t>
  </si>
  <si>
    <t>Rebuild Arcadian - Waukesha 138kV lines (MTEP12)</t>
  </si>
  <si>
    <t>Arnold Transformer (MTEP12)</t>
  </si>
  <si>
    <t>Green Bay to Morgan 345 kV / Memominee Co to Delta Co 138 kV (MTEP12)</t>
  </si>
  <si>
    <t>Lafayette County Wind GIC-J395 Falcon Substation &amp; Network Upgrades  (MTEP17)</t>
  </si>
  <si>
    <t>West Riverside GIC J390 Kittyhawk Substation  (MTEP17)</t>
  </si>
  <si>
    <t>J703 WeEnergies GIC-NetworkUpgrades (MTEP18)</t>
  </si>
  <si>
    <t>J704 WeEnergies GIC-NetworkUpgrades (MTEP18)</t>
  </si>
  <si>
    <t>J505 GIC, Apollo SS, Generator Interconnection and Network Facilities (MTEP18)</t>
  </si>
  <si>
    <t>2452/3160</t>
  </si>
  <si>
    <t>Pleasant Prairie - Zion Energy Center 345 kV Line (MTEP11)</t>
  </si>
  <si>
    <t>LaCrosse-Madison 345 kV - Dubuque Co - Spring Green 345 kV (MTEP11)</t>
  </si>
  <si>
    <t>Average Gross Plant Balance</t>
  </si>
  <si>
    <t>Average CWIP Balance</t>
  </si>
  <si>
    <t>Average Net Plant Balance</t>
  </si>
  <si>
    <t>Average Acc Depreciation</t>
  </si>
  <si>
    <t>2022 - $50M/10yr(Feb)</t>
  </si>
  <si>
    <t>2022 - $50M/10yr(July)</t>
  </si>
  <si>
    <t>25454-55</t>
  </si>
  <si>
    <t>J864 J870 J871 MPFCA Common Use Upgrades</t>
  </si>
  <si>
    <t>J870 J871 Highland SS Interconnection Facilities and Network Upgrades</t>
  </si>
  <si>
    <t>J986 7 Mile Creek SS, Generator Interconnection Facilities and Network Upgrades</t>
  </si>
  <si>
    <t>J947 Tennyson SS, Generator Interconnection Facilities and Network Upgrades</t>
  </si>
  <si>
    <t>1bb</t>
  </si>
  <si>
    <t>J870 J871 Highland SS Interconnection Facilities and Network Upgrades (MTEP20)</t>
  </si>
  <si>
    <t>1cc</t>
  </si>
  <si>
    <t>1dd</t>
  </si>
  <si>
    <t>1ee</t>
  </si>
  <si>
    <t>1ff</t>
  </si>
  <si>
    <t>J986 7 Mile Creek SS, Generator Interconnection Facilities and Network Upgrades (MTEP21)</t>
  </si>
  <si>
    <t>J947 Tennyson SS, Generator Interconnection Facilities and Network Upgrades (MTEP20)</t>
  </si>
  <si>
    <t>J850/J878 MPFCA East Paris New SS (MTEP20)</t>
  </si>
  <si>
    <t>J1171 Butternut, Network Upgrade</t>
  </si>
  <si>
    <t>1gg</t>
  </si>
  <si>
    <t>1hh</t>
  </si>
  <si>
    <t>1ii</t>
  </si>
  <si>
    <t>1jj</t>
  </si>
  <si>
    <t>1ll</t>
  </si>
  <si>
    <t>1e</t>
  </si>
  <si>
    <t>1f</t>
  </si>
  <si>
    <t>1kk</t>
  </si>
  <si>
    <t>J807 J864 J870 J871 J947 MPFCA Common Use Upgrades (MTEP20)</t>
  </si>
  <si>
    <t>J807 J819 J870 J947 MPFCA Common Use Upgrades (MTEP20)</t>
  </si>
  <si>
    <t>J878 GIC Paris SS, Generator Interconnection Facilities and Network Upgrades (MTEP20)</t>
  </si>
  <si>
    <t>J855 J864 J870 J871 MPFCA (MTEP22)</t>
  </si>
  <si>
    <t>J1153 Holland SS Network Upgrades and Interconnection Facilities (MTEP22)</t>
  </si>
  <si>
    <t>J1171 Butternut SS Network Upgrades and Interconnection Facilities (MTEP22)</t>
  </si>
  <si>
    <t>J1154 Crawfish River Solar Network Upgrades (MTEP22)</t>
  </si>
  <si>
    <t>J986 J1002 J1003 MPFCA (MTEP22)</t>
  </si>
  <si>
    <t>J864 J870 J871 J947 MPFCA Common Use Upgrades (MTEP20)</t>
  </si>
  <si>
    <t>Includes specific regulatory liabilities recorded in Account 254, as approved by FERC, as an offset to rate base, and amortization associated with such regulatory liabilities recorded in Account 407.4. ATC commits to providing a supporting workpaper.</t>
  </si>
  <si>
    <t>EE</t>
  </si>
  <si>
    <t>By Commission order, includes expenses recorded in Account 555.1 associated with charging a transmission storage asset and, to the extent related revenues are associated with net settlements for exchange of electricity or power, revenues associated with discharging a transmission storage asset, which are recorded in Account 555.1.</t>
  </si>
  <si>
    <t>DD</t>
  </si>
  <si>
    <t xml:space="preserve">Removes from revenue credits revenues that are distributed pursuant to the associated schedules of the MISO Tariff, since the Transmission Owner's Attachment O revenue requirements have already been reduced by the Attachment MM revenue requirements.  </t>
  </si>
  <si>
    <t>Pursuant to Attachment MM of the MISO Tariff, removes dollar amount of revenue requirements calculated pursuant to Attachment MM and recovered under the associated schedules of the MISO Tariff.</t>
  </si>
  <si>
    <r>
      <t xml:space="preserve">All amounts shown on this page (with the following exceptions </t>
    </r>
    <r>
      <rPr>
        <strike/>
        <sz val="12"/>
        <rFont val="Times New Roman"/>
        <family val="1"/>
      </rPr>
      <t>of</t>
    </r>
    <r>
      <rPr>
        <sz val="12"/>
        <rFont val="Times New Roman"/>
        <family val="1"/>
      </rPr>
      <t xml:space="preserve"> CWC</t>
    </r>
    <r>
      <rPr>
        <strike/>
        <sz val="12"/>
        <rFont val="Times New Roman"/>
        <family val="1"/>
      </rPr>
      <t>,</t>
    </r>
    <r>
      <rPr>
        <sz val="12"/>
        <rFont val="Times New Roman"/>
        <family val="1"/>
      </rPr>
      <t xml:space="preserve"> in line 26, Account 282 in line 20, Account 283 in line 21, and Account 190 in line 22) are based on 13 month averages.  Work papers will be provided.</t>
    </r>
  </si>
  <si>
    <t xml:space="preserve">Removes from revenue credits revenues that are distributed pursuant to the associated schedules of the MISO Tariff, since the Transmission Owner's Attachment O revenue requirements have already been reduced by the Attachment GG revenue requirements.  </t>
  </si>
  <si>
    <t>Pursuant to Attachment GG of the MISO Tariff, removes dollar amount of revenue requirements calculated pursuant to Attachment GG and recovered under the associated schedules of the MISO Tariff.</t>
  </si>
  <si>
    <t>Debt cost rate = long-term interest (line 21) / long term debt (line 27). Preferred cost rate = preferred dividends (line 22) / preferred outstanding (line 28). The allowed base ROE of 10.02% was established in Opinion No. 569-B and no change in the base ROE may be made absent a filing with FERC. A 50 basis point adder for RTO participation may be added to the base ROE up to the upper end of the zone of reasonableness of 12.62% as established by FERC.</t>
  </si>
  <si>
    <t>Removes revenues that are distributed pursuant to Schedule 1 of the MISO Tariff.  The projected dollar amount of transmission expenses to be included in the OATT ancillary services rates, including Account Nos. 561.1, 561.2, 561.3, and 561.BA will be used as the estimated revenues for the calculation of prospective rates used for billing. The revenues recieved pursuant to Schedule 1 as reported in Account 457.1 will be used in the annual calculation of the Attachment O True-Up.</t>
  </si>
  <si>
    <r>
      <t>The currently effective income tax rate,</t>
    </r>
    <r>
      <rPr>
        <strike/>
        <sz val="12"/>
        <rFont val="Times New Roman"/>
        <family val="1"/>
      </rPr>
      <t xml:space="preserve">  </t>
    </r>
    <r>
      <rPr>
        <sz val="12"/>
        <rFont val="Times New Roman"/>
        <family val="1"/>
      </rPr>
      <t>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and Deficient Deferred Income Taxes increase income tax expense by the amount of the deficiency multiplied by (1/(1-T)) (page 3, line 26a).</t>
    </r>
  </si>
  <si>
    <t>RTO Adder per ER15-358, Effective January 6, 2015</t>
  </si>
  <si>
    <t>ROE per EL14-12, Effective 9-28-2016</t>
  </si>
  <si>
    <t>(Excess)/ Deficient Deferred Income Tax Adjustment (line 23 * line 24a)</t>
  </si>
  <si>
    <t>(Excess)/Deficient Deferred Income Taxes</t>
  </si>
  <si>
    <r>
      <t xml:space="preserve">     CIT=(T</t>
    </r>
    <r>
      <rPr>
        <b/>
        <sz val="12"/>
        <color rgb="FF0070C0"/>
        <rFont val="Times New Roman"/>
        <family val="1"/>
      </rPr>
      <t>/(</t>
    </r>
    <r>
      <rPr>
        <sz val="12"/>
        <rFont val="Times New Roman"/>
        <family val="1"/>
      </rPr>
      <t>1-T)</t>
    </r>
    <r>
      <rPr>
        <b/>
        <sz val="12"/>
        <color rgb="FF0070C0"/>
        <rFont val="Times New Roman"/>
        <family val="1"/>
      </rPr>
      <t>)</t>
    </r>
    <r>
      <rPr>
        <sz val="12"/>
        <rFont val="Times New Roman"/>
        <family val="1"/>
      </rPr>
      <t xml:space="preserve"> * (1-(WCLTD/R)) =</t>
    </r>
  </si>
  <si>
    <t>114.13.c</t>
  </si>
  <si>
    <t>Regulatory Credits (Note EE) (enter negative)</t>
  </si>
  <si>
    <t>9a</t>
  </si>
  <si>
    <t>321.112.b &amp; 321.XX.b (Note DD)</t>
  </si>
  <si>
    <t>(line 2a- line 8a + line 12a)</t>
  </si>
  <si>
    <t>278.XX.f</t>
  </si>
  <si>
    <t>Account No. 254 (enter negative)</t>
  </si>
  <si>
    <t>12a</t>
  </si>
  <si>
    <t>REGULATORY LIABILITIES (NOTE EE)</t>
  </si>
  <si>
    <t xml:space="preserve">2021 True-Up </t>
  </si>
  <si>
    <t>Regulatory Credits</t>
  </si>
  <si>
    <t>Account No. 254</t>
  </si>
  <si>
    <t>The Total General and Common Depreciation Expense excludes any depreciation expense directly associated with a project and thereby included in page 2 column 9.  Note the amount reported in Line 9a of Attachment O – ATCLLC is a negative and should be used as a negative number.</t>
  </si>
  <si>
    <t>Gross Transmission Plant is that identified on page 2 lines 2a and 2b of Attachment O- ATCLLC and is inclusive of any CWIP included in rate base.  Transmission Accumulated Depreciation is that identified on page 2, lines 8a, 8b and 12a and comports with this Note A and Note B below.  Note the amount reported in Line 12a of Attachment O – ATCLLC is a negative and subtracting a negative number results in a positive value.</t>
  </si>
  <si>
    <t>2022 - $100M/20yr</t>
  </si>
  <si>
    <t>445-7, 896, 2460</t>
  </si>
  <si>
    <t>6910-12, 6919, 6923, 7243</t>
  </si>
  <si>
    <t>24579,25355 25356-58, 24580-24582 83</t>
  </si>
  <si>
    <t>J807 J864 J870 J871 J947 MPFCA Common Use Upgrades - Nelson Dewey Grounding Improvements</t>
  </si>
  <si>
    <t>25439, 25966</t>
  </si>
  <si>
    <t>J864 J870 J871 J947 MPFCA Common Use Upgrades - Eden and Hill Valley Grounding improvements</t>
  </si>
  <si>
    <t>J807 J819 J870 J947 MPFCA Common Use Upgrades - Hillman Grounding Improvements</t>
  </si>
  <si>
    <t>J878 GIC Paris SS, Generator Interconnection Facilities and Network Upgrades</t>
  </si>
  <si>
    <t>The total  charge in any week, pursuant to reservations for daily service,
shall not exceed the weekly charge specified above.</t>
  </si>
  <si>
    <t>The total charge in any day, pursuant to reservations for hourly service,
shall not exceed the daily charge specified above.</t>
  </si>
  <si>
    <t>For Network Integration Transmission Service Customers, the monthly charge is one-twelfth of the Customer's Load Ratio Share as calculated in accrdance with the OATT</t>
  </si>
  <si>
    <t>2023 - $100M/30yr</t>
  </si>
  <si>
    <t>J1304 Big Hill Park Network Upgrade</t>
  </si>
  <si>
    <t>J1305 Norwegian CreekSS Netwrk Upgr</t>
  </si>
  <si>
    <t>J1042 J1188 MPFCA Network Upgrades</t>
  </si>
  <si>
    <t>J1374 Ebenezer SS Network Upgrades</t>
  </si>
  <si>
    <t>1mm</t>
  </si>
  <si>
    <t>1nn</t>
  </si>
  <si>
    <t>J818 Jefferson SS Generator Interconnection Facilities and Network Upgrades (MTEP20)</t>
  </si>
  <si>
    <t>REGULATORY LIABILITY AMORTIZATION AND GENERAL AND COMMON (G&amp;C) DEPRECIATION EXPENSE</t>
  </si>
  <si>
    <t>REGULATORY LIABILITY AMORTIZATION AND
GENERAL AND COMMON (G&amp;C) DEPRECIATION EXPENSE</t>
  </si>
  <si>
    <t>J1002 Wautoma SS Network Upgrades (MTEP22)</t>
  </si>
  <si>
    <t>J986 J1002 MPFCA Network Upgrades (MTEP22)</t>
  </si>
  <si>
    <t>J1002 J1003 MPFCA Network Upgrades (MTEP22)</t>
  </si>
  <si>
    <t>J886 GIC Kewaunee SS Network Upgrades (MTEP20)</t>
  </si>
  <si>
    <t>J870 J871 Highland SS Network Upgrades (MTEP20)</t>
  </si>
  <si>
    <t>J947 Tennyson SS Network Upgrades (MTEP20)</t>
  </si>
  <si>
    <t>J878 GIC Paris SS Network Upgrades (MTEP20)</t>
  </si>
  <si>
    <t>J986 7 Mile Creek SS Network Upgrades (MTEP21)</t>
  </si>
  <si>
    <t>J1153 Holland SS Network Upgrades (MTEP22)</t>
  </si>
  <si>
    <t>J1171 Butternut SS Network Upgrades (MTEP22)</t>
  </si>
  <si>
    <t>J1000 Comet SS Network Upgrades (MTEP22)</t>
  </si>
  <si>
    <t>26697-98</t>
  </si>
  <si>
    <t>J505 GIC, Apollo SS Network Facilities (MTEP18)</t>
  </si>
  <si>
    <t>J704 WeEnergies GIC-Network Upgrades (MTEP18)</t>
  </si>
  <si>
    <t>J703 WeEnergies GIC-Network Upgrades (MTEP18)</t>
  </si>
  <si>
    <t>26381-85, 26387</t>
  </si>
  <si>
    <t>Tremval-Eau Claire-Jump River (MTEP21)</t>
  </si>
  <si>
    <t>2023 - $50M/10yr</t>
  </si>
  <si>
    <t>2023 - $50M/30yr</t>
  </si>
  <si>
    <t>2002 - $32.5M/30yr</t>
  </si>
  <si>
    <t>2002 - $17.5M/30yr</t>
  </si>
  <si>
    <t>2003 - $100M/30yr/40yr</t>
  </si>
  <si>
    <t>2005 - $100M/30yr</t>
  </si>
  <si>
    <t>2007 - $250M/30yr</t>
  </si>
  <si>
    <t>2010 - $50M/30yr</t>
  </si>
  <si>
    <t>2010 - $75M/15yr</t>
  </si>
  <si>
    <t>2011 - $75M/15yr</t>
  </si>
  <si>
    <t>2011 - $150M/30yr</t>
  </si>
  <si>
    <t>2012 - $150M/30yr</t>
  </si>
  <si>
    <t>2014 - $50M/15yr</t>
  </si>
  <si>
    <t>2014 - $50M/30yr</t>
  </si>
  <si>
    <t>2014 - $29M/15yr</t>
  </si>
  <si>
    <t>2014 - $47M/30yr</t>
  </si>
  <si>
    <t>2015 - $50M/10yr</t>
  </si>
  <si>
    <t>2015 - $21M/15yr</t>
  </si>
  <si>
    <t>2015 - $28M/30yr</t>
  </si>
  <si>
    <t>2016 - $150M/30yr</t>
  </si>
  <si>
    <t>2017 - $50M/30yr</t>
  </si>
  <si>
    <t>2018 - $75M/30yr</t>
  </si>
  <si>
    <t>2018 - $100M/10yr</t>
  </si>
  <si>
    <t>2018 - $100M/15yr</t>
  </si>
  <si>
    <t>2018 - $100M/30yr</t>
  </si>
  <si>
    <t>2019 - $200M/12yr</t>
  </si>
  <si>
    <t>2019 - $100M/20yr</t>
  </si>
  <si>
    <t>2020 - $100M/30yr</t>
  </si>
  <si>
    <t>2020 - $100M/10yr</t>
  </si>
  <si>
    <t>27106, 27109, 27110, 27107, 27108, 27111, 28039</t>
  </si>
  <si>
    <t>LRTP-06: Tremval – Rocky Run – Columbia
Modifications to the Rocky Run and Columbia SS's, and construct new transmission line between Tremval to Rocky Run and Rocky Run to Columbia.</t>
  </si>
  <si>
    <t>27104, 27105</t>
  </si>
  <si>
    <t>LRTP-05: Tremval – Eau Claire – Jump River
Constructing new Jump River SS, and new transmission line from Eau Claire to Jump River.</t>
  </si>
  <si>
    <t>1oo</t>
  </si>
  <si>
    <t>J818 Jefferson SS Generator Network Upgrades (MTEP20)</t>
  </si>
  <si>
    <t>J850/J878 MPFCA East Paris New SS</t>
  </si>
  <si>
    <t>1989, 1990</t>
  </si>
  <si>
    <t>Rebuild the two Arcadian-Waukesha 138 kV lines</t>
  </si>
  <si>
    <t>25343-46</t>
  </si>
  <si>
    <t>Jefferson SS , Crawfish River SS , Jefferson SS Relay ,Concord - Cooney (9042) 138kV transmission line upgrade</t>
  </si>
  <si>
    <t>26010-13</t>
  </si>
  <si>
    <t>26733-37</t>
  </si>
  <si>
    <t>26313, 26315</t>
  </si>
  <si>
    <t>TPZ Number</t>
  </si>
  <si>
    <t>TO ID</t>
  </si>
  <si>
    <t>TO Name</t>
  </si>
  <si>
    <t>Trans Pricing Zone Name</t>
  </si>
  <si>
    <t>FOR MISO USE ONLY</t>
  </si>
  <si>
    <t>Please select from dropdown</t>
  </si>
  <si>
    <t>2A</t>
  </si>
  <si>
    <t>ATCLLC Madison G&amp;E</t>
  </si>
  <si>
    <t>2B</t>
  </si>
  <si>
    <t>ATCLLC Wisconsin Public Service</t>
  </si>
  <si>
    <t>2C</t>
  </si>
  <si>
    <t>ATCLLC Wisconsin P&amp;L</t>
  </si>
  <si>
    <t>2D</t>
  </si>
  <si>
    <t>ATCLLC Wisconsin Energy</t>
  </si>
  <si>
    <t>2E</t>
  </si>
  <si>
    <t>ATCLLC UPPC</t>
  </si>
  <si>
    <r>
      <rPr>
        <b/>
        <vertAlign val="superscript"/>
        <sz val="11"/>
        <rFont val="Calibri"/>
        <family val="2"/>
        <scheme val="minor"/>
      </rPr>
      <t>2</t>
    </r>
    <r>
      <rPr>
        <sz val="11"/>
        <rFont val="Calibri"/>
        <family val="2"/>
        <scheme val="minor"/>
      </rPr>
      <t xml:space="preserve">  For TOs that construct a Targeted Market Efficiency Project (TMEP) or Interregional Market Efficiency Project (IMEP), please also include the TMEP  Gross Trans Plant from Attach GG, page 3, column 3 and/or the IMEP Gross Trans Plant from Attach GG, page 4, column 3.</t>
    </r>
  </si>
  <si>
    <r>
      <rPr>
        <b/>
        <vertAlign val="superscript"/>
        <sz val="11"/>
        <color theme="1"/>
        <rFont val="Calibri"/>
        <family val="2"/>
        <scheme val="minor"/>
      </rPr>
      <t>3</t>
    </r>
    <r>
      <rPr>
        <sz val="11"/>
        <color theme="1"/>
        <rFont val="Calibri"/>
        <family val="2"/>
        <scheme val="minor"/>
      </rPr>
      <t xml:space="preserve">  TOs who have load and/or transmission assets in multiple zones should enter their values for each TPZ</t>
    </r>
  </si>
  <si>
    <r>
      <rPr>
        <vertAlign val="superscript"/>
        <sz val="11"/>
        <color theme="1"/>
        <rFont val="Calibri"/>
        <family val="2"/>
        <scheme val="minor"/>
      </rPr>
      <t>4</t>
    </r>
    <r>
      <rPr>
        <sz val="11"/>
        <color theme="1"/>
        <rFont val="Calibri"/>
        <family val="2"/>
        <scheme val="minor"/>
      </rPr>
      <t xml:space="preserve"> Cooperative (</t>
    </r>
    <r>
      <rPr>
        <b/>
        <sz val="11"/>
        <color theme="1"/>
        <rFont val="Calibri"/>
        <family val="2"/>
        <scheme val="minor"/>
      </rPr>
      <t>SME</t>
    </r>
    <r>
      <rPr>
        <sz val="11"/>
        <color theme="1"/>
        <rFont val="Calibri"/>
        <family val="2"/>
        <scheme val="minor"/>
      </rPr>
      <t>) has load in Southern Company that is included in the Cooperative Energy TPZ for MISO Transmission Rate calculation per an approved NITSA</t>
    </r>
  </si>
  <si>
    <r>
      <t>Ann Trans Revenue Req (Att O, pg 1, line 7)</t>
    </r>
    <r>
      <rPr>
        <b/>
        <vertAlign val="superscript"/>
        <sz val="11"/>
        <rFont val="Calibri"/>
        <family val="2"/>
        <scheme val="minor"/>
      </rPr>
      <t>3</t>
    </r>
  </si>
  <si>
    <r>
      <t xml:space="preserve">Gross Trans Plant Attach GG, pgs 2 &amp; 3, total of col 3 </t>
    </r>
    <r>
      <rPr>
        <b/>
        <vertAlign val="superscript"/>
        <sz val="11"/>
        <rFont val="Calibri"/>
        <family val="2"/>
        <scheme val="minor"/>
      </rPr>
      <t>2</t>
    </r>
  </si>
  <si>
    <r>
      <t xml:space="preserve">Divisor, Att O, pg 1, line 15 </t>
    </r>
    <r>
      <rPr>
        <b/>
        <vertAlign val="superscript"/>
        <sz val="11"/>
        <rFont val="Calibri"/>
        <family val="2"/>
        <scheme val="minor"/>
      </rPr>
      <t>3 or 4</t>
    </r>
  </si>
  <si>
    <r>
      <rPr>
        <b/>
        <sz val="11"/>
        <color rgb="FFFF0000"/>
        <rFont val="Calibri"/>
        <family val="2"/>
        <scheme val="minor"/>
      </rPr>
      <t>MP Only - AC System</t>
    </r>
    <r>
      <rPr>
        <b/>
        <sz val="11"/>
        <color theme="1"/>
        <rFont val="Calibri"/>
        <family val="2"/>
        <scheme val="minor"/>
      </rPr>
      <t xml:space="preserve">       Gross Trans Plant Attach ZZ, pg 2, total col 3</t>
    </r>
  </si>
  <si>
    <r>
      <t>Cells shaded in yellow are inputs.  If</t>
    </r>
    <r>
      <rPr>
        <b/>
        <sz val="11"/>
        <color rgb="FFFF0000"/>
        <rFont val="Calibri"/>
        <family val="2"/>
        <scheme val="minor"/>
      </rPr>
      <t xml:space="preserve"> a cell is not shaded yellow, please do not use it for input</t>
    </r>
  </si>
  <si>
    <t>Column O  - TOs who have transmission assets in multiple TPZs, please report the annual transmission revenue requirement from Attachment O, page 1, line 7 for each TPZ that you have a Transmission Assets in</t>
  </si>
  <si>
    <t>2024 - $125M/10yr</t>
  </si>
  <si>
    <t>2024 - $125M/30yr</t>
  </si>
  <si>
    <t>2024 - $125/TBD</t>
  </si>
  <si>
    <t>2024 - $100M/TBD</t>
  </si>
  <si>
    <t>1pp</t>
  </si>
  <si>
    <t>J1171 Butternut, Network Upgrade (MTEP20)</t>
  </si>
  <si>
    <t>J1305 Norwegian CreekSS Netwrk Upgr (MTEP23)</t>
  </si>
  <si>
    <t>1qq</t>
  </si>
  <si>
    <t>1rr</t>
  </si>
  <si>
    <t>1ss</t>
  </si>
  <si>
    <t>J1304 J1305 J1460 MPFCA Network Upgrades (MTEP23)</t>
  </si>
  <si>
    <t>1tt</t>
  </si>
  <si>
    <t>MTEP Cycle</t>
  </si>
  <si>
    <t>MTEP06</t>
  </si>
  <si>
    <t>MTEP08</t>
  </si>
  <si>
    <t>MTEP12</t>
  </si>
  <si>
    <t>MTEP07</t>
  </si>
  <si>
    <t>G507 98 MW wind farm at Cedar Ridge 138kV sub</t>
  </si>
  <si>
    <t>MTEP11</t>
  </si>
  <si>
    <t>MTEP09 / MTEP11</t>
  </si>
  <si>
    <t>MTEP10</t>
  </si>
  <si>
    <t>MTEP17</t>
  </si>
  <si>
    <t>MTEP18</t>
  </si>
  <si>
    <t>MTEP19</t>
  </si>
  <si>
    <t>MTEP20</t>
  </si>
  <si>
    <t>MTEP21</t>
  </si>
  <si>
    <t>MTEP22</t>
  </si>
  <si>
    <t>J1000 Comet SS Network Upgrades, Loop into New SS</t>
  </si>
  <si>
    <t>J1002 Wautoma SS Network Upgrades, Reroute into SS (X-10)</t>
  </si>
  <si>
    <t>26396-98, 26400</t>
  </si>
  <si>
    <t>J986 J1002 MPFCA Grounding Improvements and X-11 Uprate</t>
  </si>
  <si>
    <t>J855 J864 J870 J871 MPFCA Grounding Improvements</t>
  </si>
  <si>
    <t>J1154 Crawfish River Solar Network Upgrades Lines 6654 and 9043 Rebuild</t>
  </si>
  <si>
    <t xml:space="preserve">J986 J1002 J1003 MPFCA Grounding Improvements </t>
  </si>
  <si>
    <t>J1002 J1003 MPFCA Ground grid analysis</t>
  </si>
  <si>
    <t>26720-21</t>
  </si>
  <si>
    <t>J1042 North Lake Geneva SS Network Upgrades, Ground grid upgrades</t>
  </si>
  <si>
    <t>J1153 Holland SS Network Upgrades, Grounding upgrades and relay panel replacements</t>
  </si>
  <si>
    <t xml:space="preserve">J1171 Butternut SS Network Upgrades, Ground grid upgrades </t>
  </si>
  <si>
    <t>J1042 J1188 MPFCA line 6541 uprate</t>
  </si>
  <si>
    <t>MTEP23</t>
  </si>
  <si>
    <t>27962-65</t>
  </si>
  <si>
    <t>J1251 Summer Meadow Swt Station Network Upgrade, Transmission Line Modifications, Remote End Work</t>
  </si>
  <si>
    <t>Substation Modifications</t>
  </si>
  <si>
    <t>J1214_J1326 Network Upgrades</t>
  </si>
  <si>
    <t>28077-80</t>
  </si>
  <si>
    <t xml:space="preserve">J1410 J1411 North Arlington Swt St Network Upgrades, TL Modifications W-31, N Madison Relay Panel, Columbia Relay Panel </t>
  </si>
  <si>
    <t>UNIG52 (138KV) Line Reconductor</t>
  </si>
  <si>
    <t>28088-90</t>
  </si>
  <si>
    <t>J1377 Blitz SS Network Upgrades, Rockdale SS Relay, W32 (345kV)-Loop-in New SS</t>
  </si>
  <si>
    <t>G111 138kV(NFL-AVN)  Rebuild, X77-Minor Realignment, X50 138kV (AVN-PRG) Rebuild, X50 138kV (PRG-EOD) Rebuild, Aviation SS Network,  Upgrades, Ellinwood SS Network Upgrades, North Fond Du Lac SS Network Upgrades, Progress SS Network Upgrades, F318 345kV Line Modifications, J1253 El Dorado Network Upgrade</t>
  </si>
  <si>
    <t>28109-10</t>
  </si>
  <si>
    <t>J1460 Sunrise SS Network Upgrades, 4434 X69 (138kV) Line Modifications</t>
  </si>
  <si>
    <t>28116-17</t>
  </si>
  <si>
    <t>NAPL121 345kV Transmission Line Reconductor (J1316), Fox River SS Jumper Replacement</t>
  </si>
  <si>
    <t>9043 (138KV) Uprate</t>
  </si>
  <si>
    <t>43021 (138KV) Rebuild- Conductor Upgrade Cost</t>
  </si>
  <si>
    <t>28374-77</t>
  </si>
  <si>
    <t>J1305 Norwegian Creek SS Network Upgrades, Bass Creek SS Relay Panel Improvements, North Monroe SS New Protection Panel, X12 Sectionalizing</t>
  </si>
  <si>
    <t>Pleasant Prairie - Zion Energy Center 345 kV Line
Construct a new Pleasant-Zion Energy Center 345-kV line.</t>
  </si>
  <si>
    <t xml:space="preserve">LaCrosse-Madison 345 kV - Dubuque Co - Cardinal 345 kV project
</t>
  </si>
  <si>
    <t>Tremval - Rocky Run - Columbia (MTEP21)</t>
  </si>
  <si>
    <t xml:space="preserve"> assumes 2.3% load growth pending receipt of actual load data</t>
  </si>
  <si>
    <t>For the 12 months ended 12/31/2025</t>
  </si>
  <si>
    <t>2025 Projected Attachment O</t>
  </si>
  <si>
    <t>2025 Projected</t>
  </si>
  <si>
    <t>2023 RECB True Up Payable (Over Collection)</t>
  </si>
  <si>
    <t>Interest Accrual booked from July 2023 thru June 2025</t>
  </si>
  <si>
    <t>First Quarter 2023</t>
  </si>
  <si>
    <t>Second Quarter 2023</t>
  </si>
  <si>
    <t>Third Quarter 2023</t>
  </si>
  <si>
    <t>Fourth Quarter 2023</t>
  </si>
  <si>
    <t>First Quarter 2024</t>
  </si>
  <si>
    <t>Second Quarter 2024</t>
  </si>
  <si>
    <t>Third Quarter 2024</t>
  </si>
  <si>
    <t>2023 MVP True Up Receivable (Under Collection)</t>
  </si>
  <si>
    <t>Weighted Avg. ST Debt - Jan 2023</t>
  </si>
  <si>
    <t>Weighted Avg. ST Debt - Feb 2023</t>
  </si>
  <si>
    <t>Weighted Avg. ST Debt - Mar 2023</t>
  </si>
  <si>
    <t>Weighted Avg. ST Debt - Apr 2023</t>
  </si>
  <si>
    <t>Weighted Avg. ST Debt - May 2023</t>
  </si>
  <si>
    <t>Weighted Avg. ST Debt - Jun 2023</t>
  </si>
  <si>
    <t>Weighted Avg. ST Debt - Jul 2023</t>
  </si>
  <si>
    <t>Weighted Avg. ST Debt - Aug 2023</t>
  </si>
  <si>
    <t>Weighted Avg. ST Debt - Sep 2023</t>
  </si>
  <si>
    <t>Weighted Avg. ST Debt - Oct 2023</t>
  </si>
  <si>
    <t>Weighted Avg. ST Debt - Nov 2023</t>
  </si>
  <si>
    <t>Weighted Avg. ST Debt - Dec 2023</t>
  </si>
  <si>
    <t>Weighted Avg. ST Debt - Jan 2024</t>
  </si>
  <si>
    <t>Weighted Avg. ST Debt - Feb 2024</t>
  </si>
  <si>
    <t>Weighted Avg. ST Debt - Mar 2024</t>
  </si>
  <si>
    <t>Weighted Avg. ST Debt - Apr 2024</t>
  </si>
  <si>
    <t>Weighted Avg. ST Debt - May 2024</t>
  </si>
  <si>
    <t>Weighted Avg. ST Debt - Jun 2024</t>
  </si>
  <si>
    <t>Weighted Avg. ST Debt - Jul 2024</t>
  </si>
  <si>
    <t>Weighted Avg. ST Debt - Aug 2024</t>
  </si>
  <si>
    <t>Weighted Avg. ST Debt - Sep 2024</t>
  </si>
  <si>
    <t>Rate Year 2025</t>
  </si>
  <si>
    <t>2023 Network True Up Payable (Over Collection)</t>
  </si>
  <si>
    <t>2023 Schedule 1 True Up Receivable (Under Collection)</t>
  </si>
  <si>
    <t>25399, 25400-01, 26143-145</t>
  </si>
  <si>
    <t>25442-25443</t>
  </si>
  <si>
    <t>26725, 26727-31</t>
  </si>
  <si>
    <t>28099-28105, 28107-08</t>
  </si>
  <si>
    <t>2018 Rates:</t>
  </si>
  <si>
    <t>2019 Rates:</t>
  </si>
  <si>
    <t>2020 Rates:</t>
  </si>
  <si>
    <t>2021 Rates:</t>
  </si>
  <si>
    <t>2022 Rates:</t>
  </si>
  <si>
    <t>2023 Rates:</t>
  </si>
  <si>
    <t>2024 Rates:</t>
  </si>
  <si>
    <t>2025 Rates:</t>
  </si>
  <si>
    <t>2026 Rates:</t>
  </si>
  <si>
    <t>2027 Rates:</t>
  </si>
  <si>
    <t>2028 Rates:</t>
  </si>
  <si>
    <t>2029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</si>
</sst>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quot;$&quot;#,##0.000"/>
    <numFmt numFmtId="168" formatCode="0.0000"/>
    <numFmt numFmtId="169" formatCode="#,##0.00000"/>
    <numFmt numFmtId="170" formatCode="_(* #,##0_);_(* \(#,##0\);_(* &quot;-&quot;??_);_(@_)"/>
    <numFmt numFmtId="171" formatCode="0.000%"/>
    <numFmt numFmtId="172" formatCode="#,##0.0"/>
    <numFmt numFmtId="173" formatCode="#,##0.0000"/>
    <numFmt numFmtId="174" formatCode="&quot;$&quot;#,##0"/>
    <numFmt numFmtId="175" formatCode="_(&quot;$&quot;* #,##0_);_(&quot;$&quot;* \(#,##0\);_(&quot;$&quot;* &quot;-&quot;??_);_(@_)"/>
    <numFmt numFmtId="176" formatCode="0.0000%"/>
    <numFmt numFmtId="177" formatCode="0.0%"/>
    <numFmt numFmtId="178" formatCode="#,##0_);[Red]\(#,##0\);&quot; &quot;"/>
    <numFmt numFmtId="179" formatCode="#,##0.000000000_);[Red]\(#,##0.000000000\);&quot; &quot;"/>
    <numFmt numFmtId="180" formatCode="&quot;$&quot;#,##0;\(&quot;$&quot;#,##0\)"/>
    <numFmt numFmtId="181" formatCode="0_);\(0\)"/>
    <numFmt numFmtId="182" formatCode="m/d/yyyy;@"/>
    <numFmt numFmtId="183" formatCode="_(&quot;$&quot;* #,##0.000_);_(&quot;$&quot;* \(#,##0.000\);_(&quot;$&quot;* &quot;-&quot;??_);_(@_)"/>
    <numFmt numFmtId="184" formatCode="m/d/yy;@"/>
    <numFmt numFmtId="185" formatCode="[$-409]mmm\-yy;@"/>
    <numFmt numFmtId="186" formatCode="_(* #,##0.00000_);_(* \(#,##0.00000\);_(* &quot;-&quot;??_);_(@_)"/>
    <numFmt numFmtId="187" formatCode="_(* #,##0.00_);_(* \(#,##0.00\);_(* &quot;-&quot;_);_(@_)"/>
    <numFmt numFmtId="188" formatCode="[$-409]mmmm\ yyyy;@"/>
    <numFmt numFmtId="189" formatCode="[$-409]mmmm;@"/>
  </numFmts>
  <fonts count="7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sz val="10"/>
      <name val="Arial"/>
      <family val="2"/>
    </font>
    <font>
      <sz val="12"/>
      <name val="Arial MT"/>
    </font>
    <font>
      <b/>
      <i/>
      <sz val="12"/>
      <name val="Times New Roman"/>
      <family val="1"/>
    </font>
    <font>
      <b/>
      <sz val="12"/>
      <name val="Times New Roman"/>
      <family val="1"/>
    </font>
    <font>
      <b/>
      <sz val="12"/>
      <color indexed="10"/>
      <name val="Times New Roman"/>
      <family val="1"/>
    </font>
    <font>
      <strike/>
      <sz val="12"/>
      <name val="Times New Roman"/>
      <family val="1"/>
    </font>
    <font>
      <sz val="12"/>
      <color indexed="10"/>
      <name val="Times New Roman"/>
      <family val="1"/>
    </font>
    <font>
      <strike/>
      <sz val="12"/>
      <color indexed="10"/>
      <name val="Times New Roman"/>
      <family val="1"/>
    </font>
    <font>
      <sz val="10"/>
      <color theme="1"/>
      <name val="Arial"/>
      <family val="2"/>
    </font>
    <font>
      <b/>
      <sz val="10"/>
      <name val="Arial"/>
      <family val="2"/>
    </font>
    <font>
      <b/>
      <sz val="10"/>
      <color rgb="FF0000FF"/>
      <name val="Arial"/>
      <family val="2"/>
    </font>
    <font>
      <b/>
      <sz val="12"/>
      <name val="Arial MT"/>
    </font>
    <font>
      <b/>
      <sz val="10"/>
      <color theme="1"/>
      <name val="Arial"/>
      <family val="2"/>
    </font>
    <font>
      <u/>
      <sz val="10"/>
      <name val="Arial"/>
      <family val="2"/>
    </font>
    <font>
      <b/>
      <sz val="10"/>
      <color theme="3" tint="0.39997558519241921"/>
      <name val="Arial"/>
      <family val="2"/>
    </font>
    <font>
      <b/>
      <u/>
      <sz val="10"/>
      <name val="Arial"/>
      <family val="2"/>
    </font>
    <font>
      <sz val="11"/>
      <color rgb="FFFF0000"/>
      <name val="Calibri"/>
      <family val="2"/>
      <scheme val="minor"/>
    </font>
    <font>
      <sz val="10"/>
      <name val="Arial MT"/>
    </font>
    <font>
      <b/>
      <sz val="12"/>
      <name val="Arial"/>
      <family val="2"/>
    </font>
    <font>
      <sz val="12"/>
      <name val="Arial"/>
      <family val="2"/>
    </font>
    <font>
      <sz val="11"/>
      <name val="Calibri"/>
      <family val="2"/>
      <scheme val="minor"/>
    </font>
    <font>
      <b/>
      <u/>
      <sz val="12"/>
      <name val="Arial MT"/>
    </font>
    <font>
      <sz val="10"/>
      <name val="Arial Narrow"/>
      <family val="2"/>
    </font>
    <font>
      <b/>
      <sz val="10"/>
      <color indexed="9"/>
      <name val="Arial MT"/>
    </font>
    <font>
      <b/>
      <sz val="10"/>
      <color indexed="9"/>
      <name val="Arial"/>
      <family val="2"/>
    </font>
    <font>
      <sz val="14"/>
      <name val="Arial"/>
      <family val="2"/>
    </font>
    <font>
      <b/>
      <sz val="14"/>
      <name val="Arial"/>
      <family val="2"/>
    </font>
    <font>
      <b/>
      <sz val="10"/>
      <name val="Arial Narrow"/>
      <family val="2"/>
    </font>
    <font>
      <sz val="12"/>
      <color indexed="10"/>
      <name val="Arial MT"/>
    </font>
    <font>
      <sz val="12"/>
      <color indexed="10"/>
      <name val="Arial"/>
      <family val="2"/>
    </font>
    <font>
      <u/>
      <sz val="12"/>
      <name val="Arial"/>
      <family val="2"/>
    </font>
    <font>
      <sz val="12"/>
      <color indexed="17"/>
      <name val="Arial MT"/>
    </font>
    <font>
      <b/>
      <i/>
      <sz val="10"/>
      <color indexed="10"/>
      <name val="Arial"/>
      <family val="2"/>
    </font>
    <font>
      <sz val="10"/>
      <color indexed="9"/>
      <name val="Arial"/>
      <family val="2"/>
    </font>
    <font>
      <sz val="10"/>
      <color indexed="12"/>
      <name val="Arial"/>
      <family val="2"/>
    </font>
    <font>
      <b/>
      <sz val="10"/>
      <color indexed="10"/>
      <name val="Arial"/>
      <family val="2"/>
    </font>
    <font>
      <sz val="10"/>
      <color indexed="10"/>
      <name val="Arial"/>
      <family val="2"/>
    </font>
    <font>
      <sz val="10"/>
      <color rgb="FFFF0000"/>
      <name val="Arial"/>
      <family val="2"/>
    </font>
    <font>
      <b/>
      <i/>
      <sz val="10"/>
      <name val="Arial"/>
      <family val="2"/>
    </font>
    <font>
      <sz val="11"/>
      <color theme="1"/>
      <name val="Times New Roman"/>
      <family val="2"/>
    </font>
    <font>
      <i/>
      <sz val="11"/>
      <color rgb="FFFF0000"/>
      <name val="Times New Roman"/>
      <family val="1"/>
    </font>
    <font>
      <b/>
      <sz val="11"/>
      <color theme="1"/>
      <name val="Times New Roman"/>
      <family val="1"/>
    </font>
    <font>
      <b/>
      <sz val="14"/>
      <color theme="1"/>
      <name val="Times New Roman"/>
      <family val="1"/>
    </font>
    <font>
      <sz val="11"/>
      <color theme="1"/>
      <name val="Times New Roman"/>
      <family val="1"/>
    </font>
    <font>
      <sz val="11"/>
      <color theme="0"/>
      <name val="Calibri"/>
      <family val="2"/>
      <scheme val="minor"/>
    </font>
    <font>
      <b/>
      <vertAlign val="superscript"/>
      <sz val="12"/>
      <name val="Arial MT"/>
    </font>
    <font>
      <vertAlign val="superscript"/>
      <sz val="12"/>
      <name val="Arial"/>
      <family val="2"/>
    </font>
    <font>
      <sz val="10"/>
      <color theme="0"/>
      <name val="Arial MT"/>
    </font>
    <font>
      <sz val="12"/>
      <color rgb="FFFF0000"/>
      <name val="Arial MT"/>
    </font>
    <font>
      <u/>
      <sz val="11"/>
      <color theme="1"/>
      <name val="Calibri"/>
      <family val="2"/>
      <scheme val="minor"/>
    </font>
    <font>
      <vertAlign val="superscript"/>
      <sz val="12"/>
      <name val="Arial MT"/>
    </font>
    <font>
      <b/>
      <sz val="11"/>
      <name val="Calibri"/>
      <family val="2"/>
      <scheme val="minor"/>
    </font>
    <font>
      <sz val="10"/>
      <name val="Arial"/>
      <family val="2"/>
    </font>
    <font>
      <b/>
      <vertAlign val="superscript"/>
      <sz val="11"/>
      <color theme="1"/>
      <name val="Calibri"/>
      <family val="2"/>
      <scheme val="minor"/>
    </font>
    <font>
      <b/>
      <vertAlign val="superscript"/>
      <sz val="11"/>
      <name val="Calibri"/>
      <family val="2"/>
      <scheme val="minor"/>
    </font>
    <font>
      <b/>
      <sz val="11"/>
      <color rgb="FFFF0000"/>
      <name val="Calibri"/>
      <family val="2"/>
      <scheme val="minor"/>
    </font>
    <font>
      <b/>
      <u/>
      <sz val="11"/>
      <name val="Calibri"/>
      <family val="2"/>
      <scheme val="minor"/>
    </font>
    <font>
      <b/>
      <sz val="16"/>
      <color theme="1"/>
      <name val="Calibri"/>
      <family val="2"/>
      <scheme val="minor"/>
    </font>
    <font>
      <sz val="10"/>
      <name val="Arial"/>
      <family val="2"/>
    </font>
    <font>
      <sz val="12"/>
      <color rgb="FF0070C0"/>
      <name val="Times New Roman"/>
      <family val="1"/>
    </font>
    <font>
      <b/>
      <sz val="10"/>
      <color theme="0"/>
      <name val="Arial"/>
      <family val="2"/>
    </font>
    <font>
      <sz val="10"/>
      <name val="Arial"/>
      <family val="2"/>
    </font>
    <font>
      <sz val="8"/>
      <name val="Calibri"/>
      <family val="2"/>
      <scheme val="minor"/>
    </font>
    <font>
      <sz val="12"/>
      <color theme="1"/>
      <name val="Times New Roman"/>
      <family val="1"/>
    </font>
    <font>
      <b/>
      <sz val="12"/>
      <color rgb="FF0070C0"/>
      <name val="Times New Roman"/>
      <family val="1"/>
    </font>
    <font>
      <vertAlign val="superscript"/>
      <sz val="11"/>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indexed="47"/>
        <bgColor indexed="64"/>
      </patternFill>
    </fill>
    <fill>
      <patternFill patternType="solid">
        <fgColor indexed="9"/>
        <bgColor indexed="64"/>
      </patternFill>
    </fill>
    <fill>
      <patternFill patternType="solid">
        <fgColor indexed="8"/>
        <bgColor indexed="64"/>
      </patternFill>
    </fill>
    <fill>
      <patternFill patternType="solid">
        <fgColor theme="8"/>
      </patternFill>
    </fill>
    <fill>
      <patternFill patternType="solid">
        <fgColor theme="7" tint="0.59999389629810485"/>
        <bgColor indexed="64"/>
      </patternFill>
    </fill>
    <fill>
      <patternFill patternType="solid">
        <fgColor theme="5" tint="0.39997558519241921"/>
        <bgColor indexed="64"/>
      </patternFill>
    </fill>
  </fills>
  <borders count="42">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44">
    <xf numFmtId="0" fontId="0" fillId="0" borderId="0"/>
    <xf numFmtId="43" fontId="5"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164" fontId="6" fillId="0" borderId="0" applyProtection="0"/>
    <xf numFmtId="0" fontId="5" fillId="0" borderId="0"/>
    <xf numFmtId="0" fontId="5" fillId="0" borderId="0"/>
    <xf numFmtId="164" fontId="6" fillId="0" borderId="0" applyProtection="0"/>
    <xf numFmtId="164" fontId="6" fillId="0" borderId="0" applyProtection="0"/>
    <xf numFmtId="0" fontId="1" fillId="0" borderId="0"/>
    <xf numFmtId="43" fontId="1"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3" fillId="0" borderId="0"/>
    <xf numFmtId="0" fontId="3" fillId="0" borderId="0"/>
    <xf numFmtId="0" fontId="3" fillId="0" borderId="0"/>
    <xf numFmtId="164" fontId="6" fillId="0" borderId="0" applyProtection="0"/>
    <xf numFmtId="164" fontId="6" fillId="0" borderId="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164" fontId="6" fillId="0" borderId="0" applyProtection="0"/>
    <xf numFmtId="0" fontId="3" fillId="0" borderId="0"/>
    <xf numFmtId="0" fontId="27" fillId="0" borderId="0">
      <alignment vertical="top"/>
    </xf>
    <xf numFmtId="44" fontId="3" fillId="0" borderId="0" applyFont="0" applyFill="0" applyBorder="0" applyAlignment="0" applyProtection="0"/>
    <xf numFmtId="0" fontId="27" fillId="0" borderId="0">
      <alignment vertical="top"/>
    </xf>
    <xf numFmtId="0" fontId="1" fillId="0" borderId="0"/>
    <xf numFmtId="0" fontId="44" fillId="0" borderId="0"/>
    <xf numFmtId="0" fontId="49" fillId="10" borderId="0" applyNumberFormat="0" applyBorder="0" applyAlignment="0" applyProtection="0"/>
    <xf numFmtId="164" fontId="6" fillId="0" borderId="0" applyProtection="0"/>
    <xf numFmtId="164" fontId="6" fillId="0" borderId="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57" fillId="0" borderId="0"/>
    <xf numFmtId="0" fontId="63" fillId="0" borderId="0"/>
    <xf numFmtId="43" fontId="1" fillId="0" borderId="0" applyFont="0" applyFill="0" applyBorder="0" applyAlignment="0" applyProtection="0"/>
    <xf numFmtId="0" fontId="66" fillId="0" borderId="0"/>
    <xf numFmtId="0" fontId="3" fillId="0" borderId="0"/>
  </cellStyleXfs>
  <cellXfs count="897">
    <xf numFmtId="0" fontId="0" fillId="0" borderId="0" xfId="0"/>
    <xf numFmtId="0" fontId="4" fillId="0" borderId="0" xfId="5" applyNumberFormat="1" applyFont="1" applyAlignment="1" applyProtection="1">
      <alignment horizontal="left"/>
      <protection locked="0"/>
    </xf>
    <xf numFmtId="0" fontId="4" fillId="3" borderId="0" xfId="5" applyNumberFormat="1" applyFont="1" applyFill="1" applyProtection="1">
      <protection locked="0"/>
    </xf>
    <xf numFmtId="0" fontId="4" fillId="3" borderId="0" xfId="3" applyFont="1" applyFill="1" applyAlignment="1">
      <alignment horizontal="right"/>
    </xf>
    <xf numFmtId="0" fontId="4" fillId="0" borderId="0" xfId="5" applyNumberFormat="1" applyFont="1" applyProtection="1">
      <protection locked="0"/>
    </xf>
    <xf numFmtId="0" fontId="4" fillId="0" borderId="0" xfId="5" applyNumberFormat="1" applyFont="1" applyAlignment="1" applyProtection="1">
      <alignment horizontal="center"/>
      <protection locked="0"/>
    </xf>
    <xf numFmtId="0" fontId="4" fillId="0" borderId="1" xfId="5" applyNumberFormat="1" applyFont="1" applyBorder="1" applyAlignment="1" applyProtection="1">
      <alignment horizontal="center"/>
      <protection locked="0"/>
    </xf>
    <xf numFmtId="0" fontId="4" fillId="0" borderId="1" xfId="5" applyNumberFormat="1" applyFont="1" applyBorder="1" applyAlignment="1" applyProtection="1">
      <alignment horizontal="centerContinuous"/>
      <protection locked="0"/>
    </xf>
    <xf numFmtId="167" fontId="4" fillId="3" borderId="0" xfId="5" applyNumberFormat="1" applyFont="1" applyFill="1" applyProtection="1">
      <protection locked="0"/>
    </xf>
    <xf numFmtId="167" fontId="4" fillId="0" borderId="0" xfId="5" applyNumberFormat="1" applyFont="1" applyProtection="1">
      <protection locked="0"/>
    </xf>
    <xf numFmtId="0" fontId="8" fillId="0" borderId="0" xfId="5" applyNumberFormat="1" applyFont="1" applyAlignment="1" applyProtection="1">
      <alignment horizontal="center"/>
      <protection locked="0"/>
    </xf>
    <xf numFmtId="171" fontId="4" fillId="0" borderId="0" xfId="5" applyNumberFormat="1" applyFont="1" applyAlignment="1" applyProtection="1">
      <alignment horizontal="left"/>
      <protection locked="0"/>
    </xf>
    <xf numFmtId="165" fontId="4" fillId="0" borderId="0" xfId="5" applyNumberFormat="1" applyFont="1" applyAlignment="1" applyProtection="1">
      <alignment horizontal="center"/>
      <protection locked="0"/>
    </xf>
    <xf numFmtId="0" fontId="11" fillId="0" borderId="0" xfId="5" applyNumberFormat="1" applyFont="1" applyProtection="1">
      <protection locked="0"/>
    </xf>
    <xf numFmtId="38" fontId="4" fillId="3" borderId="1" xfId="5" applyNumberFormat="1" applyFont="1" applyFill="1" applyBorder="1" applyProtection="1">
      <protection locked="0"/>
    </xf>
    <xf numFmtId="166" fontId="4" fillId="0" borderId="0" xfId="5" applyNumberFormat="1" applyFont="1" applyProtection="1">
      <protection locked="0"/>
    </xf>
    <xf numFmtId="174" fontId="4" fillId="0" borderId="0" xfId="5" applyNumberFormat="1" applyFont="1" applyProtection="1">
      <protection locked="0"/>
    </xf>
    <xf numFmtId="0" fontId="4" fillId="0" borderId="0" xfId="5" applyNumberFormat="1" applyFont="1" applyAlignment="1" applyProtection="1">
      <alignment horizontal="left" indent="8"/>
      <protection locked="0"/>
    </xf>
    <xf numFmtId="0" fontId="4" fillId="0" borderId="0" xfId="5" applyNumberFormat="1" applyFont="1" applyAlignment="1" applyProtection="1">
      <alignment horizontal="center" vertical="top" wrapText="1"/>
      <protection locked="0"/>
    </xf>
    <xf numFmtId="10" fontId="4" fillId="3" borderId="0" xfId="5" applyNumberFormat="1" applyFont="1" applyFill="1" applyProtection="1">
      <protection locked="0"/>
    </xf>
    <xf numFmtId="174" fontId="16" fillId="0" borderId="0" xfId="9" applyNumberFormat="1" applyFont="1" applyAlignment="1">
      <alignment horizontal="center" wrapText="1"/>
    </xf>
    <xf numFmtId="0" fontId="5" fillId="0" borderId="3" xfId="12" applyBorder="1" applyAlignment="1">
      <alignment horizontal="center"/>
    </xf>
    <xf numFmtId="0" fontId="5" fillId="0" borderId="5" xfId="12" applyBorder="1"/>
    <xf numFmtId="0" fontId="5" fillId="0" borderId="0" xfId="12"/>
    <xf numFmtId="170" fontId="0" fillId="0" borderId="0" xfId="1" applyNumberFormat="1" applyFont="1" applyFill="1"/>
    <xf numFmtId="0" fontId="0" fillId="0" borderId="0" xfId="0" applyAlignment="1">
      <alignment horizontal="center"/>
    </xf>
    <xf numFmtId="0" fontId="2" fillId="0" borderId="0" xfId="0" applyFont="1" applyAlignment="1">
      <alignment horizontal="center" wrapText="1"/>
    </xf>
    <xf numFmtId="0" fontId="14" fillId="0" borderId="0" xfId="7" applyFont="1"/>
    <xf numFmtId="0" fontId="5" fillId="0" borderId="0" xfId="7"/>
    <xf numFmtId="0" fontId="14" fillId="0" borderId="0" xfId="7" applyFont="1" applyAlignment="1">
      <alignment horizontal="center" vertical="center"/>
    </xf>
    <xf numFmtId="0" fontId="14" fillId="0" borderId="0" xfId="7" applyFont="1" applyAlignment="1">
      <alignment horizontal="center" vertical="center" wrapText="1"/>
    </xf>
    <xf numFmtId="0" fontId="14" fillId="0" borderId="0" xfId="7" applyFont="1" applyAlignment="1">
      <alignment horizontal="center"/>
    </xf>
    <xf numFmtId="0" fontId="5" fillId="0" borderId="3" xfId="7" applyBorder="1" applyAlignment="1">
      <alignment vertical="center"/>
    </xf>
    <xf numFmtId="0" fontId="5" fillId="0" borderId="0" xfId="7" applyAlignment="1">
      <alignment horizontal="center"/>
    </xf>
    <xf numFmtId="164" fontId="6" fillId="0" borderId="0" xfId="8"/>
    <xf numFmtId="0" fontId="14" fillId="0" borderId="0" xfId="7" applyFont="1" applyAlignment="1">
      <alignment horizontal="centerContinuous" vertical="center"/>
    </xf>
    <xf numFmtId="0" fontId="14" fillId="0" borderId="0" xfId="7" applyFont="1" applyAlignment="1">
      <alignment horizontal="centerContinuous" vertical="center" wrapText="1"/>
    </xf>
    <xf numFmtId="0" fontId="13" fillId="0" borderId="0" xfId="10" applyFont="1"/>
    <xf numFmtId="170" fontId="13" fillId="0" borderId="0" xfId="11" applyNumberFormat="1" applyFont="1" applyFill="1"/>
    <xf numFmtId="0" fontId="17" fillId="0" borderId="0" xfId="10" applyFont="1" applyAlignment="1">
      <alignment horizontal="center" vertical="center" wrapText="1"/>
    </xf>
    <xf numFmtId="0" fontId="13" fillId="0" borderId="3" xfId="10" applyFont="1" applyBorder="1"/>
    <xf numFmtId="0" fontId="13" fillId="0" borderId="3" xfId="10" applyFont="1" applyBorder="1" applyAlignment="1">
      <alignment horizontal="center"/>
    </xf>
    <xf numFmtId="0" fontId="13" fillId="0" borderId="0" xfId="10" applyFont="1" applyAlignment="1">
      <alignment horizontal="center"/>
    </xf>
    <xf numFmtId="170" fontId="13" fillId="0" borderId="0" xfId="10" applyNumberFormat="1" applyFont="1"/>
    <xf numFmtId="0" fontId="5" fillId="0" borderId="5" xfId="7" applyBorder="1" applyAlignment="1">
      <alignment horizontal="right"/>
    </xf>
    <xf numFmtId="0" fontId="13" fillId="0" borderId="5" xfId="10" applyFont="1" applyBorder="1"/>
    <xf numFmtId="0" fontId="14" fillId="0" borderId="0" xfId="12" applyFont="1" applyAlignment="1">
      <alignment horizontal="center" vertical="top" wrapText="1"/>
    </xf>
    <xf numFmtId="0" fontId="5" fillId="0" borderId="3" xfId="12" applyBorder="1"/>
    <xf numFmtId="175" fontId="0" fillId="0" borderId="5" xfId="13" applyNumberFormat="1" applyFont="1" applyFill="1" applyBorder="1"/>
    <xf numFmtId="0" fontId="14" fillId="0" borderId="0" xfId="12" applyFont="1"/>
    <xf numFmtId="0" fontId="5" fillId="0" borderId="0" xfId="12" applyAlignment="1">
      <alignment horizontal="center"/>
    </xf>
    <xf numFmtId="0" fontId="14" fillId="0" borderId="0" xfId="12" applyFont="1" applyAlignment="1">
      <alignment horizontal="center"/>
    </xf>
    <xf numFmtId="175" fontId="0" fillId="0" borderId="0" xfId="13" applyNumberFormat="1" applyFont="1" applyFill="1"/>
    <xf numFmtId="0" fontId="5" fillId="0" borderId="0" xfId="14"/>
    <xf numFmtId="0" fontId="14" fillId="0" borderId="0" xfId="14" applyFont="1"/>
    <xf numFmtId="0" fontId="5" fillId="0" borderId="0" xfId="12" applyAlignment="1">
      <alignment horizontal="center" vertical="top" wrapText="1"/>
    </xf>
    <xf numFmtId="0" fontId="5" fillId="0" borderId="0" xfId="6"/>
    <xf numFmtId="0" fontId="18" fillId="0" borderId="0" xfId="6" applyFont="1"/>
    <xf numFmtId="0" fontId="5" fillId="0" borderId="0" xfId="12" applyAlignment="1">
      <alignment vertical="top"/>
    </xf>
    <xf numFmtId="0" fontId="3" fillId="0" borderId="0" xfId="12" applyFont="1" applyAlignment="1">
      <alignment horizontal="center"/>
    </xf>
    <xf numFmtId="178" fontId="0" fillId="0" borderId="0" xfId="0" applyNumberFormat="1"/>
    <xf numFmtId="178" fontId="0" fillId="0" borderId="0" xfId="0" applyNumberFormat="1" applyAlignment="1">
      <alignment horizontal="center"/>
    </xf>
    <xf numFmtId="179" fontId="0" fillId="0" borderId="0" xfId="0" applyNumberFormat="1"/>
    <xf numFmtId="10" fontId="0" fillId="0" borderId="0" xfId="2" applyNumberFormat="1" applyFont="1"/>
    <xf numFmtId="10" fontId="0" fillId="0" borderId="5" xfId="2" applyNumberFormat="1" applyFont="1" applyBorder="1"/>
    <xf numFmtId="170" fontId="0" fillId="0" borderId="5" xfId="11" applyNumberFormat="1" applyFont="1" applyBorder="1"/>
    <xf numFmtId="10" fontId="19" fillId="0" borderId="0" xfId="2" applyNumberFormat="1" applyFont="1" applyAlignment="1">
      <alignment horizontal="center"/>
    </xf>
    <xf numFmtId="171" fontId="19" fillId="0" borderId="0" xfId="2" applyNumberFormat="1" applyFont="1" applyAlignment="1">
      <alignment horizontal="center"/>
    </xf>
    <xf numFmtId="170" fontId="19" fillId="0" borderId="0" xfId="11" applyNumberFormat="1" applyFont="1" applyAlignment="1">
      <alignment horizontal="center"/>
    </xf>
    <xf numFmtId="177" fontId="19" fillId="0" borderId="0" xfId="2" applyNumberFormat="1" applyFont="1" applyAlignment="1">
      <alignment horizontal="center"/>
    </xf>
    <xf numFmtId="0" fontId="19" fillId="0" borderId="0" xfId="17" applyFont="1" applyAlignment="1">
      <alignment horizontal="center"/>
    </xf>
    <xf numFmtId="0" fontId="3" fillId="0" borderId="0" xfId="17"/>
    <xf numFmtId="0" fontId="20" fillId="0" borderId="0" xfId="17" applyFont="1" applyAlignment="1">
      <alignment horizontal="center" wrapText="1"/>
    </xf>
    <xf numFmtId="171" fontId="20" fillId="0" borderId="0" xfId="17" applyNumberFormat="1" applyFont="1" applyAlignment="1">
      <alignment horizontal="center" wrapText="1"/>
    </xf>
    <xf numFmtId="0" fontId="20" fillId="0" borderId="0" xfId="17" quotePrefix="1" applyFont="1" applyAlignment="1">
      <alignment horizontal="center" wrapText="1"/>
    </xf>
    <xf numFmtId="0" fontId="20" fillId="0" borderId="0" xfId="17" applyFont="1"/>
    <xf numFmtId="0" fontId="15" fillId="0" borderId="0" xfId="18" applyFont="1"/>
    <xf numFmtId="0" fontId="14" fillId="0" borderId="0" xfId="18" applyFont="1" applyAlignment="1">
      <alignment horizontal="left"/>
    </xf>
    <xf numFmtId="0" fontId="14" fillId="0" borderId="0" xfId="18" applyFont="1"/>
    <xf numFmtId="164" fontId="6" fillId="0" borderId="0" xfId="19"/>
    <xf numFmtId="164" fontId="6" fillId="0" borderId="0" xfId="19" applyAlignment="1">
      <alignment vertical="top"/>
    </xf>
    <xf numFmtId="164" fontId="22" fillId="0" borderId="0" xfId="19" applyFont="1"/>
    <xf numFmtId="10" fontId="23" fillId="0" borderId="0" xfId="19" applyNumberFormat="1" applyFont="1"/>
    <xf numFmtId="3" fontId="24" fillId="0" borderId="0" xfId="19" applyNumberFormat="1" applyFont="1"/>
    <xf numFmtId="164" fontId="24" fillId="0" borderId="0" xfId="19" applyFont="1"/>
    <xf numFmtId="10" fontId="24" fillId="0" borderId="0" xfId="19" applyNumberFormat="1" applyFont="1"/>
    <xf numFmtId="164" fontId="24" fillId="0" borderId="0" xfId="19" applyFont="1" applyAlignment="1">
      <alignment horizontal="center"/>
    </xf>
    <xf numFmtId="49" fontId="6" fillId="0" borderId="0" xfId="19" applyNumberFormat="1" applyAlignment="1">
      <alignment horizontal="center"/>
    </xf>
    <xf numFmtId="164" fontId="4" fillId="0" borderId="0" xfId="19" applyFont="1"/>
    <xf numFmtId="49" fontId="4" fillId="0" borderId="0" xfId="19" applyNumberFormat="1" applyFont="1" applyAlignment="1">
      <alignment horizontal="left"/>
    </xf>
    <xf numFmtId="164" fontId="6" fillId="0" borderId="0" xfId="20"/>
    <xf numFmtId="164" fontId="22" fillId="0" borderId="0" xfId="20" applyFont="1"/>
    <xf numFmtId="164" fontId="6" fillId="0" borderId="0" xfId="20" applyAlignment="1">
      <alignment horizontal="center" vertical="top"/>
    </xf>
    <xf numFmtId="164" fontId="6" fillId="0" borderId="0" xfId="19" applyAlignment="1">
      <alignment horizontal="center"/>
    </xf>
    <xf numFmtId="164" fontId="6" fillId="0" borderId="0" xfId="19" applyAlignment="1">
      <alignment horizontal="center" vertical="top"/>
    </xf>
    <xf numFmtId="164" fontId="24" fillId="0" borderId="1" xfId="19" applyFont="1" applyBorder="1"/>
    <xf numFmtId="174" fontId="24" fillId="0" borderId="0" xfId="19" applyNumberFormat="1" applyFont="1"/>
    <xf numFmtId="1" fontId="24" fillId="0" borderId="0" xfId="21" applyNumberFormat="1" applyFont="1" applyFill="1" applyBorder="1" applyAlignment="1">
      <alignment horizontal="center"/>
    </xf>
    <xf numFmtId="164" fontId="3" fillId="0" borderId="0" xfId="19" applyFont="1"/>
    <xf numFmtId="170" fontId="6" fillId="0" borderId="0" xfId="21" applyNumberFormat="1" applyFont="1" applyFill="1" applyBorder="1" applyAlignment="1"/>
    <xf numFmtId="180" fontId="24" fillId="0" borderId="0" xfId="19" applyNumberFormat="1" applyFont="1"/>
    <xf numFmtId="0" fontId="24" fillId="0" borderId="0" xfId="19" applyNumberFormat="1" applyFont="1"/>
    <xf numFmtId="49" fontId="24" fillId="0" borderId="0" xfId="19" applyNumberFormat="1" applyFont="1" applyAlignment="1">
      <alignment horizontal="center"/>
    </xf>
    <xf numFmtId="0" fontId="6" fillId="0" borderId="0" xfId="19" applyNumberFormat="1"/>
    <xf numFmtId="3" fontId="6" fillId="0" borderId="0" xfId="19" applyNumberFormat="1"/>
    <xf numFmtId="0" fontId="6" fillId="0" borderId="0" xfId="19" applyNumberFormat="1" applyAlignment="1">
      <alignment vertical="top"/>
    </xf>
    <xf numFmtId="3" fontId="24" fillId="0" borderId="8" xfId="19" applyNumberFormat="1" applyFont="1" applyBorder="1"/>
    <xf numFmtId="0" fontId="24" fillId="0" borderId="8" xfId="19" applyNumberFormat="1" applyFont="1" applyBorder="1"/>
    <xf numFmtId="0" fontId="24" fillId="0" borderId="0" xfId="20" applyNumberFormat="1" applyFont="1"/>
    <xf numFmtId="0" fontId="24" fillId="0" borderId="9" xfId="19" applyNumberFormat="1" applyFont="1" applyBorder="1"/>
    <xf numFmtId="3" fontId="24" fillId="0" borderId="10" xfId="19" applyNumberFormat="1" applyFont="1" applyBorder="1" applyAlignment="1">
      <alignment horizontal="center" wrapText="1"/>
    </xf>
    <xf numFmtId="3" fontId="24" fillId="0" borderId="11" xfId="19" applyNumberFormat="1" applyFont="1" applyBorder="1" applyAlignment="1">
      <alignment horizontal="center"/>
    </xf>
    <xf numFmtId="0" fontId="24" fillId="0" borderId="10" xfId="19" applyNumberFormat="1" applyFont="1" applyBorder="1" applyAlignment="1">
      <alignment horizontal="center" wrapText="1"/>
    </xf>
    <xf numFmtId="0" fontId="24" fillId="0" borderId="11" xfId="20" applyNumberFormat="1" applyFont="1" applyBorder="1" applyAlignment="1">
      <alignment horizontal="center" wrapText="1"/>
    </xf>
    <xf numFmtId="0" fontId="24" fillId="0" borderId="11" xfId="19" applyNumberFormat="1" applyFont="1" applyBorder="1" applyAlignment="1">
      <alignment horizontal="center"/>
    </xf>
    <xf numFmtId="0" fontId="24" fillId="0" borderId="10" xfId="19" applyNumberFormat="1" applyFont="1" applyBorder="1" applyAlignment="1">
      <alignment horizontal="center"/>
    </xf>
    <xf numFmtId="0" fontId="24" fillId="0" borderId="11" xfId="19" applyNumberFormat="1" applyFont="1" applyBorder="1"/>
    <xf numFmtId="0" fontId="24" fillId="0" borderId="12" xfId="19" applyNumberFormat="1" applyFont="1" applyBorder="1"/>
    <xf numFmtId="3" fontId="23" fillId="0" borderId="10" xfId="19" applyNumberFormat="1" applyFont="1" applyBorder="1" applyAlignment="1">
      <alignment horizontal="center" wrapText="1"/>
    </xf>
    <xf numFmtId="3" fontId="23" fillId="0" borderId="11" xfId="19" applyNumberFormat="1" applyFont="1" applyBorder="1" applyAlignment="1">
      <alignment horizontal="center" wrapText="1"/>
    </xf>
    <xf numFmtId="0" fontId="23" fillId="0" borderId="11" xfId="20" applyNumberFormat="1" applyFont="1" applyBorder="1" applyAlignment="1">
      <alignment horizontal="center" wrapText="1"/>
    </xf>
    <xf numFmtId="0" fontId="23" fillId="0" borderId="11" xfId="19" applyNumberFormat="1" applyFont="1" applyBorder="1" applyAlignment="1">
      <alignment horizontal="center" wrapText="1"/>
    </xf>
    <xf numFmtId="164" fontId="16" fillId="0" borderId="10" xfId="19" applyFont="1" applyBorder="1" applyAlignment="1">
      <alignment horizontal="center" wrapText="1"/>
    </xf>
    <xf numFmtId="164" fontId="16" fillId="0" borderId="11" xfId="19" applyFont="1" applyBorder="1" applyAlignment="1">
      <alignment horizontal="center" wrapText="1"/>
    </xf>
    <xf numFmtId="164" fontId="16" fillId="0" borderId="11" xfId="19" applyFont="1" applyBorder="1"/>
    <xf numFmtId="164" fontId="16" fillId="0" borderId="12" xfId="19" applyFont="1" applyBorder="1" applyAlignment="1">
      <alignment horizontal="center" wrapText="1"/>
    </xf>
    <xf numFmtId="181" fontId="23" fillId="0" borderId="0" xfId="19" applyNumberFormat="1" applyFont="1" applyAlignment="1">
      <alignment horizontal="center"/>
    </xf>
    <xf numFmtId="0" fontId="6" fillId="0" borderId="0" xfId="19" applyNumberFormat="1" applyAlignment="1" applyProtection="1">
      <alignment horizontal="center"/>
      <protection locked="0"/>
    </xf>
    <xf numFmtId="0" fontId="23" fillId="0" borderId="0" xfId="19" applyNumberFormat="1" applyFont="1"/>
    <xf numFmtId="164" fontId="4" fillId="0" borderId="0" xfId="19" applyFont="1" applyAlignment="1">
      <alignment horizontal="right"/>
    </xf>
    <xf numFmtId="164" fontId="24" fillId="0" borderId="0" xfId="19" applyFont="1" applyAlignment="1">
      <alignment horizontal="right"/>
    </xf>
    <xf numFmtId="164" fontId="6" fillId="0" borderId="0" xfId="19" applyAlignment="1">
      <alignment horizontal="right"/>
    </xf>
    <xf numFmtId="0" fontId="6" fillId="0" borderId="0" xfId="19" applyNumberFormat="1" applyAlignment="1">
      <alignment horizontal="center"/>
    </xf>
    <xf numFmtId="3" fontId="6" fillId="0" borderId="0" xfId="19" applyNumberFormat="1" applyAlignment="1">
      <alignment vertical="top"/>
    </xf>
    <xf numFmtId="3" fontId="6" fillId="0" borderId="0" xfId="19" applyNumberFormat="1" applyAlignment="1">
      <alignment horizontal="center"/>
    </xf>
    <xf numFmtId="0" fontId="6" fillId="0" borderId="0" xfId="19" applyNumberFormat="1" applyAlignment="1">
      <alignment horizontal="right"/>
    </xf>
    <xf numFmtId="49" fontId="6" fillId="0" borderId="0" xfId="19" applyNumberFormat="1" applyAlignment="1">
      <alignment horizontal="left"/>
    </xf>
    <xf numFmtId="0" fontId="4" fillId="0" borderId="0" xfId="19" applyNumberFormat="1" applyFont="1" applyAlignment="1">
      <alignment horizontal="right"/>
    </xf>
    <xf numFmtId="171" fontId="24" fillId="0" borderId="0" xfId="19" applyNumberFormat="1" applyFont="1" applyAlignment="1">
      <alignment horizontal="center"/>
    </xf>
    <xf numFmtId="10" fontId="23" fillId="0" borderId="0" xfId="23" applyNumberFormat="1" applyFont="1" applyFill="1" applyBorder="1" applyAlignment="1"/>
    <xf numFmtId="3" fontId="23" fillId="0" borderId="0" xfId="19" applyNumberFormat="1" applyFont="1"/>
    <xf numFmtId="3" fontId="23" fillId="0" borderId="0" xfId="19" applyNumberFormat="1" applyFont="1" applyAlignment="1">
      <alignment horizontal="center"/>
    </xf>
    <xf numFmtId="164" fontId="16" fillId="0" borderId="0" xfId="19" applyFont="1"/>
    <xf numFmtId="49" fontId="16" fillId="0" borderId="0" xfId="19" applyNumberFormat="1" applyFont="1" applyAlignment="1">
      <alignment horizontal="center"/>
    </xf>
    <xf numFmtId="3" fontId="24" fillId="0" borderId="0" xfId="19" applyNumberFormat="1" applyFont="1" applyAlignment="1">
      <alignment horizontal="center"/>
    </xf>
    <xf numFmtId="174" fontId="6" fillId="0" borderId="0" xfId="19" applyNumberFormat="1" applyAlignment="1">
      <alignment vertical="top"/>
    </xf>
    <xf numFmtId="10" fontId="25" fillId="0" borderId="0" xfId="23" applyNumberFormat="1" applyFont="1" applyFill="1" applyBorder="1" applyAlignment="1"/>
    <xf numFmtId="10" fontId="24" fillId="0" borderId="0" xfId="23" applyNumberFormat="1" applyFont="1" applyFill="1" applyBorder="1" applyAlignment="1"/>
    <xf numFmtId="3" fontId="24" fillId="3" borderId="0" xfId="20" applyNumberFormat="1" applyFont="1" applyFill="1"/>
    <xf numFmtId="0" fontId="6" fillId="0" borderId="0" xfId="19" applyNumberFormat="1" applyAlignment="1">
      <alignment horizontal="fill" vertical="top"/>
    </xf>
    <xf numFmtId="169" fontId="23" fillId="0" borderId="0" xfId="19" applyNumberFormat="1" applyFont="1" applyAlignment="1">
      <alignment vertical="top"/>
    </xf>
    <xf numFmtId="0" fontId="23" fillId="0" borderId="0" xfId="19" applyNumberFormat="1" applyFont="1" applyAlignment="1">
      <alignment horizontal="center"/>
    </xf>
    <xf numFmtId="3" fontId="24" fillId="0" borderId="5" xfId="20" applyNumberFormat="1" applyFont="1" applyBorder="1"/>
    <xf numFmtId="3" fontId="24" fillId="5" borderId="0" xfId="19" applyNumberFormat="1" applyFont="1" applyFill="1"/>
    <xf numFmtId="0" fontId="26" fillId="0" borderId="0" xfId="19" applyNumberFormat="1" applyFont="1" applyAlignment="1" applyProtection="1">
      <alignment horizontal="center"/>
      <protection locked="0"/>
    </xf>
    <xf numFmtId="0" fontId="23" fillId="0" borderId="0" xfId="19" applyNumberFormat="1" applyFont="1" applyAlignment="1" applyProtection="1">
      <alignment horizontal="center"/>
      <protection locked="0"/>
    </xf>
    <xf numFmtId="164" fontId="23" fillId="0" borderId="0" xfId="19" applyFont="1" applyAlignment="1">
      <alignment horizontal="center"/>
    </xf>
    <xf numFmtId="0" fontId="24" fillId="0" borderId="0" xfId="19" applyNumberFormat="1" applyFont="1" applyAlignment="1">
      <alignment horizontal="center"/>
    </xf>
    <xf numFmtId="49" fontId="24" fillId="0" borderId="0" xfId="19" applyNumberFormat="1" applyFont="1"/>
    <xf numFmtId="0" fontId="24" fillId="5" borderId="0" xfId="19" applyNumberFormat="1" applyFont="1" applyFill="1"/>
    <xf numFmtId="49" fontId="24" fillId="5" borderId="0" xfId="19" applyNumberFormat="1" applyFont="1" applyFill="1" applyAlignment="1">
      <alignment horizontal="center"/>
    </xf>
    <xf numFmtId="0" fontId="24" fillId="0" borderId="0" xfId="19" applyNumberFormat="1" applyFont="1" applyProtection="1">
      <protection locked="0"/>
    </xf>
    <xf numFmtId="164" fontId="6" fillId="5" borderId="0" xfId="19" applyFill="1"/>
    <xf numFmtId="0" fontId="24" fillId="0" borderId="0" xfId="19" applyNumberFormat="1" applyFont="1" applyAlignment="1" applyProtection="1">
      <alignment horizontal="left"/>
      <protection locked="0"/>
    </xf>
    <xf numFmtId="0" fontId="3" fillId="0" borderId="0" xfId="25"/>
    <xf numFmtId="0" fontId="3" fillId="0" borderId="0" xfId="26" applyFont="1" applyAlignment="1">
      <alignment horizontal="center" vertical="top"/>
    </xf>
    <xf numFmtId="174" fontId="3" fillId="0" borderId="10" xfId="26" applyNumberFormat="1" applyFont="1" applyBorder="1" applyAlignment="1">
      <alignment horizontal="right" vertical="top"/>
    </xf>
    <xf numFmtId="174" fontId="3" fillId="0" borderId="12" xfId="26" applyNumberFormat="1" applyFont="1" applyBorder="1" applyAlignment="1">
      <alignment horizontal="right" vertical="top"/>
    </xf>
    <xf numFmtId="0" fontId="14" fillId="6" borderId="0" xfId="16" applyFont="1" applyFill="1" applyAlignment="1">
      <alignment horizontal="right"/>
    </xf>
    <xf numFmtId="0" fontId="14" fillId="6" borderId="0" xfId="26" applyFont="1" applyFill="1">
      <alignment vertical="top"/>
    </xf>
    <xf numFmtId="3" fontId="3" fillId="0" borderId="8" xfId="27" applyNumberFormat="1" applyFont="1" applyFill="1" applyBorder="1" applyAlignment="1">
      <alignment horizontal="right" vertical="top"/>
    </xf>
    <xf numFmtId="3" fontId="3" fillId="7" borderId="9" xfId="27" applyNumberFormat="1" applyFont="1" applyFill="1" applyBorder="1" applyAlignment="1">
      <alignment horizontal="right" vertical="top"/>
    </xf>
    <xf numFmtId="3" fontId="3" fillId="0" borderId="9" xfId="27" applyNumberFormat="1" applyFont="1" applyFill="1" applyBorder="1" applyAlignment="1">
      <alignment horizontal="right" vertical="top"/>
    </xf>
    <xf numFmtId="3" fontId="3" fillId="7" borderId="8" xfId="27" applyNumberFormat="1" applyFont="1" applyFill="1" applyBorder="1" applyAlignment="1">
      <alignment horizontal="right" vertical="top"/>
    </xf>
    <xf numFmtId="0" fontId="3" fillId="0" borderId="6" xfId="26" applyFont="1" applyBorder="1">
      <alignment vertical="top"/>
    </xf>
    <xf numFmtId="0" fontId="14" fillId="8" borderId="6" xfId="26" applyFont="1" applyFill="1" applyBorder="1">
      <alignment vertical="top"/>
    </xf>
    <xf numFmtId="3" fontId="3" fillId="0" borderId="13" xfId="27" applyNumberFormat="1" applyFont="1" applyFill="1" applyBorder="1" applyAlignment="1">
      <alignment horizontal="right" vertical="top"/>
    </xf>
    <xf numFmtId="3" fontId="3" fillId="7" borderId="14" xfId="27" applyNumberFormat="1" applyFont="1" applyFill="1" applyBorder="1" applyAlignment="1">
      <alignment horizontal="right" vertical="top"/>
    </xf>
    <xf numFmtId="3" fontId="3" fillId="0" borderId="14" xfId="27" applyNumberFormat="1" applyFont="1" applyFill="1" applyBorder="1" applyAlignment="1">
      <alignment horizontal="right" vertical="top"/>
    </xf>
    <xf numFmtId="3" fontId="3" fillId="7" borderId="13" xfId="27" applyNumberFormat="1" applyFont="1" applyFill="1" applyBorder="1" applyAlignment="1">
      <alignment horizontal="right" vertical="top"/>
    </xf>
    <xf numFmtId="0" fontId="3" fillId="0" borderId="13" xfId="26" applyFont="1" applyBorder="1">
      <alignment vertical="top"/>
    </xf>
    <xf numFmtId="0" fontId="14" fillId="0" borderId="13" xfId="25" applyFont="1" applyBorder="1"/>
    <xf numFmtId="0" fontId="3" fillId="8" borderId="3" xfId="25" applyFill="1" applyBorder="1" applyAlignment="1">
      <alignment horizontal="right"/>
    </xf>
    <xf numFmtId="0" fontId="3" fillId="6" borderId="3" xfId="25" applyFill="1" applyBorder="1" applyAlignment="1">
      <alignment horizontal="right"/>
    </xf>
    <xf numFmtId="0" fontId="3" fillId="6" borderId="3" xfId="25" applyFill="1" applyBorder="1"/>
    <xf numFmtId="0" fontId="3" fillId="8" borderId="0" xfId="25" applyFill="1"/>
    <xf numFmtId="0" fontId="14" fillId="8" borderId="0" xfId="26" applyFont="1" applyFill="1">
      <alignment vertical="top"/>
    </xf>
    <xf numFmtId="0" fontId="3" fillId="8" borderId="0" xfId="26" applyFont="1" applyFill="1" applyAlignment="1">
      <alignment horizontal="right" vertical="top"/>
    </xf>
    <xf numFmtId="174" fontId="3" fillId="6" borderId="0" xfId="26" applyNumberFormat="1" applyFont="1" applyFill="1" applyAlignment="1">
      <alignment horizontal="right" vertical="top"/>
    </xf>
    <xf numFmtId="0" fontId="3" fillId="6" borderId="0" xfId="26" applyFont="1" applyFill="1" applyAlignment="1">
      <alignment horizontal="right" vertical="top"/>
    </xf>
    <xf numFmtId="0" fontId="3" fillId="6" borderId="0" xfId="25" applyFill="1"/>
    <xf numFmtId="174" fontId="3" fillId="8" borderId="0" xfId="26" applyNumberFormat="1" applyFont="1" applyFill="1" applyAlignment="1">
      <alignment horizontal="right" vertical="top"/>
    </xf>
    <xf numFmtId="0" fontId="3" fillId="8" borderId="0" xfId="16" applyFill="1" applyAlignment="1">
      <alignment horizontal="right"/>
    </xf>
    <xf numFmtId="0" fontId="14" fillId="0" borderId="0" xfId="16" applyFont="1" applyAlignment="1">
      <alignment horizontal="right"/>
    </xf>
    <xf numFmtId="0" fontId="14" fillId="0" borderId="0" xfId="26" applyFont="1">
      <alignment vertical="top"/>
    </xf>
    <xf numFmtId="174" fontId="3" fillId="0" borderId="11" xfId="26" applyNumberFormat="1" applyFont="1" applyBorder="1" applyAlignment="1">
      <alignment horizontal="right" vertical="top"/>
    </xf>
    <xf numFmtId="174" fontId="3" fillId="0" borderId="15" xfId="26" applyNumberFormat="1" applyFont="1" applyBorder="1" applyAlignment="1">
      <alignment horizontal="right" vertical="top"/>
    </xf>
    <xf numFmtId="0" fontId="14" fillId="0" borderId="5" xfId="16" applyFont="1" applyBorder="1" applyAlignment="1">
      <alignment horizontal="right"/>
    </xf>
    <xf numFmtId="0" fontId="14" fillId="8" borderId="5" xfId="26" applyFont="1" applyFill="1" applyBorder="1">
      <alignment vertical="top"/>
    </xf>
    <xf numFmtId="3" fontId="3" fillId="0" borderId="7" xfId="27" applyNumberFormat="1" applyFont="1" applyFill="1" applyBorder="1" applyAlignment="1">
      <alignment horizontal="right" vertical="top"/>
    </xf>
    <xf numFmtId="3" fontId="3" fillId="7" borderId="7" xfId="27" applyNumberFormat="1" applyFont="1" applyFill="1" applyBorder="1" applyAlignment="1">
      <alignment horizontal="right" vertical="top"/>
    </xf>
    <xf numFmtId="0" fontId="14" fillId="8" borderId="8" xfId="26" applyFont="1" applyFill="1" applyBorder="1">
      <alignment vertical="top"/>
    </xf>
    <xf numFmtId="0" fontId="3" fillId="6" borderId="3" xfId="16" applyFill="1" applyBorder="1" applyAlignment="1">
      <alignment horizontal="right"/>
    </xf>
    <xf numFmtId="3" fontId="3" fillId="6" borderId="3" xfId="16" applyNumberFormat="1" applyFill="1" applyBorder="1" applyAlignment="1">
      <alignment horizontal="right"/>
    </xf>
    <xf numFmtId="0" fontId="3" fillId="6" borderId="3" xfId="16" applyFill="1" applyBorder="1"/>
    <xf numFmtId="0" fontId="14" fillId="8" borderId="3" xfId="26" applyFont="1" applyFill="1" applyBorder="1">
      <alignment vertical="top"/>
    </xf>
    <xf numFmtId="37" fontId="3" fillId="6" borderId="0" xfId="16" applyNumberFormat="1" applyFill="1" applyAlignment="1">
      <alignment horizontal="right"/>
    </xf>
    <xf numFmtId="0" fontId="3" fillId="6" borderId="0" xfId="16" applyFill="1" applyAlignment="1">
      <alignment horizontal="right"/>
    </xf>
    <xf numFmtId="3" fontId="3" fillId="0" borderId="6" xfId="27" applyNumberFormat="1" applyFont="1" applyFill="1" applyBorder="1" applyAlignment="1">
      <alignment horizontal="right" vertical="top"/>
    </xf>
    <xf numFmtId="3" fontId="3" fillId="7" borderId="6" xfId="27" applyNumberFormat="1" applyFont="1" applyFill="1" applyBorder="1" applyAlignment="1">
      <alignment horizontal="right" vertical="top"/>
    </xf>
    <xf numFmtId="0" fontId="14" fillId="8" borderId="13" xfId="26" applyFont="1" applyFill="1" applyBorder="1">
      <alignment vertical="top"/>
    </xf>
    <xf numFmtId="174" fontId="28" fillId="9" borderId="0" xfId="9" applyNumberFormat="1" applyFont="1" applyFill="1" applyAlignment="1">
      <alignment horizontal="center" wrapText="1"/>
    </xf>
    <xf numFmtId="0" fontId="29" fillId="9" borderId="0" xfId="16" applyFont="1" applyFill="1"/>
    <xf numFmtId="0" fontId="27" fillId="6" borderId="0" xfId="26" applyFill="1">
      <alignment vertical="top"/>
    </xf>
    <xf numFmtId="3" fontId="3" fillId="6" borderId="0" xfId="26" applyNumberFormat="1" applyFont="1" applyFill="1" applyAlignment="1">
      <alignment horizontal="center" vertical="top"/>
    </xf>
    <xf numFmtId="0" fontId="3" fillId="6" borderId="0" xfId="26" applyFont="1" applyFill="1">
      <alignment vertical="top"/>
    </xf>
    <xf numFmtId="0" fontId="14" fillId="6" borderId="3" xfId="28" applyFont="1" applyFill="1" applyBorder="1">
      <alignment vertical="top"/>
    </xf>
    <xf numFmtId="0" fontId="14" fillId="6" borderId="0" xfId="28" applyFont="1" applyFill="1">
      <alignment vertical="top"/>
    </xf>
    <xf numFmtId="0" fontId="30" fillId="0" borderId="0" xfId="25" applyFont="1"/>
    <xf numFmtId="0" fontId="30" fillId="6" borderId="0" xfId="25" applyFont="1" applyFill="1"/>
    <xf numFmtId="0" fontId="31" fillId="6" borderId="0" xfId="26" applyFont="1" applyFill="1">
      <alignment vertical="top"/>
    </xf>
    <xf numFmtId="0" fontId="3" fillId="0" borderId="16" xfId="25" applyBorder="1" applyAlignment="1">
      <alignment vertical="top" wrapText="1"/>
    </xf>
    <xf numFmtId="0" fontId="3" fillId="0" borderId="16" xfId="25" applyBorder="1" applyAlignment="1">
      <alignment horizontal="left" vertical="top" wrapText="1"/>
    </xf>
    <xf numFmtId="14" fontId="3" fillId="0" borderId="16" xfId="25" applyNumberFormat="1" applyBorder="1" applyAlignment="1">
      <alignment horizontal="center" vertical="top" wrapText="1"/>
    </xf>
    <xf numFmtId="0" fontId="3" fillId="0" borderId="17" xfId="25" applyBorder="1" applyAlignment="1">
      <alignment horizontal="center" vertical="top" wrapText="1"/>
    </xf>
    <xf numFmtId="182" fontId="3" fillId="0" borderId="17" xfId="25" applyNumberFormat="1" applyBorder="1" applyAlignment="1">
      <alignment horizontal="center" vertical="top" wrapText="1"/>
    </xf>
    <xf numFmtId="0" fontId="3" fillId="0" borderId="17" xfId="25" applyBorder="1" applyAlignment="1">
      <alignment horizontal="left" vertical="top" wrapText="1"/>
    </xf>
    <xf numFmtId="0" fontId="3" fillId="0" borderId="17" xfId="25" applyBorder="1" applyAlignment="1">
      <alignment vertical="top" wrapText="1"/>
    </xf>
    <xf numFmtId="0" fontId="32" fillId="0" borderId="10" xfId="25" applyFont="1" applyBorder="1" applyAlignment="1">
      <alignment horizontal="center" vertical="top" wrapText="1"/>
    </xf>
    <xf numFmtId="0" fontId="32" fillId="0" borderId="10" xfId="25" applyFont="1" applyBorder="1" applyAlignment="1">
      <alignment horizontal="center" vertical="top"/>
    </xf>
    <xf numFmtId="0" fontId="14" fillId="0" borderId="0" xfId="25" applyFont="1"/>
    <xf numFmtId="10" fontId="23" fillId="0" borderId="0" xfId="20" applyNumberFormat="1" applyFont="1"/>
    <xf numFmtId="3" fontId="24" fillId="0" borderId="0" xfId="20" applyNumberFormat="1" applyFont="1"/>
    <xf numFmtId="164" fontId="24" fillId="0" borderId="0" xfId="20" applyFont="1"/>
    <xf numFmtId="10" fontId="24" fillId="0" borderId="0" xfId="20" applyNumberFormat="1" applyFont="1"/>
    <xf numFmtId="164" fontId="24" fillId="0" borderId="0" xfId="20" applyFont="1" applyAlignment="1">
      <alignment horizontal="center"/>
    </xf>
    <xf numFmtId="49" fontId="6" fillId="0" borderId="0" xfId="20" applyNumberFormat="1" applyAlignment="1">
      <alignment horizontal="center"/>
    </xf>
    <xf numFmtId="164" fontId="4" fillId="0" borderId="0" xfId="20" applyFont="1"/>
    <xf numFmtId="164" fontId="6" fillId="0" borderId="0" xfId="20" applyAlignment="1">
      <alignment horizontal="center"/>
    </xf>
    <xf numFmtId="164" fontId="22" fillId="0" borderId="0" xfId="20" applyFont="1" applyAlignment="1">
      <alignment horizontal="center"/>
    </xf>
    <xf numFmtId="164" fontId="6" fillId="0" borderId="0" xfId="20" applyAlignment="1">
      <alignment horizontal="left" vertical="top" wrapText="1"/>
    </xf>
    <xf numFmtId="164" fontId="24" fillId="0" borderId="1" xfId="20" applyFont="1" applyBorder="1"/>
    <xf numFmtId="174" fontId="24" fillId="0" borderId="0" xfId="20" applyNumberFormat="1" applyFont="1"/>
    <xf numFmtId="164" fontId="3" fillId="0" borderId="0" xfId="20" applyFont="1"/>
    <xf numFmtId="164" fontId="33" fillId="0" borderId="0" xfId="20" applyFont="1"/>
    <xf numFmtId="49" fontId="24" fillId="0" borderId="0" xfId="20" applyNumberFormat="1" applyFont="1" applyAlignment="1">
      <alignment horizontal="center"/>
    </xf>
    <xf numFmtId="164" fontId="22" fillId="0" borderId="6" xfId="20" applyFont="1" applyBorder="1"/>
    <xf numFmtId="164" fontId="22" fillId="0" borderId="3" xfId="20" applyFont="1" applyBorder="1"/>
    <xf numFmtId="164" fontId="6" fillId="0" borderId="3" xfId="20" applyBorder="1"/>
    <xf numFmtId="164" fontId="6" fillId="0" borderId="7" xfId="20" applyBorder="1"/>
    <xf numFmtId="175" fontId="24" fillId="0" borderId="8" xfId="27" applyNumberFormat="1" applyFont="1" applyFill="1" applyBorder="1" applyAlignment="1"/>
    <xf numFmtId="175" fontId="24" fillId="0" borderId="0" xfId="27" applyNumberFormat="1" applyFont="1" applyFill="1" applyBorder="1" applyAlignment="1"/>
    <xf numFmtId="0" fontId="6" fillId="0" borderId="0" xfId="20" applyNumberFormat="1" applyAlignment="1">
      <alignment horizontal="center" vertical="top" wrapText="1"/>
    </xf>
    <xf numFmtId="0" fontId="6" fillId="0" borderId="0" xfId="20" applyNumberFormat="1" applyAlignment="1">
      <alignment horizontal="left" vertical="top" wrapText="1"/>
    </xf>
    <xf numFmtId="164" fontId="6" fillId="0" borderId="9" xfId="20" applyBorder="1"/>
    <xf numFmtId="0" fontId="6" fillId="0" borderId="0" xfId="20" applyNumberFormat="1"/>
    <xf numFmtId="3" fontId="6" fillId="0" borderId="0" xfId="20" applyNumberFormat="1"/>
    <xf numFmtId="3" fontId="24" fillId="0" borderId="8" xfId="20" applyNumberFormat="1" applyFont="1" applyBorder="1"/>
    <xf numFmtId="0" fontId="24" fillId="0" borderId="8" xfId="20" applyNumberFormat="1" applyFont="1" applyBorder="1"/>
    <xf numFmtId="0" fontId="24" fillId="0" borderId="9" xfId="20" applyNumberFormat="1" applyFont="1" applyBorder="1"/>
    <xf numFmtId="3" fontId="24" fillId="0" borderId="10" xfId="20" applyNumberFormat="1" applyFont="1" applyBorder="1" applyAlignment="1">
      <alignment horizontal="center" vertical="top" wrapText="1"/>
    </xf>
    <xf numFmtId="3" fontId="24" fillId="0" borderId="11" xfId="20" applyNumberFormat="1" applyFont="1" applyBorder="1" applyAlignment="1">
      <alignment horizontal="center" vertical="top" wrapText="1"/>
    </xf>
    <xf numFmtId="0" fontId="24" fillId="0" borderId="10" xfId="20" applyNumberFormat="1" applyFont="1" applyBorder="1" applyAlignment="1">
      <alignment horizontal="center" vertical="top" wrapText="1"/>
    </xf>
    <xf numFmtId="0" fontId="24" fillId="0" borderId="11" xfId="20" applyNumberFormat="1" applyFont="1" applyBorder="1" applyAlignment="1">
      <alignment horizontal="center" vertical="top" wrapText="1"/>
    </xf>
    <xf numFmtId="0" fontId="24" fillId="0" borderId="11" xfId="20" quotePrefix="1" applyNumberFormat="1" applyFont="1" applyBorder="1" applyAlignment="1">
      <alignment horizontal="center" vertical="top" wrapText="1"/>
    </xf>
    <xf numFmtId="0" fontId="24" fillId="0" borderId="10" xfId="20" quotePrefix="1" applyNumberFormat="1" applyFont="1" applyBorder="1" applyAlignment="1">
      <alignment horizontal="center" vertical="top" wrapText="1"/>
    </xf>
    <xf numFmtId="0" fontId="24" fillId="0" borderId="11" xfId="20" applyNumberFormat="1" applyFont="1" applyBorder="1" applyAlignment="1">
      <alignment vertical="top" wrapText="1"/>
    </xf>
    <xf numFmtId="0" fontId="24" fillId="0" borderId="11" xfId="20" applyNumberFormat="1" applyFont="1" applyBorder="1"/>
    <xf numFmtId="0" fontId="24" fillId="0" borderId="11" xfId="20" quotePrefix="1" applyNumberFormat="1" applyFont="1" applyBorder="1" applyAlignment="1">
      <alignment horizontal="center"/>
    </xf>
    <xf numFmtId="0" fontId="24" fillId="0" borderId="12" xfId="20" applyNumberFormat="1" applyFont="1" applyBorder="1"/>
    <xf numFmtId="3" fontId="16" fillId="0" borderId="0" xfId="20" applyNumberFormat="1" applyFont="1"/>
    <xf numFmtId="3" fontId="23" fillId="0" borderId="10" xfId="20" applyNumberFormat="1" applyFont="1" applyBorder="1" applyAlignment="1">
      <alignment horizontal="center" wrapText="1"/>
    </xf>
    <xf numFmtId="3" fontId="23" fillId="0" borderId="11" xfId="20" applyNumberFormat="1" applyFont="1" applyBorder="1" applyAlignment="1">
      <alignment horizontal="center" wrapText="1"/>
    </xf>
    <xf numFmtId="164" fontId="16" fillId="0" borderId="10" xfId="20" applyFont="1" applyBorder="1" applyAlignment="1">
      <alignment horizontal="center" wrapText="1"/>
    </xf>
    <xf numFmtId="164" fontId="16" fillId="0" borderId="15" xfId="20" applyFont="1" applyBorder="1" applyAlignment="1">
      <alignment horizontal="center" wrapText="1"/>
    </xf>
    <xf numFmtId="164" fontId="16" fillId="0" borderId="11" xfId="20" applyFont="1" applyBorder="1" applyAlignment="1">
      <alignment horizontal="center" wrapText="1"/>
    </xf>
    <xf numFmtId="164" fontId="16" fillId="0" borderId="11" xfId="20" applyFont="1" applyBorder="1"/>
    <xf numFmtId="164" fontId="16" fillId="0" borderId="12" xfId="20" applyFont="1" applyBorder="1" applyAlignment="1">
      <alignment horizontal="center" wrapText="1"/>
    </xf>
    <xf numFmtId="181" fontId="23" fillId="0" borderId="0" xfId="20" quotePrefix="1" applyNumberFormat="1" applyFont="1" applyAlignment="1">
      <alignment horizontal="center"/>
    </xf>
    <xf numFmtId="0" fontId="6" fillId="0" borderId="0" xfId="20" quotePrefix="1" applyNumberFormat="1" applyAlignment="1" applyProtection="1">
      <alignment horizontal="center"/>
      <protection locked="0"/>
    </xf>
    <xf numFmtId="0" fontId="23" fillId="0" borderId="0" xfId="20" applyNumberFormat="1" applyFont="1"/>
    <xf numFmtId="0" fontId="6" fillId="0" borderId="0" xfId="20" applyNumberFormat="1" applyAlignment="1" applyProtection="1">
      <alignment horizontal="center"/>
      <protection locked="0"/>
    </xf>
    <xf numFmtId="170" fontId="24" fillId="0" borderId="0" xfId="21" applyNumberFormat="1" applyFont="1" applyFill="1" applyBorder="1" applyAlignment="1">
      <alignment horizontal="right"/>
    </xf>
    <xf numFmtId="164" fontId="6" fillId="0" borderId="0" xfId="20" applyAlignment="1">
      <alignment horizontal="right"/>
    </xf>
    <xf numFmtId="0" fontId="6" fillId="0" borderId="0" xfId="20" applyNumberFormat="1" applyAlignment="1">
      <alignment horizontal="center"/>
    </xf>
    <xf numFmtId="0" fontId="34" fillId="0" borderId="0" xfId="20" applyNumberFormat="1" applyFont="1"/>
    <xf numFmtId="171" fontId="24" fillId="0" borderId="0" xfId="20" applyNumberFormat="1" applyFont="1" applyAlignment="1">
      <alignment horizontal="center"/>
    </xf>
    <xf numFmtId="3" fontId="23" fillId="0" borderId="0" xfId="20" applyNumberFormat="1" applyFont="1"/>
    <xf numFmtId="3" fontId="23" fillId="0" borderId="0" xfId="20" applyNumberFormat="1" applyFont="1" applyAlignment="1">
      <alignment horizontal="center"/>
    </xf>
    <xf numFmtId="164" fontId="16" fillId="0" borderId="0" xfId="20" applyFont="1"/>
    <xf numFmtId="49" fontId="16" fillId="0" borderId="0" xfId="20" applyNumberFormat="1" applyFont="1" applyAlignment="1">
      <alignment horizontal="center"/>
    </xf>
    <xf numFmtId="3" fontId="24" fillId="0" borderId="0" xfId="20" applyNumberFormat="1" applyFont="1" applyAlignment="1">
      <alignment horizontal="center"/>
    </xf>
    <xf numFmtId="174" fontId="6" fillId="0" borderId="0" xfId="20" applyNumberFormat="1"/>
    <xf numFmtId="10" fontId="0" fillId="0" borderId="0" xfId="23" applyNumberFormat="1" applyFont="1" applyFill="1" applyBorder="1" applyAlignment="1"/>
    <xf numFmtId="170" fontId="24" fillId="3" borderId="0" xfId="21" applyNumberFormat="1" applyFont="1" applyFill="1" applyBorder="1" applyAlignment="1"/>
    <xf numFmtId="3" fontId="34" fillId="0" borderId="0" xfId="20" applyNumberFormat="1" applyFont="1"/>
    <xf numFmtId="0" fontId="6" fillId="0" borderId="0" xfId="20" applyNumberFormat="1" applyAlignment="1">
      <alignment horizontal="fill"/>
    </xf>
    <xf numFmtId="169" fontId="23" fillId="0" borderId="0" xfId="20" applyNumberFormat="1" applyFont="1"/>
    <xf numFmtId="3" fontId="6" fillId="0" borderId="0" xfId="20" applyNumberFormat="1" applyAlignment="1">
      <alignment horizontal="center"/>
    </xf>
    <xf numFmtId="0" fontId="23" fillId="0" borderId="0" xfId="20" applyNumberFormat="1" applyFont="1" applyAlignment="1">
      <alignment horizontal="center"/>
    </xf>
    <xf numFmtId="170" fontId="24" fillId="0" borderId="0" xfId="21" applyNumberFormat="1" applyFont="1" applyFill="1" applyBorder="1" applyAlignment="1"/>
    <xf numFmtId="10" fontId="16" fillId="0" borderId="0" xfId="23" applyNumberFormat="1" applyFont="1" applyFill="1" applyBorder="1" applyAlignment="1"/>
    <xf numFmtId="3" fontId="35" fillId="0" borderId="0" xfId="20" applyNumberFormat="1" applyFont="1"/>
    <xf numFmtId="170" fontId="24" fillId="3" borderId="3" xfId="21" applyNumberFormat="1" applyFont="1" applyFill="1" applyBorder="1" applyAlignment="1"/>
    <xf numFmtId="41" fontId="24" fillId="0" borderId="0" xfId="20" applyNumberFormat="1" applyFont="1"/>
    <xf numFmtId="0" fontId="26" fillId="0" borderId="0" xfId="20" applyNumberFormat="1" applyFont="1" applyAlignment="1" applyProtection="1">
      <alignment horizontal="center"/>
      <protection locked="0"/>
    </xf>
    <xf numFmtId="0" fontId="16" fillId="0" borderId="0" xfId="20" applyNumberFormat="1" applyFont="1" applyAlignment="1">
      <alignment horizontal="center"/>
    </xf>
    <xf numFmtId="0" fontId="23" fillId="0" borderId="0" xfId="20" applyNumberFormat="1" applyFont="1" applyAlignment="1" applyProtection="1">
      <alignment horizontal="center"/>
      <protection locked="0"/>
    </xf>
    <xf numFmtId="164" fontId="23" fillId="0" borderId="0" xfId="20" applyFont="1" applyAlignment="1">
      <alignment horizontal="center"/>
    </xf>
    <xf numFmtId="0" fontId="24" fillId="0" borderId="0" xfId="20" applyNumberFormat="1" applyFont="1" applyAlignment="1">
      <alignment horizontal="center"/>
    </xf>
    <xf numFmtId="49" fontId="24" fillId="0" borderId="0" xfId="20" applyNumberFormat="1" applyFont="1"/>
    <xf numFmtId="0" fontId="24" fillId="0" borderId="0" xfId="29" applyFont="1"/>
    <xf numFmtId="0" fontId="36" fillId="0" borderId="0" xfId="20" applyNumberFormat="1" applyFont="1"/>
    <xf numFmtId="49" fontId="24" fillId="0" borderId="0" xfId="20" applyNumberFormat="1" applyFont="1" applyAlignment="1">
      <alignment horizontal="centerContinuous"/>
    </xf>
    <xf numFmtId="0" fontId="36" fillId="0" borderId="0" xfId="20" applyNumberFormat="1" applyFont="1" applyAlignment="1">
      <alignment horizontal="center"/>
    </xf>
    <xf numFmtId="0" fontId="24" fillId="0" borderId="0" xfId="20" applyNumberFormat="1" applyFont="1" applyProtection="1">
      <protection locked="0"/>
    </xf>
    <xf numFmtId="49" fontId="24" fillId="3" borderId="0" xfId="20" applyNumberFormat="1" applyFont="1" applyFill="1" applyAlignment="1">
      <alignment horizontal="right"/>
    </xf>
    <xf numFmtId="0" fontId="24" fillId="0" borderId="0" xfId="20" applyNumberFormat="1" applyFont="1" applyAlignment="1" applyProtection="1">
      <alignment horizontal="left"/>
      <protection locked="0"/>
    </xf>
    <xf numFmtId="0" fontId="3" fillId="0" borderId="3" xfId="25" applyBorder="1"/>
    <xf numFmtId="0" fontId="3" fillId="0" borderId="3" xfId="25" applyBorder="1" applyAlignment="1">
      <alignment horizontal="right"/>
    </xf>
    <xf numFmtId="174" fontId="3" fillId="0" borderId="0" xfId="26" applyNumberFormat="1" applyFont="1" applyAlignment="1">
      <alignment horizontal="right" vertical="top"/>
    </xf>
    <xf numFmtId="0" fontId="3" fillId="0" borderId="3" xfId="16" applyBorder="1" applyAlignment="1">
      <alignment horizontal="right"/>
    </xf>
    <xf numFmtId="0" fontId="3" fillId="8" borderId="3" xfId="16" applyFill="1" applyBorder="1" applyAlignment="1">
      <alignment horizontal="right"/>
    </xf>
    <xf numFmtId="3" fontId="3" fillId="8" borderId="3" xfId="16" applyNumberFormat="1" applyFill="1" applyBorder="1" applyAlignment="1">
      <alignment horizontal="right"/>
    </xf>
    <xf numFmtId="0" fontId="3" fillId="8" borderId="3" xfId="16" applyFill="1" applyBorder="1"/>
    <xf numFmtId="37" fontId="3" fillId="0" borderId="0" xfId="16" applyNumberFormat="1" applyAlignment="1">
      <alignment horizontal="right"/>
    </xf>
    <xf numFmtId="37" fontId="3" fillId="8" borderId="0" xfId="16" applyNumberFormat="1" applyFill="1" applyAlignment="1">
      <alignment horizontal="right"/>
    </xf>
    <xf numFmtId="0" fontId="3" fillId="0" borderId="0" xfId="26" applyFont="1" applyAlignment="1">
      <alignment horizontal="right" vertical="top"/>
    </xf>
    <xf numFmtId="3" fontId="28" fillId="9" borderId="0" xfId="9" applyNumberFormat="1" applyFont="1" applyFill="1" applyAlignment="1">
      <alignment horizontal="center" wrapText="1"/>
    </xf>
    <xf numFmtId="0" fontId="27" fillId="0" borderId="0" xfId="26">
      <alignment vertical="top"/>
    </xf>
    <xf numFmtId="1" fontId="28" fillId="9" borderId="0" xfId="9" applyNumberFormat="1" applyFont="1" applyFill="1" applyAlignment="1">
      <alignment horizontal="center" wrapText="1"/>
    </xf>
    <xf numFmtId="3" fontId="3" fillId="0" borderId="0" xfId="26" applyNumberFormat="1" applyFont="1" applyAlignment="1">
      <alignment horizontal="center" vertical="top"/>
    </xf>
    <xf numFmtId="0" fontId="3" fillId="0" borderId="0" xfId="26" applyFont="1">
      <alignment vertical="top"/>
    </xf>
    <xf numFmtId="0" fontId="14" fillId="0" borderId="3" xfId="28" applyFont="1" applyBorder="1">
      <alignment vertical="top"/>
    </xf>
    <xf numFmtId="0" fontId="14" fillId="0" borderId="0" xfId="28" applyFont="1">
      <alignment vertical="top"/>
    </xf>
    <xf numFmtId="0" fontId="31" fillId="0" borderId="0" xfId="26" applyFont="1">
      <alignment vertical="top"/>
    </xf>
    <xf numFmtId="0" fontId="3" fillId="0" borderId="16" xfId="25" applyBorder="1" applyAlignment="1">
      <alignment horizontal="center" vertical="top" wrapText="1"/>
    </xf>
    <xf numFmtId="44" fontId="3" fillId="0" borderId="18" xfId="25" applyNumberFormat="1" applyBorder="1"/>
    <xf numFmtId="0" fontId="3" fillId="0" borderId="19" xfId="25" applyBorder="1"/>
    <xf numFmtId="175" fontId="3" fillId="0" borderId="0" xfId="22" applyNumberFormat="1" applyFill="1"/>
    <xf numFmtId="170" fontId="3" fillId="0" borderId="20" xfId="25" applyNumberFormat="1" applyBorder="1"/>
    <xf numFmtId="0" fontId="3" fillId="0" borderId="21" xfId="25" applyBorder="1"/>
    <xf numFmtId="44" fontId="3" fillId="0" borderId="1" xfId="22" applyFill="1" applyBorder="1"/>
    <xf numFmtId="42" fontId="3" fillId="0" borderId="22" xfId="25" applyNumberFormat="1" applyBorder="1"/>
    <xf numFmtId="177" fontId="37" fillId="0" borderId="0" xfId="23" applyNumberFormat="1" applyFont="1" applyFill="1"/>
    <xf numFmtId="0" fontId="20" fillId="0" borderId="0" xfId="25" quotePrefix="1" applyFont="1"/>
    <xf numFmtId="42" fontId="3" fillId="0" borderId="0" xfId="25" applyNumberFormat="1"/>
    <xf numFmtId="6" fontId="3" fillId="0" borderId="0" xfId="25" applyNumberFormat="1"/>
    <xf numFmtId="38" fontId="3" fillId="0" borderId="0" xfId="25" applyNumberFormat="1"/>
    <xf numFmtId="38" fontId="3" fillId="0" borderId="1" xfId="25" applyNumberFormat="1" applyBorder="1"/>
    <xf numFmtId="44" fontId="3" fillId="0" borderId="0" xfId="22" applyFill="1"/>
    <xf numFmtId="44" fontId="14" fillId="0" borderId="0" xfId="22" applyFont="1" applyFill="1"/>
    <xf numFmtId="183" fontId="14" fillId="0" borderId="18" xfId="22" applyNumberFormat="1" applyFont="1" applyFill="1" applyBorder="1"/>
    <xf numFmtId="175" fontId="3" fillId="0" borderId="22" xfId="22" applyNumberFormat="1" applyFill="1" applyBorder="1"/>
    <xf numFmtId="0" fontId="3" fillId="0" borderId="0" xfId="25" quotePrefix="1"/>
    <xf numFmtId="175" fontId="3" fillId="0" borderId="22" xfId="22" applyNumberFormat="1" applyFont="1" applyFill="1" applyBorder="1"/>
    <xf numFmtId="44" fontId="3" fillId="0" borderId="21" xfId="22" applyFont="1" applyFill="1" applyBorder="1"/>
    <xf numFmtId="175" fontId="3" fillId="0" borderId="0" xfId="22" applyNumberFormat="1" applyFont="1" applyFill="1"/>
    <xf numFmtId="177" fontId="3" fillId="0" borderId="0" xfId="23" applyNumberFormat="1" applyFill="1"/>
    <xf numFmtId="44" fontId="3" fillId="0" borderId="0" xfId="22" applyFill="1" applyBorder="1"/>
    <xf numFmtId="0" fontId="3" fillId="0" borderId="1" xfId="25" applyBorder="1"/>
    <xf numFmtId="43" fontId="3" fillId="0" borderId="21" xfId="25" applyNumberFormat="1" applyBorder="1"/>
    <xf numFmtId="175" fontId="3" fillId="0" borderId="20" xfId="22" applyNumberFormat="1" applyFont="1" applyFill="1" applyBorder="1"/>
    <xf numFmtId="175" fontId="3" fillId="0" borderId="3" xfId="22" applyNumberFormat="1" applyFill="1" applyBorder="1"/>
    <xf numFmtId="0" fontId="3" fillId="0" borderId="26" xfId="25" applyBorder="1"/>
    <xf numFmtId="10" fontId="41" fillId="0" borderId="0" xfId="23" applyNumberFormat="1" applyFont="1" applyFill="1"/>
    <xf numFmtId="14" fontId="3" fillId="0" borderId="0" xfId="25" applyNumberFormat="1"/>
    <xf numFmtId="184" fontId="3" fillId="0" borderId="0" xfId="25" applyNumberFormat="1"/>
    <xf numFmtId="9" fontId="3" fillId="0" borderId="0" xfId="23" applyFill="1"/>
    <xf numFmtId="6" fontId="23" fillId="0" borderId="0" xfId="25" applyNumberFormat="1" applyFont="1"/>
    <xf numFmtId="175" fontId="3" fillId="0" borderId="0" xfId="25" applyNumberFormat="1"/>
    <xf numFmtId="44" fontId="14" fillId="0" borderId="0" xfId="27" applyFont="1"/>
    <xf numFmtId="175" fontId="14" fillId="0" borderId="0" xfId="27" applyNumberFormat="1" applyFont="1"/>
    <xf numFmtId="170" fontId="14" fillId="0" borderId="0" xfId="21" applyNumberFormat="1" applyFont="1"/>
    <xf numFmtId="0" fontId="43" fillId="0" borderId="0" xfId="25" applyFont="1"/>
    <xf numFmtId="0" fontId="3" fillId="0" borderId="0" xfId="25" applyAlignment="1">
      <alignment horizontal="centerContinuous"/>
    </xf>
    <xf numFmtId="0" fontId="14" fillId="0" borderId="0" xfId="25" applyFont="1" applyAlignment="1">
      <alignment horizontal="centerContinuous"/>
    </xf>
    <xf numFmtId="0" fontId="44" fillId="0" borderId="0" xfId="30"/>
    <xf numFmtId="0" fontId="45" fillId="0" borderId="0" xfId="30" applyFont="1"/>
    <xf numFmtId="0" fontId="44" fillId="0" borderId="0" xfId="30" applyAlignment="1">
      <alignment horizontal="center"/>
    </xf>
    <xf numFmtId="0" fontId="44" fillId="0" borderId="0" xfId="30" applyAlignment="1">
      <alignment horizontal="center" vertical="top"/>
    </xf>
    <xf numFmtId="0" fontId="44" fillId="0" borderId="3" xfId="30" applyBorder="1" applyAlignment="1">
      <alignment horizontal="center"/>
    </xf>
    <xf numFmtId="41" fontId="44" fillId="0" borderId="0" xfId="30" applyNumberFormat="1"/>
    <xf numFmtId="41" fontId="44" fillId="0" borderId="5" xfId="30" applyNumberFormat="1" applyBorder="1"/>
    <xf numFmtId="170" fontId="44" fillId="5" borderId="0" xfId="21" applyNumberFormat="1" applyFont="1" applyFill="1"/>
    <xf numFmtId="41" fontId="44" fillId="5" borderId="0" xfId="30" applyNumberFormat="1" applyFill="1"/>
    <xf numFmtId="0" fontId="46" fillId="0" borderId="0" xfId="30" applyFont="1" applyAlignment="1">
      <alignment horizontal="center"/>
    </xf>
    <xf numFmtId="0" fontId="46" fillId="0" borderId="3" xfId="30" applyFont="1" applyBorder="1" applyAlignment="1">
      <alignment horizontal="center"/>
    </xf>
    <xf numFmtId="0" fontId="46" fillId="0" borderId="0" xfId="30" quotePrefix="1" applyFont="1" applyAlignment="1">
      <alignment horizontal="center"/>
    </xf>
    <xf numFmtId="0" fontId="46" fillId="0" borderId="0" xfId="30" applyFont="1"/>
    <xf numFmtId="0" fontId="44" fillId="5" borderId="0" xfId="30" applyFill="1" applyAlignment="1">
      <alignment horizontal="center"/>
    </xf>
    <xf numFmtId="0" fontId="44" fillId="5" borderId="0" xfId="30" applyFill="1"/>
    <xf numFmtId="0" fontId="47" fillId="0" borderId="0" xfId="30" applyFont="1"/>
    <xf numFmtId="0" fontId="44" fillId="0" borderId="0" xfId="30" quotePrefix="1" applyAlignment="1">
      <alignment horizontal="center"/>
    </xf>
    <xf numFmtId="164" fontId="6" fillId="0" borderId="0" xfId="20" applyAlignment="1">
      <alignment horizontal="left" wrapText="1"/>
    </xf>
    <xf numFmtId="164" fontId="6" fillId="0" borderId="0" xfId="24"/>
    <xf numFmtId="4" fontId="6" fillId="0" borderId="0" xfId="24" applyNumberFormat="1"/>
    <xf numFmtId="164" fontId="23" fillId="0" borderId="11" xfId="24" applyFont="1" applyBorder="1" applyAlignment="1">
      <alignment horizontal="center"/>
    </xf>
    <xf numFmtId="0" fontId="6" fillId="0" borderId="0" xfId="24" applyNumberFormat="1"/>
    <xf numFmtId="0" fontId="6" fillId="4" borderId="0" xfId="27" applyNumberFormat="1" applyFont="1" applyFill="1" applyBorder="1" applyAlignment="1">
      <alignment horizontal="center"/>
    </xf>
    <xf numFmtId="3" fontId="6" fillId="0" borderId="0" xfId="24" applyNumberFormat="1"/>
    <xf numFmtId="164" fontId="6" fillId="0" borderId="11" xfId="24" applyBorder="1" applyAlignment="1">
      <alignment horizontal="center" vertical="top"/>
    </xf>
    <xf numFmtId="175" fontId="6" fillId="0" borderId="0" xfId="27" applyNumberFormat="1" applyFont="1" applyFill="1" applyBorder="1" applyAlignment="1"/>
    <xf numFmtId="10" fontId="6" fillId="0" borderId="0" xfId="23" applyNumberFormat="1" applyFont="1" applyFill="1" applyBorder="1" applyAlignment="1"/>
    <xf numFmtId="175" fontId="6" fillId="0" borderId="5" xfId="27" applyNumberFormat="1" applyFont="1" applyFill="1" applyBorder="1" applyAlignment="1"/>
    <xf numFmtId="164" fontId="6" fillId="0" borderId="1" xfId="24" applyBorder="1"/>
    <xf numFmtId="164" fontId="24" fillId="0" borderId="0" xfId="24" applyFont="1"/>
    <xf numFmtId="3" fontId="24" fillId="0" borderId="0" xfId="24" applyNumberFormat="1" applyFont="1"/>
    <xf numFmtId="164" fontId="24" fillId="0" borderId="0" xfId="24" applyFont="1" applyAlignment="1">
      <alignment horizontal="centerContinuous"/>
    </xf>
    <xf numFmtId="4" fontId="24" fillId="0" borderId="0" xfId="24" applyNumberFormat="1" applyFont="1" applyAlignment="1">
      <alignment horizontal="centerContinuous"/>
    </xf>
    <xf numFmtId="164" fontId="6" fillId="0" borderId="0" xfId="24" applyAlignment="1">
      <alignment horizontal="centerContinuous"/>
    </xf>
    <xf numFmtId="3" fontId="24" fillId="0" borderId="0" xfId="24" applyNumberFormat="1" applyFont="1" applyAlignment="1">
      <alignment horizontal="centerContinuous"/>
    </xf>
    <xf numFmtId="0" fontId="6" fillId="0" borderId="0" xfId="24" applyNumberFormat="1" applyAlignment="1">
      <alignment horizontal="centerContinuous"/>
    </xf>
    <xf numFmtId="3" fontId="6" fillId="0" borderId="0" xfId="24" applyNumberFormat="1" applyAlignment="1">
      <alignment horizontal="centerContinuous"/>
    </xf>
    <xf numFmtId="0" fontId="16" fillId="0" borderId="0" xfId="24" applyNumberFormat="1" applyFont="1" applyAlignment="1" applyProtection="1">
      <alignment horizontal="centerContinuous"/>
      <protection locked="0"/>
    </xf>
    <xf numFmtId="0" fontId="24" fillId="0" borderId="0" xfId="24" applyNumberFormat="1" applyFont="1" applyAlignment="1">
      <alignment horizontal="centerContinuous"/>
    </xf>
    <xf numFmtId="0" fontId="24" fillId="0" borderId="0" xfId="32" applyNumberFormat="1" applyFont="1" applyProtection="1">
      <protection locked="0"/>
    </xf>
    <xf numFmtId="0" fontId="24" fillId="0" borderId="0" xfId="32" applyNumberFormat="1" applyFont="1" applyAlignment="1" applyProtection="1">
      <alignment horizontal="center"/>
      <protection locked="0"/>
    </xf>
    <xf numFmtId="3" fontId="24" fillId="0" borderId="0" xfId="32" applyNumberFormat="1" applyFont="1"/>
    <xf numFmtId="0" fontId="24" fillId="0" borderId="0" xfId="32" applyNumberFormat="1" applyFont="1" applyAlignment="1">
      <alignment horizontal="center"/>
    </xf>
    <xf numFmtId="3" fontId="24" fillId="0" borderId="0" xfId="32" applyNumberFormat="1" applyFont="1" applyAlignment="1">
      <alignment horizontal="center"/>
    </xf>
    <xf numFmtId="0" fontId="24" fillId="0" borderId="0" xfId="33" applyNumberFormat="1" applyFont="1" applyAlignment="1">
      <alignment horizontal="center"/>
    </xf>
    <xf numFmtId="49" fontId="24" fillId="0" borderId="0" xfId="33" applyNumberFormat="1" applyFont="1" applyAlignment="1">
      <alignment horizontal="center"/>
    </xf>
    <xf numFmtId="3" fontId="23" fillId="0" borderId="0" xfId="33" applyNumberFormat="1" applyFont="1" applyAlignment="1">
      <alignment horizontal="center"/>
    </xf>
    <xf numFmtId="3" fontId="24" fillId="0" borderId="0" xfId="33" applyNumberFormat="1" applyFont="1"/>
    <xf numFmtId="164" fontId="6" fillId="0" borderId="0" xfId="33"/>
    <xf numFmtId="164" fontId="23" fillId="0" borderId="0" xfId="33" applyFont="1" applyAlignment="1">
      <alignment horizontal="center"/>
    </xf>
    <xf numFmtId="0" fontId="23" fillId="0" borderId="0" xfId="33" applyNumberFormat="1" applyFont="1" applyAlignment="1" applyProtection="1">
      <alignment horizontal="center"/>
      <protection locked="0"/>
    </xf>
    <xf numFmtId="3" fontId="6" fillId="0" borderId="0" xfId="33" applyNumberFormat="1" applyAlignment="1">
      <alignment horizontal="center"/>
    </xf>
    <xf numFmtId="0" fontId="24" fillId="0" borderId="0" xfId="33" applyNumberFormat="1" applyFont="1"/>
    <xf numFmtId="3" fontId="24" fillId="0" borderId="0" xfId="33" applyNumberFormat="1" applyFont="1" applyAlignment="1">
      <alignment horizontal="center"/>
    </xf>
    <xf numFmtId="3" fontId="24" fillId="4" borderId="0" xfId="33" applyNumberFormat="1" applyFont="1" applyFill="1"/>
    <xf numFmtId="164" fontId="6" fillId="0" borderId="0" xfId="33" quotePrefix="1" applyAlignment="1">
      <alignment horizontal="left"/>
    </xf>
    <xf numFmtId="10" fontId="24" fillId="0" borderId="0" xfId="33" applyNumberFormat="1" applyFont="1"/>
    <xf numFmtId="49" fontId="6" fillId="0" borderId="0" xfId="33" applyNumberFormat="1" applyAlignment="1">
      <alignment horizontal="center"/>
    </xf>
    <xf numFmtId="164" fontId="24" fillId="0" borderId="0" xfId="33" applyFont="1" applyAlignment="1">
      <alignment horizontal="center"/>
    </xf>
    <xf numFmtId="49" fontId="16" fillId="0" borderId="0" xfId="33" applyNumberFormat="1" applyFont="1" applyAlignment="1">
      <alignment horizontal="center"/>
    </xf>
    <xf numFmtId="0" fontId="23" fillId="0" borderId="0" xfId="33" applyNumberFormat="1" applyFont="1"/>
    <xf numFmtId="3" fontId="23" fillId="0" borderId="0" xfId="33" applyNumberFormat="1" applyFont="1"/>
    <xf numFmtId="171" fontId="24" fillId="0" borderId="0" xfId="33" applyNumberFormat="1" applyFont="1" applyAlignment="1">
      <alignment horizontal="center"/>
    </xf>
    <xf numFmtId="0" fontId="24" fillId="0" borderId="0" xfId="24" applyNumberFormat="1" applyFont="1"/>
    <xf numFmtId="4" fontId="24" fillId="0" borderId="0" xfId="24" applyNumberFormat="1" applyFont="1"/>
    <xf numFmtId="164" fontId="24" fillId="0" borderId="0" xfId="24" applyFont="1" applyAlignment="1">
      <alignment horizontal="right"/>
    </xf>
    <xf numFmtId="164" fontId="6" fillId="0" borderId="0" xfId="24" applyAlignment="1">
      <alignment horizontal="right"/>
    </xf>
    <xf numFmtId="181" fontId="24" fillId="0" borderId="0" xfId="24" applyNumberFormat="1" applyFont="1" applyAlignment="1">
      <alignment horizontal="center"/>
    </xf>
    <xf numFmtId="0" fontId="24" fillId="0" borderId="0" xfId="24" quotePrefix="1" applyNumberFormat="1" applyFont="1" applyAlignment="1">
      <alignment horizontal="center"/>
    </xf>
    <xf numFmtId="3" fontId="6" fillId="0" borderId="0" xfId="24" applyNumberFormat="1" applyAlignment="1">
      <alignment horizontal="center"/>
    </xf>
    <xf numFmtId="0" fontId="6" fillId="0" borderId="0" xfId="24" applyNumberFormat="1" applyAlignment="1">
      <alignment horizontal="center"/>
    </xf>
    <xf numFmtId="164" fontId="6" fillId="0" borderId="11" xfId="24" applyBorder="1" applyAlignment="1">
      <alignment horizontal="center" vertical="top" wrapText="1"/>
    </xf>
    <xf numFmtId="0" fontId="24" fillId="0" borderId="11" xfId="24" applyNumberFormat="1" applyFont="1" applyBorder="1" applyAlignment="1">
      <alignment horizontal="center" vertical="top" wrapText="1"/>
    </xf>
    <xf numFmtId="4" fontId="6" fillId="0" borderId="10" xfId="24" applyNumberFormat="1" applyBorder="1" applyAlignment="1">
      <alignment horizontal="center" vertical="top" wrapText="1"/>
    </xf>
    <xf numFmtId="164" fontId="6" fillId="0" borderId="10" xfId="24" applyBorder="1" applyAlignment="1">
      <alignment horizontal="center" vertical="top" wrapText="1"/>
    </xf>
    <xf numFmtId="3" fontId="24" fillId="0" borderId="10" xfId="24" applyNumberFormat="1" applyFont="1" applyBorder="1" applyAlignment="1">
      <alignment horizontal="center" vertical="top" wrapText="1"/>
    </xf>
    <xf numFmtId="3" fontId="24" fillId="0" borderId="11" xfId="24" applyNumberFormat="1" applyFont="1" applyBorder="1" applyAlignment="1">
      <alignment horizontal="center" vertical="top" wrapText="1"/>
    </xf>
    <xf numFmtId="0" fontId="6" fillId="0" borderId="0" xfId="24" applyNumberFormat="1" applyAlignment="1">
      <alignment vertical="top"/>
    </xf>
    <xf numFmtId="164" fontId="6" fillId="0" borderId="0" xfId="24" applyAlignment="1">
      <alignment vertical="top"/>
    </xf>
    <xf numFmtId="0" fontId="24" fillId="0" borderId="12" xfId="24" applyNumberFormat="1" applyFont="1" applyBorder="1" applyAlignment="1">
      <alignment horizontal="center" vertical="top" wrapText="1"/>
    </xf>
    <xf numFmtId="0" fontId="24" fillId="0" borderId="14" xfId="24" applyNumberFormat="1" applyFont="1" applyBorder="1"/>
    <xf numFmtId="4" fontId="24" fillId="0" borderId="8" xfId="24" applyNumberFormat="1" applyFont="1" applyBorder="1"/>
    <xf numFmtId="0" fontId="24" fillId="0" borderId="8" xfId="24" applyNumberFormat="1" applyFont="1" applyBorder="1"/>
    <xf numFmtId="3" fontId="24" fillId="0" borderId="8" xfId="24" applyNumberFormat="1" applyFont="1" applyBorder="1"/>
    <xf numFmtId="0" fontId="24" fillId="0" borderId="9" xfId="24" applyNumberFormat="1" applyFont="1" applyBorder="1"/>
    <xf numFmtId="164" fontId="22" fillId="0" borderId="0" xfId="24" applyFont="1"/>
    <xf numFmtId="164" fontId="24" fillId="0" borderId="0" xfId="24" applyFont="1" applyAlignment="1">
      <alignment horizontal="center"/>
    </xf>
    <xf numFmtId="164" fontId="22" fillId="0" borderId="1" xfId="24" applyFont="1" applyBorder="1"/>
    <xf numFmtId="4" fontId="22" fillId="0" borderId="0" xfId="24" applyNumberFormat="1" applyFont="1"/>
    <xf numFmtId="164" fontId="52" fillId="0" borderId="0" xfId="24" applyFont="1"/>
    <xf numFmtId="164" fontId="23" fillId="0" borderId="0" xfId="24" applyFont="1" applyAlignment="1">
      <alignment horizontal="center"/>
    </xf>
    <xf numFmtId="164" fontId="16" fillId="0" borderId="0" xfId="24" applyFont="1" applyAlignment="1">
      <alignment horizontal="center"/>
    </xf>
    <xf numFmtId="3" fontId="16" fillId="0" borderId="0" xfId="24" applyNumberFormat="1" applyFont="1" applyAlignment="1">
      <alignment horizontal="center"/>
    </xf>
    <xf numFmtId="10" fontId="22" fillId="0" borderId="8" xfId="23" applyNumberFormat="1" applyFont="1" applyFill="1" applyBorder="1" applyAlignment="1"/>
    <xf numFmtId="0" fontId="54" fillId="0" borderId="0" xfId="34" applyFont="1"/>
    <xf numFmtId="174" fontId="24" fillId="0" borderId="0" xfId="24" applyNumberFormat="1" applyFont="1"/>
    <xf numFmtId="0" fontId="1" fillId="0" borderId="0" xfId="34"/>
    <xf numFmtId="164" fontId="6" fillId="0" borderId="0" xfId="24" applyAlignment="1">
      <alignment vertical="top" wrapText="1"/>
    </xf>
    <xf numFmtId="4" fontId="22" fillId="0" borderId="1" xfId="24" applyNumberFormat="1" applyFont="1" applyBorder="1"/>
    <xf numFmtId="0" fontId="24" fillId="0" borderId="10" xfId="24" applyNumberFormat="1" applyFont="1" applyBorder="1" applyAlignment="1">
      <alignment horizontal="center" vertical="top" wrapText="1"/>
    </xf>
    <xf numFmtId="3" fontId="24" fillId="0" borderId="5" xfId="33" applyNumberFormat="1" applyFont="1" applyBorder="1"/>
    <xf numFmtId="0" fontId="24" fillId="0" borderId="5" xfId="20" applyNumberFormat="1" applyFont="1" applyBorder="1" applyProtection="1">
      <protection locked="0"/>
    </xf>
    <xf numFmtId="0" fontId="24" fillId="0" borderId="5" xfId="20" applyNumberFormat="1" applyFont="1" applyBorder="1" applyAlignment="1" applyProtection="1">
      <alignment horizontal="left"/>
      <protection locked="0"/>
    </xf>
    <xf numFmtId="164" fontId="6" fillId="0" borderId="5" xfId="20" applyBorder="1"/>
    <xf numFmtId="0" fontId="24" fillId="0" borderId="5" xfId="20" applyNumberFormat="1" applyFont="1" applyBorder="1"/>
    <xf numFmtId="0" fontId="24" fillId="0" borderId="5" xfId="20" applyNumberFormat="1" applyFont="1" applyBorder="1" applyAlignment="1" applyProtection="1">
      <alignment horizontal="right"/>
      <protection locked="0"/>
    </xf>
    <xf numFmtId="0" fontId="6" fillId="0" borderId="5" xfId="20" applyNumberFormat="1" applyBorder="1"/>
    <xf numFmtId="0" fontId="36" fillId="0" borderId="5" xfId="20" applyNumberFormat="1" applyFont="1" applyBorder="1"/>
    <xf numFmtId="170" fontId="24" fillId="4" borderId="0" xfId="21" applyNumberFormat="1" applyFont="1" applyFill="1" applyBorder="1" applyAlignment="1"/>
    <xf numFmtId="170" fontId="24" fillId="4" borderId="3" xfId="21" applyNumberFormat="1" applyFont="1" applyFill="1" applyBorder="1" applyAlignment="1"/>
    <xf numFmtId="164" fontId="24" fillId="0" borderId="11" xfId="24" applyFont="1" applyBorder="1" applyAlignment="1">
      <alignment horizontal="center"/>
    </xf>
    <xf numFmtId="10" fontId="24" fillId="4" borderId="0" xfId="23" applyNumberFormat="1" applyFont="1" applyFill="1" applyBorder="1" applyAlignment="1">
      <alignment horizontal="center"/>
    </xf>
    <xf numFmtId="181" fontId="24" fillId="0" borderId="0" xfId="20" quotePrefix="1" applyNumberFormat="1" applyFont="1" applyAlignment="1">
      <alignment horizontal="center"/>
    </xf>
    <xf numFmtId="181" fontId="24" fillId="2" borderId="0" xfId="20" quotePrefix="1" applyNumberFormat="1" applyFont="1" applyFill="1" applyAlignment="1">
      <alignment horizontal="center"/>
    </xf>
    <xf numFmtId="181" fontId="24" fillId="2" borderId="0" xfId="24" applyNumberFormat="1" applyFont="1" applyFill="1" applyAlignment="1">
      <alignment horizontal="center"/>
    </xf>
    <xf numFmtId="164" fontId="6" fillId="0" borderId="11" xfId="20" applyBorder="1" applyAlignment="1">
      <alignment horizontal="center" vertical="top" wrapText="1"/>
    </xf>
    <xf numFmtId="164" fontId="6" fillId="0" borderId="15" xfId="20" applyBorder="1" applyAlignment="1">
      <alignment horizontal="center" vertical="top" wrapText="1"/>
    </xf>
    <xf numFmtId="164" fontId="6" fillId="0" borderId="10" xfId="20" applyBorder="1" applyAlignment="1">
      <alignment horizontal="center" vertical="top" wrapText="1"/>
    </xf>
    <xf numFmtId="3" fontId="6" fillId="0" borderId="0" xfId="20" applyNumberFormat="1" applyAlignment="1">
      <alignment vertical="top"/>
    </xf>
    <xf numFmtId="0" fontId="6" fillId="0" borderId="13" xfId="20" applyNumberFormat="1" applyBorder="1"/>
    <xf numFmtId="3" fontId="6" fillId="0" borderId="13" xfId="20" applyNumberFormat="1" applyBorder="1"/>
    <xf numFmtId="164" fontId="6" fillId="0" borderId="13" xfId="20" applyBorder="1"/>
    <xf numFmtId="0" fontId="24" fillId="4" borderId="0" xfId="21" applyNumberFormat="1" applyFont="1" applyFill="1" applyBorder="1" applyAlignment="1"/>
    <xf numFmtId="164" fontId="6" fillId="4" borderId="0" xfId="20" applyFill="1"/>
    <xf numFmtId="175" fontId="24" fillId="4" borderId="0" xfId="27" applyNumberFormat="1" applyFont="1" applyFill="1" applyBorder="1" applyAlignment="1"/>
    <xf numFmtId="175" fontId="24" fillId="0" borderId="27" xfId="27" applyNumberFormat="1" applyFont="1" applyFill="1" applyBorder="1" applyAlignment="1"/>
    <xf numFmtId="10" fontId="24" fillId="0" borderId="8" xfId="23" applyNumberFormat="1" applyFont="1" applyFill="1" applyBorder="1" applyAlignment="1"/>
    <xf numFmtId="164" fontId="22" fillId="4" borderId="0" xfId="20" applyFont="1" applyFill="1"/>
    <xf numFmtId="164" fontId="22" fillId="0" borderId="8" xfId="20" applyFont="1" applyBorder="1"/>
    <xf numFmtId="164" fontId="6" fillId="0" borderId="8" xfId="20" applyBorder="1"/>
    <xf numFmtId="0" fontId="54" fillId="0" borderId="0" xfId="35" applyFont="1"/>
    <xf numFmtId="0" fontId="1" fillId="0" borderId="0" xfId="35"/>
    <xf numFmtId="164" fontId="6" fillId="0" borderId="0" xfId="20" applyAlignment="1">
      <alignment vertical="top" wrapText="1"/>
    </xf>
    <xf numFmtId="177" fontId="6" fillId="0" borderId="0" xfId="23" applyNumberFormat="1" applyFont="1" applyFill="1" applyBorder="1" applyAlignment="1"/>
    <xf numFmtId="164" fontId="6" fillId="0" borderId="0" xfId="20" applyAlignment="1">
      <alignment wrapText="1"/>
    </xf>
    <xf numFmtId="175" fontId="24" fillId="0" borderId="5" xfId="27" applyNumberFormat="1" applyFont="1" applyFill="1" applyBorder="1" applyAlignment="1"/>
    <xf numFmtId="10" fontId="24" fillId="0" borderId="5" xfId="23" applyNumberFormat="1" applyFont="1" applyFill="1" applyBorder="1" applyAlignment="1"/>
    <xf numFmtId="175" fontId="6" fillId="0" borderId="0" xfId="21" applyNumberFormat="1" applyFont="1" applyFill="1" applyBorder="1" applyAlignment="1"/>
    <xf numFmtId="0" fontId="3" fillId="0" borderId="0" xfId="37" applyFont="1"/>
    <xf numFmtId="43" fontId="53" fillId="0" borderId="0" xfId="21" applyFont="1" applyFill="1" applyBorder="1" applyAlignment="1"/>
    <xf numFmtId="43" fontId="0" fillId="0" borderId="0" xfId="1" applyFont="1"/>
    <xf numFmtId="170" fontId="0" fillId="0" borderId="0" xfId="1" applyNumberFormat="1" applyFont="1"/>
    <xf numFmtId="0" fontId="25" fillId="0" borderId="0" xfId="36" applyFont="1"/>
    <xf numFmtId="185" fontId="25" fillId="0" borderId="0" xfId="36" applyNumberFormat="1" applyFont="1"/>
    <xf numFmtId="0" fontId="25" fillId="0" borderId="0" xfId="36" applyFont="1" applyAlignment="1">
      <alignment horizontal="center"/>
    </xf>
    <xf numFmtId="175" fontId="14" fillId="0" borderId="0" xfId="27" applyNumberFormat="1" applyFont="1" applyFill="1" applyBorder="1" applyAlignment="1"/>
    <xf numFmtId="0" fontId="25" fillId="0" borderId="0" xfId="0" applyFont="1"/>
    <xf numFmtId="0" fontId="25" fillId="0" borderId="0" xfId="31" applyFont="1" applyFill="1" applyBorder="1" applyAlignment="1">
      <alignment horizontal="center" vertical="top" wrapText="1"/>
    </xf>
    <xf numFmtId="176" fontId="25" fillId="0" borderId="0" xfId="36" applyNumberFormat="1" applyFont="1"/>
    <xf numFmtId="185" fontId="25" fillId="0" borderId="0" xfId="36" applyNumberFormat="1" applyFont="1" applyAlignment="1">
      <alignment horizontal="left" indent="1"/>
    </xf>
    <xf numFmtId="170" fontId="25" fillId="0" borderId="0" xfId="38" applyNumberFormat="1" applyFont="1" applyFill="1" applyBorder="1"/>
    <xf numFmtId="10" fontId="25" fillId="0" borderId="0" xfId="2" applyNumberFormat="1" applyFont="1" applyFill="1" applyBorder="1" applyAlignment="1">
      <alignment horizontal="center"/>
    </xf>
    <xf numFmtId="176" fontId="25" fillId="0" borderId="0" xfId="2" applyNumberFormat="1" applyFont="1" applyFill="1" applyBorder="1" applyAlignment="1">
      <alignment horizontal="center"/>
    </xf>
    <xf numFmtId="176" fontId="25" fillId="0" borderId="0" xfId="23" applyNumberFormat="1" applyFont="1" applyFill="1" applyBorder="1"/>
    <xf numFmtId="170" fontId="56" fillId="0" borderId="0" xfId="38" applyNumberFormat="1" applyFont="1" applyFill="1" applyBorder="1" applyAlignment="1">
      <alignment horizontal="right"/>
    </xf>
    <xf numFmtId="10" fontId="56" fillId="0" borderId="0" xfId="23" applyNumberFormat="1" applyFont="1" applyFill="1" applyBorder="1"/>
    <xf numFmtId="6" fontId="25" fillId="0" borderId="0" xfId="36" applyNumberFormat="1" applyFont="1"/>
    <xf numFmtId="6" fontId="25" fillId="0" borderId="5" xfId="36" applyNumberFormat="1" applyFont="1" applyBorder="1"/>
    <xf numFmtId="14" fontId="3" fillId="4" borderId="0" xfId="25" applyNumberFormat="1" applyFill="1" applyAlignment="1">
      <alignment horizontal="center"/>
    </xf>
    <xf numFmtId="6" fontId="25" fillId="0" borderId="4" xfId="36" applyNumberFormat="1" applyFont="1" applyBorder="1"/>
    <xf numFmtId="174" fontId="3" fillId="4" borderId="0" xfId="26" applyNumberFormat="1" applyFont="1" applyFill="1" applyAlignment="1">
      <alignment horizontal="center" vertical="top"/>
    </xf>
    <xf numFmtId="3" fontId="3" fillId="0" borderId="0" xfId="27" applyNumberFormat="1" applyFont="1" applyFill="1" applyBorder="1" applyAlignment="1">
      <alignment horizontal="right" vertical="top"/>
    </xf>
    <xf numFmtId="0" fontId="3" fillId="0" borderId="0" xfId="25" applyAlignment="1">
      <alignment horizontal="right"/>
    </xf>
    <xf numFmtId="10" fontId="56" fillId="0" borderId="5" xfId="23" applyNumberFormat="1" applyFont="1" applyFill="1" applyBorder="1"/>
    <xf numFmtId="170" fontId="25" fillId="0" borderId="0" xfId="1" applyNumberFormat="1" applyFont="1" applyFill="1"/>
    <xf numFmtId="186" fontId="0" fillId="0" borderId="0" xfId="1" applyNumberFormat="1" applyFont="1"/>
    <xf numFmtId="10" fontId="0" fillId="0" borderId="0" xfId="2" applyNumberFormat="1" applyFont="1" applyFill="1"/>
    <xf numFmtId="186" fontId="0" fillId="0" borderId="0" xfId="1" applyNumberFormat="1" applyFont="1" applyFill="1"/>
    <xf numFmtId="170" fontId="6" fillId="0" borderId="0" xfId="1" applyNumberFormat="1" applyFont="1" applyFill="1" applyBorder="1" applyAlignment="1"/>
    <xf numFmtId="0" fontId="21" fillId="0" borderId="0" xfId="0" applyFont="1"/>
    <xf numFmtId="170" fontId="0" fillId="0" borderId="0" xfId="11" applyNumberFormat="1" applyFont="1" applyFill="1"/>
    <xf numFmtId="170" fontId="0" fillId="0" borderId="0" xfId="11" applyNumberFormat="1" applyFont="1"/>
    <xf numFmtId="170" fontId="0" fillId="11" borderId="0" xfId="11" applyNumberFormat="1" applyFont="1" applyFill="1"/>
    <xf numFmtId="170" fontId="0" fillId="0" borderId="3" xfId="11" applyNumberFormat="1" applyFont="1" applyBorder="1"/>
    <xf numFmtId="170" fontId="0" fillId="11" borderId="3" xfId="11" applyNumberFormat="1" applyFont="1" applyFill="1" applyBorder="1"/>
    <xf numFmtId="170" fontId="0" fillId="0" borderId="0" xfId="11" applyNumberFormat="1" applyFont="1" applyBorder="1"/>
    <xf numFmtId="0" fontId="0" fillId="11" borderId="0" xfId="0" applyFill="1" applyAlignment="1">
      <alignment horizontal="center"/>
    </xf>
    <xf numFmtId="0" fontId="2" fillId="0" borderId="0" xfId="0" quotePrefix="1" applyFont="1" applyAlignment="1">
      <alignment horizontal="center" wrapText="1"/>
    </xf>
    <xf numFmtId="0" fontId="56" fillId="0" borderId="0" xfId="0" quotePrefix="1" applyFont="1" applyAlignment="1">
      <alignment horizontal="center" wrapText="1"/>
    </xf>
    <xf numFmtId="0" fontId="56" fillId="0" borderId="0" xfId="0" applyFont="1" applyAlignment="1">
      <alignment horizontal="center" wrapText="1"/>
    </xf>
    <xf numFmtId="0" fontId="0" fillId="0" borderId="0" xfId="0" applyAlignment="1">
      <alignment horizontal="left" vertical="top" wrapText="1" indent="1"/>
    </xf>
    <xf numFmtId="0" fontId="25" fillId="0" borderId="0" xfId="0" applyFont="1" applyAlignment="1">
      <alignment horizontal="left" indent="1"/>
    </xf>
    <xf numFmtId="0" fontId="56" fillId="0" borderId="0" xfId="0" applyFont="1" applyAlignment="1">
      <alignment horizontal="left" indent="1"/>
    </xf>
    <xf numFmtId="0" fontId="2" fillId="0" borderId="0" xfId="0" applyFont="1" applyAlignment="1">
      <alignment horizontal="left"/>
    </xf>
    <xf numFmtId="0" fontId="25" fillId="0" borderId="0" xfId="0" quotePrefix="1" applyFont="1" applyAlignment="1">
      <alignment horizontal="left" indent="1"/>
    </xf>
    <xf numFmtId="0" fontId="0" fillId="0" borderId="0" xfId="0" applyAlignment="1">
      <alignment horizontal="right" indent="1"/>
    </xf>
    <xf numFmtId="0" fontId="25" fillId="2" borderId="0" xfId="6" applyFont="1" applyFill="1" applyAlignment="1">
      <alignment horizontal="center"/>
    </xf>
    <xf numFmtId="0" fontId="25" fillId="0" borderId="0" xfId="6" applyFont="1" applyAlignment="1">
      <alignment horizontal="center"/>
    </xf>
    <xf numFmtId="10" fontId="3" fillId="0" borderId="4" xfId="15" applyNumberFormat="1" applyFont="1" applyFill="1" applyBorder="1"/>
    <xf numFmtId="0" fontId="3" fillId="0" borderId="0" xfId="6" applyFont="1" applyAlignment="1">
      <alignment horizontal="right"/>
    </xf>
    <xf numFmtId="170" fontId="13" fillId="0" borderId="28" xfId="10" applyNumberFormat="1" applyFont="1" applyBorder="1"/>
    <xf numFmtId="170" fontId="3" fillId="0" borderId="0" xfId="10" applyNumberFormat="1" applyFont="1"/>
    <xf numFmtId="170" fontId="3" fillId="0" borderId="0" xfId="11" applyNumberFormat="1" applyFont="1" applyFill="1"/>
    <xf numFmtId="0" fontId="3" fillId="0" borderId="0" xfId="6" applyFont="1"/>
    <xf numFmtId="3" fontId="4" fillId="0" borderId="0" xfId="5" applyNumberFormat="1" applyFont="1" applyAlignment="1" applyProtection="1">
      <alignment vertical="top" wrapText="1"/>
      <protection locked="0"/>
    </xf>
    <xf numFmtId="174" fontId="4" fillId="0" borderId="0" xfId="5" applyNumberFormat="1" applyFont="1" applyAlignment="1" applyProtection="1">
      <alignment horizontal="right"/>
    </xf>
    <xf numFmtId="3" fontId="4" fillId="0" borderId="0" xfId="5" applyNumberFormat="1" applyFont="1" applyAlignment="1" applyProtection="1">
      <alignment horizontal="right"/>
      <protection locked="0"/>
    </xf>
    <xf numFmtId="3" fontId="4" fillId="0" borderId="0" xfId="5" applyNumberFormat="1" applyFont="1" applyAlignment="1" applyProtection="1">
      <alignment horizontal="center"/>
      <protection locked="0"/>
    </xf>
    <xf numFmtId="0" fontId="4" fillId="0" borderId="1" xfId="5" applyNumberFormat="1" applyFont="1" applyBorder="1" applyProtection="1">
      <protection locked="0"/>
    </xf>
    <xf numFmtId="10" fontId="64" fillId="4" borderId="27" xfId="23" applyNumberFormat="1" applyFont="1" applyFill="1" applyBorder="1" applyAlignment="1" applyProtection="1">
      <protection locked="0"/>
    </xf>
    <xf numFmtId="3" fontId="4" fillId="0" borderId="1" xfId="5" applyNumberFormat="1" applyFont="1" applyBorder="1" applyAlignment="1" applyProtection="1">
      <alignment horizontal="center"/>
      <protection locked="0"/>
    </xf>
    <xf numFmtId="3" fontId="4" fillId="3" borderId="0" xfId="5" applyNumberFormat="1" applyFont="1" applyFill="1" applyAlignment="1" applyProtection="1">
      <alignment horizontal="center"/>
      <protection locked="0"/>
    </xf>
    <xf numFmtId="3" fontId="4" fillId="5" borderId="0" xfId="5" applyNumberFormat="1" applyFont="1" applyFill="1" applyAlignment="1" applyProtection="1">
      <alignment horizontal="center"/>
      <protection locked="0"/>
    </xf>
    <xf numFmtId="3" fontId="4" fillId="3" borderId="1" xfId="5" applyNumberFormat="1" applyFont="1" applyFill="1" applyBorder="1" applyAlignment="1" applyProtection="1">
      <alignment horizontal="center"/>
      <protection locked="0"/>
    </xf>
    <xf numFmtId="42" fontId="4" fillId="3" borderId="0" xfId="5" applyNumberFormat="1" applyFont="1" applyFill="1" applyAlignment="1" applyProtection="1">
      <alignment horizontal="center"/>
      <protection locked="0"/>
    </xf>
    <xf numFmtId="174" fontId="4" fillId="3" borderId="0" xfId="5" applyNumberFormat="1" applyFont="1" applyFill="1" applyAlignment="1" applyProtection="1">
      <alignment horizontal="center"/>
      <protection locked="0"/>
    </xf>
    <xf numFmtId="171" fontId="4" fillId="0" borderId="0" xfId="5" applyNumberFormat="1" applyFont="1" applyAlignment="1" applyProtection="1">
      <alignment horizontal="center"/>
      <protection locked="0"/>
    </xf>
    <xf numFmtId="3" fontId="8" fillId="0" borderId="0" xfId="5" applyNumberFormat="1" applyFont="1" applyAlignment="1" applyProtection="1">
      <alignment horizontal="center"/>
      <protection locked="0"/>
    </xf>
    <xf numFmtId="164" fontId="4" fillId="0" borderId="0" xfId="5" applyFont="1" applyAlignment="1" applyProtection="1">
      <alignment horizontal="right"/>
    </xf>
    <xf numFmtId="170" fontId="4" fillId="0" borderId="0" xfId="21" applyNumberFormat="1" applyFont="1" applyAlignment="1" applyProtection="1">
      <protection locked="0"/>
    </xf>
    <xf numFmtId="3" fontId="4" fillId="0" borderId="0" xfId="5" applyNumberFormat="1" applyFont="1" applyAlignment="1" applyProtection="1">
      <alignment horizontal="left"/>
      <protection locked="0"/>
    </xf>
    <xf numFmtId="10" fontId="4" fillId="0" borderId="0" xfId="5" applyNumberFormat="1" applyFont="1" applyAlignment="1" applyProtection="1">
      <alignment horizontal="left"/>
      <protection locked="0"/>
    </xf>
    <xf numFmtId="170" fontId="4" fillId="0" borderId="0" xfId="21" applyNumberFormat="1" applyFont="1" applyBorder="1" applyAlignment="1" applyProtection="1">
      <protection locked="0"/>
    </xf>
    <xf numFmtId="3" fontId="4" fillId="0" borderId="0" xfId="5" quotePrefix="1" applyNumberFormat="1" applyFont="1" applyAlignment="1" applyProtection="1">
      <alignment horizontal="left"/>
      <protection locked="0"/>
    </xf>
    <xf numFmtId="0" fontId="4" fillId="0" borderId="0" xfId="5" quotePrefix="1" applyNumberFormat="1" applyFont="1" applyAlignment="1" applyProtection="1">
      <alignment horizontal="left"/>
      <protection locked="0"/>
    </xf>
    <xf numFmtId="164" fontId="8" fillId="0" borderId="0" xfId="5" applyFont="1" applyAlignment="1" applyProtection="1">
      <alignment horizontal="center"/>
      <protection locked="0"/>
    </xf>
    <xf numFmtId="49" fontId="4" fillId="0" borderId="0" xfId="5" applyNumberFormat="1" applyFont="1" applyAlignment="1" applyProtection="1">
      <alignment horizontal="left"/>
      <protection locked="0"/>
    </xf>
    <xf numFmtId="3" fontId="4" fillId="0" borderId="0" xfId="5" applyNumberFormat="1" applyFont="1" applyAlignment="1" applyProtection="1">
      <alignment horizontal="right"/>
    </xf>
    <xf numFmtId="170" fontId="4" fillId="0" borderId="0" xfId="21" applyNumberFormat="1" applyFont="1" applyAlignment="1" applyProtection="1"/>
    <xf numFmtId="3" fontId="4" fillId="0" borderId="0" xfId="5" applyNumberFormat="1" applyFont="1" applyAlignment="1" applyProtection="1">
      <alignment horizontal="fill"/>
      <protection locked="0"/>
    </xf>
    <xf numFmtId="3" fontId="4" fillId="0" borderId="0" xfId="21" applyNumberFormat="1" applyFont="1" applyAlignment="1" applyProtection="1"/>
    <xf numFmtId="0" fontId="4" fillId="0" borderId="0" xfId="5" applyNumberFormat="1" applyFont="1" applyAlignment="1" applyProtection="1">
      <alignment horizontal="right"/>
    </xf>
    <xf numFmtId="0" fontId="4" fillId="0" borderId="0" xfId="5" applyNumberFormat="1" applyFont="1" applyAlignment="1" applyProtection="1">
      <alignment horizontal="right"/>
      <protection locked="0"/>
    </xf>
    <xf numFmtId="168" fontId="4" fillId="0" borderId="0" xfId="5" applyNumberFormat="1" applyFont="1" applyProtection="1">
      <protection locked="0"/>
    </xf>
    <xf numFmtId="164" fontId="4" fillId="0" borderId="0" xfId="5" applyFont="1" applyAlignment="1" applyProtection="1">
      <alignment horizontal="center"/>
      <protection locked="0"/>
    </xf>
    <xf numFmtId="166" fontId="4" fillId="0" borderId="0" xfId="5" applyNumberFormat="1" applyFont="1" applyAlignment="1" applyProtection="1">
      <alignment horizontal="center"/>
      <protection locked="0"/>
    </xf>
    <xf numFmtId="3" fontId="4" fillId="0" borderId="0" xfId="5" applyNumberFormat="1" applyFont="1" applyProtection="1">
      <protection locked="0"/>
    </xf>
    <xf numFmtId="3" fontId="4" fillId="0" borderId="0" xfId="5" applyNumberFormat="1" applyFont="1" applyProtection="1"/>
    <xf numFmtId="3" fontId="4" fillId="3" borderId="1" xfId="5" applyNumberFormat="1" applyFont="1" applyFill="1" applyBorder="1" applyProtection="1">
      <protection locked="0"/>
    </xf>
    <xf numFmtId="3" fontId="4" fillId="3" borderId="0" xfId="5" applyNumberFormat="1" applyFont="1" applyFill="1" applyProtection="1">
      <protection locked="0"/>
    </xf>
    <xf numFmtId="42" fontId="4" fillId="0" borderId="2" xfId="5" applyNumberFormat="1" applyFont="1" applyBorder="1" applyAlignment="1" applyProtection="1">
      <alignment horizontal="right"/>
    </xf>
    <xf numFmtId="49" fontId="4" fillId="0" borderId="0" xfId="5" applyNumberFormat="1" applyFont="1" applyProtection="1">
      <protection locked="0"/>
    </xf>
    <xf numFmtId="0" fontId="7" fillId="0" borderId="0" xfId="5" applyNumberFormat="1" applyFont="1" applyProtection="1">
      <protection locked="0"/>
    </xf>
    <xf numFmtId="1" fontId="28" fillId="9" borderId="0" xfId="9" applyNumberFormat="1" applyFont="1" applyFill="1" applyAlignment="1">
      <alignment horizontal="center" vertical="top" wrapText="1"/>
    </xf>
    <xf numFmtId="0" fontId="29" fillId="9" borderId="0" xfId="16" applyFont="1" applyFill="1" applyAlignment="1">
      <alignment vertical="top"/>
    </xf>
    <xf numFmtId="0" fontId="3" fillId="0" borderId="0" xfId="25" applyAlignment="1">
      <alignment vertical="top"/>
    </xf>
    <xf numFmtId="0" fontId="24" fillId="0" borderId="0" xfId="24" applyNumberFormat="1" applyFont="1" applyAlignment="1">
      <alignment vertical="center"/>
    </xf>
    <xf numFmtId="0" fontId="6" fillId="0" borderId="9" xfId="21" applyNumberFormat="1" applyFont="1" applyFill="1" applyBorder="1" applyAlignment="1">
      <alignment horizontal="center" vertical="top" wrapText="1"/>
    </xf>
    <xf numFmtId="164" fontId="22" fillId="0" borderId="7" xfId="24" applyFont="1" applyBorder="1" applyAlignment="1">
      <alignment horizontal="center" vertical="top" wrapText="1"/>
    </xf>
    <xf numFmtId="164" fontId="22" fillId="0" borderId="3" xfId="24" applyFont="1" applyBorder="1" applyAlignment="1">
      <alignment vertical="top" wrapText="1"/>
    </xf>
    <xf numFmtId="174" fontId="6" fillId="0" borderId="8" xfId="24" applyNumberFormat="1" applyBorder="1" applyAlignment="1">
      <alignment vertical="top"/>
    </xf>
    <xf numFmtId="175" fontId="6" fillId="4" borderId="0" xfId="27" applyNumberFormat="1" applyFont="1" applyFill="1" applyBorder="1" applyAlignment="1">
      <alignment vertical="top"/>
    </xf>
    <xf numFmtId="175" fontId="24" fillId="0" borderId="8" xfId="27" applyNumberFormat="1" applyFont="1" applyFill="1" applyBorder="1" applyAlignment="1">
      <alignment vertical="top"/>
    </xf>
    <xf numFmtId="10" fontId="6" fillId="0" borderId="8" xfId="23" applyNumberFormat="1" applyFont="1" applyFill="1" applyBorder="1" applyAlignment="1">
      <alignment vertical="top"/>
    </xf>
    <xf numFmtId="164" fontId="22" fillId="0" borderId="0" xfId="24" applyFont="1" applyAlignment="1">
      <alignment vertical="top"/>
    </xf>
    <xf numFmtId="10" fontId="6" fillId="0" borderId="0" xfId="23" applyNumberFormat="1" applyFont="1" applyFill="1" applyBorder="1" applyAlignment="1">
      <alignment vertical="top"/>
    </xf>
    <xf numFmtId="3" fontId="6" fillId="0" borderId="8" xfId="24" applyNumberFormat="1" applyBorder="1" applyAlignment="1">
      <alignment vertical="top"/>
    </xf>
    <xf numFmtId="175" fontId="6" fillId="0" borderId="9" xfId="27" applyNumberFormat="1" applyFont="1" applyFill="1" applyBorder="1" applyAlignment="1">
      <alignment vertical="top"/>
    </xf>
    <xf numFmtId="164" fontId="22" fillId="0" borderId="6" xfId="24" applyFont="1" applyBorder="1" applyAlignment="1">
      <alignment vertical="top"/>
    </xf>
    <xf numFmtId="164" fontId="22" fillId="0" borderId="7" xfId="24" applyFont="1" applyBorder="1" applyAlignment="1">
      <alignment vertical="top"/>
    </xf>
    <xf numFmtId="164" fontId="22" fillId="0" borderId="3" xfId="24" applyFont="1" applyBorder="1" applyAlignment="1">
      <alignment vertical="top"/>
    </xf>
    <xf numFmtId="4" fontId="22" fillId="0" borderId="6" xfId="24" applyNumberFormat="1" applyFont="1" applyBorder="1" applyAlignment="1">
      <alignment vertical="top"/>
    </xf>
    <xf numFmtId="4" fontId="6" fillId="0" borderId="8" xfId="24" applyNumberFormat="1" applyBorder="1" applyAlignment="1">
      <alignment vertical="top"/>
    </xf>
    <xf numFmtId="175" fontId="6" fillId="4" borderId="8" xfId="27" applyNumberFormat="1" applyFont="1" applyFill="1" applyBorder="1" applyAlignment="1">
      <alignment vertical="top"/>
    </xf>
    <xf numFmtId="3" fontId="24" fillId="12" borderId="0" xfId="33" applyNumberFormat="1" applyFont="1" applyFill="1"/>
    <xf numFmtId="175" fontId="6" fillId="12" borderId="9" xfId="27" applyNumberFormat="1" applyFont="1" applyFill="1" applyBorder="1" applyAlignment="1">
      <alignment vertical="top"/>
    </xf>
    <xf numFmtId="175" fontId="24" fillId="12" borderId="0" xfId="27" applyNumberFormat="1" applyFont="1" applyFill="1" applyBorder="1" applyAlignment="1"/>
    <xf numFmtId="10" fontId="24" fillId="12" borderId="0" xfId="23" applyNumberFormat="1" applyFont="1" applyFill="1" applyBorder="1" applyAlignment="1">
      <alignment horizontal="center"/>
    </xf>
    <xf numFmtId="170" fontId="24" fillId="12" borderId="0" xfId="21" applyNumberFormat="1" applyFont="1" applyFill="1" applyBorder="1" applyAlignment="1"/>
    <xf numFmtId="170" fontId="24" fillId="12" borderId="3" xfId="21" applyNumberFormat="1" applyFont="1" applyFill="1" applyBorder="1" applyAlignment="1"/>
    <xf numFmtId="175" fontId="6" fillId="4" borderId="0" xfId="27" applyNumberFormat="1" applyFont="1" applyFill="1" applyBorder="1" applyAlignment="1"/>
    <xf numFmtId="0" fontId="25" fillId="0" borderId="0" xfId="0" applyFont="1" applyAlignment="1">
      <alignment horizontal="right" indent="1"/>
    </xf>
    <xf numFmtId="178" fontId="25" fillId="0" borderId="0" xfId="0" applyNumberFormat="1" applyFont="1"/>
    <xf numFmtId="0" fontId="3" fillId="0" borderId="0" xfId="7" applyFont="1"/>
    <xf numFmtId="0" fontId="3" fillId="0" borderId="0" xfId="7" applyFont="1" applyAlignment="1">
      <alignment horizontal="right"/>
    </xf>
    <xf numFmtId="0" fontId="3" fillId="0" borderId="0" xfId="7" applyFont="1" applyAlignment="1">
      <alignment vertical="center"/>
    </xf>
    <xf numFmtId="0" fontId="3" fillId="0" borderId="3" xfId="7" applyFont="1" applyBorder="1" applyAlignment="1">
      <alignment vertical="center"/>
    </xf>
    <xf numFmtId="0" fontId="3" fillId="0" borderId="3" xfId="7" applyFont="1" applyBorder="1" applyAlignment="1">
      <alignment horizontal="center" vertical="center" wrapText="1"/>
    </xf>
    <xf numFmtId="0" fontId="3" fillId="0" borderId="3" xfId="7" applyFont="1" applyBorder="1" applyAlignment="1">
      <alignment horizontal="center" vertical="center"/>
    </xf>
    <xf numFmtId="41" fontId="3" fillId="0" borderId="0" xfId="7" applyNumberFormat="1" applyFont="1"/>
    <xf numFmtId="37" fontId="3" fillId="0" borderId="4" xfId="7" applyNumberFormat="1" applyFont="1" applyBorder="1"/>
    <xf numFmtId="37" fontId="3" fillId="0" borderId="0" xfId="7" applyNumberFormat="1" applyFont="1"/>
    <xf numFmtId="170" fontId="3" fillId="0" borderId="0" xfId="1" applyNumberFormat="1" applyFont="1" applyFill="1" applyBorder="1" applyAlignment="1"/>
    <xf numFmtId="175" fontId="3" fillId="0" borderId="0" xfId="13" applyNumberFormat="1" applyFont="1" applyFill="1"/>
    <xf numFmtId="0" fontId="3" fillId="0" borderId="0" xfId="13" applyNumberFormat="1" applyFont="1" applyFill="1"/>
    <xf numFmtId="0" fontId="3" fillId="0" borderId="5" xfId="12" applyFont="1" applyBorder="1"/>
    <xf numFmtId="175" fontId="25" fillId="0" borderId="5" xfId="13" applyNumberFormat="1" applyFont="1" applyFill="1" applyBorder="1"/>
    <xf numFmtId="0" fontId="3" fillId="0" borderId="0" xfId="12" applyFont="1"/>
    <xf numFmtId="42" fontId="3" fillId="0" borderId="0" xfId="1" applyNumberFormat="1" applyFont="1" applyFill="1"/>
    <xf numFmtId="41" fontId="25" fillId="0" borderId="0" xfId="1" applyNumberFormat="1" applyFont="1" applyFill="1"/>
    <xf numFmtId="41" fontId="3" fillId="0" borderId="5" xfId="1" applyNumberFormat="1" applyFont="1" applyFill="1" applyBorder="1"/>
    <xf numFmtId="42" fontId="25" fillId="0" borderId="0" xfId="1" applyNumberFormat="1" applyFont="1" applyFill="1"/>
    <xf numFmtId="10" fontId="3" fillId="0" borderId="0" xfId="12" applyNumberFormat="1" applyFont="1"/>
    <xf numFmtId="10" fontId="3" fillId="0" borderId="0" xfId="15" applyNumberFormat="1" applyFont="1" applyFill="1"/>
    <xf numFmtId="170" fontId="3" fillId="0" borderId="0" xfId="1" applyNumberFormat="1" applyFont="1" applyFill="1"/>
    <xf numFmtId="41" fontId="3" fillId="0" borderId="0" xfId="15" applyNumberFormat="1" applyFont="1" applyFill="1"/>
    <xf numFmtId="41" fontId="3" fillId="0" borderId="0" xfId="1" applyNumberFormat="1" applyFont="1" applyFill="1"/>
    <xf numFmtId="1" fontId="3" fillId="0" borderId="0" xfId="12" applyNumberFormat="1" applyFont="1"/>
    <xf numFmtId="171" fontId="3" fillId="0" borderId="0" xfId="6" applyNumberFormat="1" applyFont="1"/>
    <xf numFmtId="171" fontId="3" fillId="0" borderId="0" xfId="6" applyNumberFormat="1" applyFont="1" applyAlignment="1">
      <alignment horizontal="center" vertical="center" wrapText="1"/>
    </xf>
    <xf numFmtId="0" fontId="3" fillId="0" borderId="0" xfId="6" applyFont="1" applyAlignment="1">
      <alignment horizontal="center" vertical="center" wrapText="1"/>
    </xf>
    <xf numFmtId="176" fontId="3" fillId="0" borderId="0" xfId="15" applyNumberFormat="1" applyFont="1" applyFill="1"/>
    <xf numFmtId="176" fontId="3" fillId="0" borderId="0" xfId="15" applyNumberFormat="1" applyFont="1" applyFill="1" applyBorder="1"/>
    <xf numFmtId="176" fontId="3" fillId="0" borderId="4" xfId="15" applyNumberFormat="1" applyFont="1" applyFill="1" applyBorder="1"/>
    <xf numFmtId="10" fontId="3" fillId="0" borderId="3" xfId="15" applyNumberFormat="1" applyFont="1" applyFill="1" applyBorder="1"/>
    <xf numFmtId="42" fontId="3" fillId="0" borderId="3" xfId="1" applyNumberFormat="1" applyFont="1" applyFill="1" applyBorder="1"/>
    <xf numFmtId="0" fontId="3" fillId="0" borderId="3" xfId="25" applyBorder="1" applyAlignment="1">
      <alignment horizontal="center"/>
    </xf>
    <xf numFmtId="0" fontId="65" fillId="9" borderId="0" xfId="16" applyFont="1" applyFill="1"/>
    <xf numFmtId="187" fontId="3" fillId="0" borderId="0" xfId="7" applyNumberFormat="1" applyFont="1"/>
    <xf numFmtId="43" fontId="3" fillId="0" borderId="0" xfId="1" applyFont="1" applyFill="1"/>
    <xf numFmtId="170" fontId="3" fillId="0" borderId="0" xfId="1" applyNumberFormat="1" applyFont="1"/>
    <xf numFmtId="178" fontId="21" fillId="0" borderId="0" xfId="0" applyNumberFormat="1" applyFont="1"/>
    <xf numFmtId="1" fontId="28" fillId="9" borderId="0" xfId="9" quotePrefix="1" applyNumberFormat="1" applyFont="1" applyFill="1" applyAlignment="1">
      <alignment horizontal="center" vertical="top" wrapText="1"/>
    </xf>
    <xf numFmtId="0" fontId="20" fillId="0" borderId="0" xfId="25" applyFont="1"/>
    <xf numFmtId="188" fontId="3" fillId="0" borderId="0" xfId="7" quotePrefix="1" applyNumberFormat="1" applyFont="1" applyAlignment="1">
      <alignment horizontal="left"/>
    </xf>
    <xf numFmtId="189" fontId="3" fillId="0" borderId="0" xfId="7" quotePrefix="1" applyNumberFormat="1" applyFont="1" applyAlignment="1">
      <alignment horizontal="left"/>
    </xf>
    <xf numFmtId="0" fontId="14" fillId="0" borderId="8" xfId="26" applyFont="1" applyBorder="1">
      <alignment vertical="top"/>
    </xf>
    <xf numFmtId="0" fontId="14" fillId="0" borderId="5" xfId="26" applyFont="1" applyBorder="1">
      <alignment vertical="top"/>
    </xf>
    <xf numFmtId="0" fontId="14" fillId="0" borderId="13" xfId="26" applyFont="1" applyBorder="1">
      <alignment vertical="top"/>
    </xf>
    <xf numFmtId="188" fontId="3" fillId="0" borderId="30" xfId="7" quotePrefix="1" applyNumberFormat="1" applyFont="1" applyBorder="1" applyAlignment="1">
      <alignment horizontal="left"/>
    </xf>
    <xf numFmtId="0" fontId="6" fillId="0" borderId="0" xfId="20" applyNumberFormat="1" applyAlignment="1">
      <alignment horizontal="left" vertical="center" wrapText="1"/>
    </xf>
    <xf numFmtId="0" fontId="6" fillId="0" borderId="0" xfId="20" applyNumberFormat="1" applyAlignment="1">
      <alignment horizontal="center" vertical="center" wrapText="1"/>
    </xf>
    <xf numFmtId="175" fontId="24" fillId="3" borderId="0" xfId="27" applyNumberFormat="1" applyFont="1" applyFill="1" applyBorder="1" applyAlignment="1">
      <alignment vertical="center"/>
    </xf>
    <xf numFmtId="10" fontId="24" fillId="0" borderId="0" xfId="23" applyNumberFormat="1" applyFont="1" applyFill="1" applyBorder="1" applyAlignment="1">
      <alignment vertical="center"/>
    </xf>
    <xf numFmtId="175" fontId="24" fillId="0" borderId="0" xfId="27" applyNumberFormat="1" applyFont="1" applyFill="1" applyBorder="1" applyAlignment="1">
      <alignment vertical="center"/>
    </xf>
    <xf numFmtId="175" fontId="24" fillId="0" borderId="8" xfId="27" applyNumberFormat="1" applyFont="1" applyFill="1" applyBorder="1" applyAlignment="1">
      <alignment vertical="center"/>
    </xf>
    <xf numFmtId="164" fontId="6" fillId="0" borderId="9" xfId="19" applyBorder="1" applyAlignment="1">
      <alignment vertical="center"/>
    </xf>
    <xf numFmtId="164" fontId="6" fillId="0" borderId="0" xfId="19" applyAlignment="1">
      <alignment vertical="center"/>
    </xf>
    <xf numFmtId="0" fontId="6" fillId="0" borderId="0" xfId="24" applyNumberFormat="1" applyAlignment="1">
      <alignment horizontal="left" vertical="center" wrapText="1"/>
    </xf>
    <xf numFmtId="0" fontId="6" fillId="0" borderId="0" xfId="24" applyNumberFormat="1" applyAlignment="1">
      <alignment horizontal="center" vertical="center"/>
    </xf>
    <xf numFmtId="175" fontId="6" fillId="3" borderId="0" xfId="22" applyNumberFormat="1" applyFont="1" applyFill="1" applyBorder="1" applyAlignment="1">
      <alignment vertical="center"/>
    </xf>
    <xf numFmtId="175" fontId="6" fillId="0" borderId="8" xfId="22" applyNumberFormat="1" applyFont="1" applyFill="1" applyBorder="1" applyAlignment="1">
      <alignment vertical="center"/>
    </xf>
    <xf numFmtId="175" fontId="24" fillId="3" borderId="0" xfId="22" applyNumberFormat="1" applyFont="1" applyFill="1" applyBorder="1" applyAlignment="1">
      <alignment vertical="center"/>
    </xf>
    <xf numFmtId="0" fontId="6" fillId="0" borderId="0" xfId="24" applyNumberFormat="1" applyAlignment="1">
      <alignment horizontal="center" vertical="center" wrapText="1"/>
    </xf>
    <xf numFmtId="175" fontId="6" fillId="0" borderId="0" xfId="22" applyNumberFormat="1" applyFont="1" applyFill="1" applyBorder="1" applyAlignment="1">
      <alignment vertical="center"/>
    </xf>
    <xf numFmtId="175" fontId="24" fillId="0" borderId="0" xfId="22" applyNumberFormat="1" applyFont="1" applyFill="1" applyBorder="1" applyAlignment="1">
      <alignment vertical="center"/>
    </xf>
    <xf numFmtId="164" fontId="6" fillId="0" borderId="7" xfId="19" applyBorder="1" applyAlignment="1">
      <alignment vertical="center"/>
    </xf>
    <xf numFmtId="164" fontId="6" fillId="0" borderId="3" xfId="19" applyBorder="1" applyAlignment="1">
      <alignment vertical="center"/>
    </xf>
    <xf numFmtId="164" fontId="22" fillId="0" borderId="3" xfId="19" applyFont="1" applyBorder="1" applyAlignment="1">
      <alignment vertical="center"/>
    </xf>
    <xf numFmtId="164" fontId="22" fillId="0" borderId="6" xfId="19" applyFont="1" applyBorder="1" applyAlignment="1">
      <alignment vertical="center"/>
    </xf>
    <xf numFmtId="164" fontId="6" fillId="0" borderId="9" xfId="20" applyBorder="1" applyAlignment="1">
      <alignment vertical="center"/>
    </xf>
    <xf numFmtId="164" fontId="6" fillId="0" borderId="0" xfId="20" applyAlignment="1">
      <alignment vertical="center"/>
    </xf>
    <xf numFmtId="41" fontId="3" fillId="0" borderId="0" xfId="1" applyNumberFormat="1" applyFont="1" applyFill="1" applyAlignment="1"/>
    <xf numFmtId="41" fontId="3" fillId="0" borderId="4" xfId="7" applyNumberFormat="1" applyFont="1" applyBorder="1"/>
    <xf numFmtId="170" fontId="3" fillId="0" borderId="0" xfId="1" applyNumberFormat="1" applyFont="1" applyFill="1" applyAlignment="1"/>
    <xf numFmtId="170" fontId="3" fillId="0" borderId="4" xfId="7" applyNumberFormat="1" applyFont="1" applyBorder="1"/>
    <xf numFmtId="188" fontId="3" fillId="0" borderId="6" xfId="7" quotePrefix="1" applyNumberFormat="1" applyFont="1" applyBorder="1" applyAlignment="1">
      <alignment horizontal="left"/>
    </xf>
    <xf numFmtId="178" fontId="25" fillId="0" borderId="0" xfId="0" applyNumberFormat="1" applyFont="1" applyAlignment="1">
      <alignment horizontal="center"/>
    </xf>
    <xf numFmtId="170" fontId="3" fillId="0" borderId="13" xfId="1" applyNumberFormat="1" applyFont="1" applyBorder="1"/>
    <xf numFmtId="170" fontId="3" fillId="0" borderId="6" xfId="1" applyNumberFormat="1" applyFont="1" applyBorder="1"/>
    <xf numFmtId="0" fontId="14" fillId="0" borderId="14" xfId="25" applyFont="1" applyBorder="1"/>
    <xf numFmtId="0" fontId="20" fillId="0" borderId="30" xfId="25" applyFont="1" applyBorder="1"/>
    <xf numFmtId="0" fontId="14" fillId="0" borderId="7" xfId="25" applyFont="1" applyBorder="1"/>
    <xf numFmtId="0" fontId="20" fillId="0" borderId="29" xfId="25" applyFont="1" applyBorder="1"/>
    <xf numFmtId="174" fontId="3" fillId="0" borderId="31" xfId="26" applyNumberFormat="1" applyFont="1" applyBorder="1" applyAlignment="1">
      <alignment horizontal="right" vertical="top"/>
    </xf>
    <xf numFmtId="164" fontId="4" fillId="0" borderId="0" xfId="5" applyFont="1" applyAlignment="1" applyProtection="1">
      <alignment horizontal="center" vertical="top" wrapText="1"/>
      <protection locked="0"/>
    </xf>
    <xf numFmtId="164" fontId="4" fillId="0" borderId="0" xfId="5" applyFont="1" applyProtection="1">
      <protection locked="0"/>
    </xf>
    <xf numFmtId="174" fontId="4" fillId="0" borderId="0" xfId="5" applyNumberFormat="1" applyFont="1" applyProtection="1"/>
    <xf numFmtId="174" fontId="4" fillId="3" borderId="1" xfId="42" applyNumberFormat="1" applyFont="1" applyFill="1" applyBorder="1" applyProtection="1">
      <protection locked="0"/>
    </xf>
    <xf numFmtId="174" fontId="4" fillId="3" borderId="0" xfId="5" applyNumberFormat="1" applyFont="1" applyFill="1" applyProtection="1">
      <protection locked="0"/>
    </xf>
    <xf numFmtId="1" fontId="4" fillId="0" borderId="0" xfId="5" applyNumberFormat="1" applyFont="1" applyProtection="1">
      <protection locked="0"/>
    </xf>
    <xf numFmtId="38" fontId="4" fillId="0" borderId="0" xfId="5" applyNumberFormat="1" applyFont="1" applyProtection="1">
      <protection locked="0"/>
    </xf>
    <xf numFmtId="38" fontId="4" fillId="0" borderId="0" xfId="5" applyNumberFormat="1" applyFont="1" applyProtection="1"/>
    <xf numFmtId="164" fontId="4" fillId="0" borderId="1" xfId="5" applyFont="1" applyBorder="1" applyProtection="1">
      <protection locked="0"/>
    </xf>
    <xf numFmtId="38" fontId="4" fillId="3" borderId="0" xfId="5" applyNumberFormat="1" applyFont="1" applyFill="1" applyProtection="1">
      <protection locked="0"/>
    </xf>
    <xf numFmtId="164" fontId="11" fillId="0" borderId="0" xfId="5" applyFont="1" applyProtection="1">
      <protection locked="0"/>
    </xf>
    <xf numFmtId="3" fontId="4" fillId="0" borderId="0" xfId="5" quotePrefix="1" applyNumberFormat="1" applyFont="1" applyProtection="1">
      <protection locked="0"/>
    </xf>
    <xf numFmtId="168" fontId="4" fillId="0" borderId="0" xfId="5" applyNumberFormat="1" applyFont="1" applyProtection="1"/>
    <xf numFmtId="3" fontId="4" fillId="0" borderId="0" xfId="5" applyNumberFormat="1" applyFont="1" applyAlignment="1" applyProtection="1">
      <alignment horizontal="center"/>
    </xf>
    <xf numFmtId="168" fontId="4" fillId="0" borderId="1" xfId="5" applyNumberFormat="1" applyFont="1" applyBorder="1" applyProtection="1"/>
    <xf numFmtId="9" fontId="4" fillId="0" borderId="0" xfId="5" applyNumberFormat="1" applyFont="1" applyProtection="1">
      <protection locked="0"/>
    </xf>
    <xf numFmtId="168" fontId="4" fillId="5" borderId="0" xfId="42" applyNumberFormat="1" applyFont="1" applyFill="1" applyProtection="1">
      <protection locked="0"/>
    </xf>
    <xf numFmtId="3" fontId="4" fillId="0" borderId="0" xfId="42" applyNumberFormat="1" applyFont="1"/>
    <xf numFmtId="3" fontId="4" fillId="0" borderId="1" xfId="5" applyNumberFormat="1" applyFont="1" applyBorder="1" applyProtection="1">
      <protection locked="0"/>
    </xf>
    <xf numFmtId="165" fontId="4" fillId="0" borderId="0" xfId="5" applyNumberFormat="1" applyFont="1" applyProtection="1"/>
    <xf numFmtId="4" fontId="4" fillId="0" borderId="0" xfId="5" applyNumberFormat="1" applyFont="1" applyProtection="1">
      <protection locked="0"/>
    </xf>
    <xf numFmtId="0" fontId="8" fillId="0" borderId="0" xfId="5" applyNumberFormat="1" applyFont="1" applyProtection="1">
      <protection locked="0"/>
    </xf>
    <xf numFmtId="3" fontId="4" fillId="3" borderId="1" xfId="42" applyNumberFormat="1" applyFont="1" applyFill="1" applyBorder="1" applyProtection="1">
      <protection locked="0"/>
    </xf>
    <xf numFmtId="3" fontId="4" fillId="3" borderId="0" xfId="42" applyNumberFormat="1" applyFont="1" applyFill="1" applyProtection="1">
      <protection locked="0"/>
    </xf>
    <xf numFmtId="165" fontId="4" fillId="0" borderId="0" xfId="5" applyNumberFormat="1" applyFont="1" applyProtection="1">
      <protection locked="0"/>
    </xf>
    <xf numFmtId="173" fontId="4" fillId="0" borderId="0" xfId="5" applyNumberFormat="1" applyFont="1" applyProtection="1">
      <protection locked="0"/>
    </xf>
    <xf numFmtId="3" fontId="4" fillId="3" borderId="0" xfId="21" applyNumberFormat="1" applyFont="1" applyFill="1" applyAlignment="1" applyProtection="1">
      <protection locked="0"/>
    </xf>
    <xf numFmtId="172" fontId="4" fillId="0" borderId="0" xfId="5" applyNumberFormat="1" applyFont="1" applyAlignment="1" applyProtection="1">
      <alignment horizontal="left"/>
      <protection locked="0"/>
    </xf>
    <xf numFmtId="3" fontId="10" fillId="0" borderId="0" xfId="5" applyNumberFormat="1" applyFont="1" applyProtection="1">
      <protection locked="0"/>
    </xf>
    <xf numFmtId="3" fontId="8" fillId="0" borderId="0" xfId="5" applyNumberFormat="1" applyFont="1" applyProtection="1">
      <protection locked="0"/>
    </xf>
    <xf numFmtId="3" fontId="4" fillId="3" borderId="0" xfId="21" applyNumberFormat="1" applyFont="1" applyFill="1" applyBorder="1" applyAlignment="1" applyProtection="1">
      <protection locked="0"/>
    </xf>
    <xf numFmtId="3" fontId="4" fillId="0" borderId="0" xfId="21" applyNumberFormat="1" applyFont="1" applyAlignment="1" applyProtection="1">
      <protection locked="0"/>
    </xf>
    <xf numFmtId="169" fontId="4" fillId="0" borderId="0" xfId="5" applyNumberFormat="1" applyFont="1" applyProtection="1">
      <protection locked="0"/>
    </xf>
    <xf numFmtId="0" fontId="4" fillId="3" borderId="0" xfId="42" applyFont="1" applyFill="1" applyAlignment="1" applyProtection="1">
      <alignment horizontal="right"/>
      <protection locked="0"/>
    </xf>
    <xf numFmtId="0" fontId="3" fillId="0" borderId="3" xfId="12" applyFont="1" applyBorder="1" applyAlignment="1">
      <alignment horizontal="center"/>
    </xf>
    <xf numFmtId="0" fontId="4" fillId="0" borderId="0" xfId="5" applyNumberFormat="1" applyFont="1" applyAlignment="1" applyProtection="1">
      <alignment vertical="top" wrapText="1"/>
      <protection locked="0"/>
    </xf>
    <xf numFmtId="49" fontId="4" fillId="0" borderId="0" xfId="5" applyNumberFormat="1" applyFont="1" applyAlignment="1" applyProtection="1">
      <alignment horizontal="center"/>
      <protection locked="0"/>
    </xf>
    <xf numFmtId="0" fontId="4" fillId="0" borderId="0" xfId="43" applyFont="1" applyProtection="1">
      <protection locked="0"/>
    </xf>
    <xf numFmtId="0" fontId="11" fillId="0" borderId="0" xfId="43" applyFont="1" applyProtection="1">
      <protection locked="0"/>
    </xf>
    <xf numFmtId="0" fontId="4" fillId="0" borderId="0" xfId="43" applyFont="1" applyAlignment="1" applyProtection="1">
      <alignment horizontal="center" vertical="top"/>
      <protection locked="0"/>
    </xf>
    <xf numFmtId="0" fontId="4" fillId="0" borderId="0" xfId="43" applyFont="1" applyAlignment="1" applyProtection="1">
      <alignment horizontal="center"/>
      <protection locked="0"/>
    </xf>
    <xf numFmtId="0" fontId="4" fillId="0" borderId="0" xfId="43" applyFont="1" applyAlignment="1" applyProtection="1">
      <alignment horizontal="center" vertical="top" wrapText="1"/>
      <protection locked="0"/>
    </xf>
    <xf numFmtId="3" fontId="11" fillId="0" borderId="0" xfId="43" applyNumberFormat="1" applyFont="1" applyAlignment="1" applyProtection="1">
      <alignment horizontal="right"/>
      <protection locked="0"/>
    </xf>
    <xf numFmtId="0" fontId="4" fillId="0" borderId="1" xfId="43" applyFont="1" applyBorder="1" applyProtection="1">
      <protection locked="0"/>
    </xf>
    <xf numFmtId="0" fontId="4" fillId="0" borderId="29" xfId="43" applyFont="1" applyBorder="1" applyProtection="1">
      <protection locked="0"/>
    </xf>
    <xf numFmtId="0" fontId="4" fillId="0" borderId="3" xfId="43" applyFont="1" applyBorder="1" applyProtection="1">
      <protection locked="0"/>
    </xf>
    <xf numFmtId="0" fontId="4" fillId="0" borderId="7" xfId="43" applyFont="1" applyBorder="1" applyProtection="1">
      <protection locked="0"/>
    </xf>
    <xf numFmtId="0" fontId="4" fillId="0" borderId="9" xfId="43" applyFont="1" applyBorder="1" applyProtection="1">
      <protection locked="0"/>
    </xf>
    <xf numFmtId="3" fontId="4" fillId="0" borderId="0" xfId="43" applyNumberFormat="1" applyFont="1"/>
    <xf numFmtId="165" fontId="4" fillId="0" borderId="0" xfId="43" applyNumberFormat="1" applyFont="1"/>
    <xf numFmtId="169" fontId="4" fillId="0" borderId="0" xfId="43" applyNumberFormat="1" applyFont="1"/>
    <xf numFmtId="0" fontId="4" fillId="0" borderId="1" xfId="43" applyFont="1" applyBorder="1" applyAlignment="1" applyProtection="1">
      <alignment horizontal="center"/>
      <protection locked="0"/>
    </xf>
    <xf numFmtId="3" fontId="4" fillId="0" borderId="0" xfId="43" applyNumberFormat="1" applyFont="1" applyProtection="1">
      <protection locked="0"/>
    </xf>
    <xf numFmtId="3" fontId="4" fillId="0" borderId="1" xfId="43" applyNumberFormat="1" applyFont="1" applyBorder="1"/>
    <xf numFmtId="3" fontId="4" fillId="0" borderId="0" xfId="43" applyNumberFormat="1" applyFont="1" applyAlignment="1" applyProtection="1">
      <alignment horizontal="center"/>
      <protection locked="0"/>
    </xf>
    <xf numFmtId="4" fontId="4" fillId="0" borderId="0" xfId="43" applyNumberFormat="1" applyFont="1"/>
    <xf numFmtId="169" fontId="4" fillId="0" borderId="0" xfId="43" applyNumberFormat="1" applyFont="1" applyAlignment="1">
      <alignment horizontal="right"/>
    </xf>
    <xf numFmtId="171" fontId="4" fillId="0" borderId="0" xfId="43" applyNumberFormat="1" applyFont="1" applyAlignment="1" applyProtection="1">
      <alignment horizontal="center"/>
      <protection locked="0"/>
    </xf>
    <xf numFmtId="3" fontId="11" fillId="0" borderId="0" xfId="43" applyNumberFormat="1" applyFont="1" applyProtection="1">
      <protection locked="0"/>
    </xf>
    <xf numFmtId="3" fontId="4" fillId="0" borderId="2" xfId="43" applyNumberFormat="1" applyFont="1" applyBorder="1"/>
    <xf numFmtId="165" fontId="4" fillId="0" borderId="0" xfId="43" applyNumberFormat="1" applyFont="1" applyAlignment="1" applyProtection="1">
      <alignment horizontal="center"/>
      <protection locked="0"/>
    </xf>
    <xf numFmtId="3" fontId="4" fillId="0" borderId="0" xfId="43" applyNumberFormat="1" applyFont="1" applyAlignment="1">
      <alignment horizontal="right"/>
    </xf>
    <xf numFmtId="165" fontId="4" fillId="0" borderId="0" xfId="43" applyNumberFormat="1" applyFont="1" applyProtection="1">
      <protection locked="0"/>
    </xf>
    <xf numFmtId="168" fontId="4" fillId="0" borderId="0" xfId="43" applyNumberFormat="1" applyFont="1" applyAlignment="1">
      <alignment horizontal="right"/>
    </xf>
    <xf numFmtId="10" fontId="4" fillId="0" borderId="0" xfId="43" applyNumberFormat="1" applyFont="1" applyAlignment="1">
      <alignment horizontal="right"/>
    </xf>
    <xf numFmtId="165" fontId="4" fillId="0" borderId="0" xfId="43" applyNumberFormat="1" applyFont="1" applyAlignment="1" applyProtection="1">
      <alignment horizontal="right"/>
      <protection locked="0"/>
    </xf>
    <xf numFmtId="169" fontId="4" fillId="0" borderId="0" xfId="43" applyNumberFormat="1" applyFont="1" applyProtection="1">
      <protection locked="0"/>
    </xf>
    <xf numFmtId="169" fontId="4" fillId="0" borderId="0" xfId="43" applyNumberFormat="1" applyFont="1" applyAlignment="1" applyProtection="1">
      <alignment horizontal="right"/>
      <protection locked="0"/>
    </xf>
    <xf numFmtId="171" fontId="4" fillId="0" borderId="0" xfId="43" applyNumberFormat="1" applyFont="1" applyAlignment="1">
      <alignment horizontal="center"/>
    </xf>
    <xf numFmtId="173" fontId="4" fillId="0" borderId="0" xfId="43" applyNumberFormat="1" applyFont="1"/>
    <xf numFmtId="167" fontId="4" fillId="0" borderId="0" xfId="43" applyNumberFormat="1" applyFont="1"/>
    <xf numFmtId="166" fontId="4" fillId="0" borderId="0" xfId="43" applyNumberFormat="1" applyFont="1"/>
    <xf numFmtId="42" fontId="4" fillId="0" borderId="0" xfId="43" applyNumberFormat="1" applyFont="1"/>
    <xf numFmtId="0" fontId="4" fillId="3" borderId="0" xfId="43" applyFont="1" applyFill="1" applyProtection="1">
      <protection locked="0"/>
    </xf>
    <xf numFmtId="0" fontId="4" fillId="0" borderId="0" xfId="43" applyFont="1" applyAlignment="1" applyProtection="1">
      <alignment horizontal="right"/>
      <protection locked="0"/>
    </xf>
    <xf numFmtId="164" fontId="6" fillId="0" borderId="0" xfId="33" applyAlignment="1">
      <alignment wrapText="1"/>
    </xf>
    <xf numFmtId="0" fontId="24" fillId="0" borderId="0" xfId="19" applyNumberFormat="1" applyFont="1" applyAlignment="1">
      <alignment wrapText="1"/>
    </xf>
    <xf numFmtId="0" fontId="24" fillId="0" borderId="0" xfId="20" applyNumberFormat="1" applyFont="1" applyAlignment="1">
      <alignment wrapText="1"/>
    </xf>
    <xf numFmtId="175" fontId="6" fillId="12" borderId="0" xfId="27" applyNumberFormat="1" applyFont="1" applyFill="1" applyBorder="1" applyAlignment="1">
      <alignment vertical="top"/>
    </xf>
    <xf numFmtId="175" fontId="6" fillId="0" borderId="0" xfId="27" applyNumberFormat="1" applyFont="1" applyFill="1" applyBorder="1" applyAlignment="1">
      <alignment vertical="top"/>
    </xf>
    <xf numFmtId="0" fontId="6" fillId="4" borderId="0" xfId="20" applyNumberFormat="1" applyFill="1"/>
    <xf numFmtId="0" fontId="6" fillId="0" borderId="0" xfId="24" applyNumberFormat="1" applyAlignment="1">
      <alignment horizontal="center" vertical="top"/>
    </xf>
    <xf numFmtId="3" fontId="3" fillId="0" borderId="5" xfId="27" applyNumberFormat="1" applyFont="1" applyFill="1" applyBorder="1" applyAlignment="1">
      <alignment horizontal="right" vertical="top"/>
    </xf>
    <xf numFmtId="3" fontId="3" fillId="0" borderId="30" xfId="27" applyNumberFormat="1" applyFont="1" applyFill="1" applyBorder="1" applyAlignment="1">
      <alignment horizontal="right" vertical="top"/>
    </xf>
    <xf numFmtId="3" fontId="3" fillId="0" borderId="27" xfId="27" applyNumberFormat="1" applyFont="1" applyFill="1" applyBorder="1" applyAlignment="1">
      <alignment horizontal="right" vertical="top"/>
    </xf>
    <xf numFmtId="3" fontId="3" fillId="0" borderId="3" xfId="27" applyNumberFormat="1" applyFont="1" applyFill="1" applyBorder="1" applyAlignment="1">
      <alignment horizontal="right" vertical="top"/>
    </xf>
    <xf numFmtId="3" fontId="3" fillId="0" borderId="29" xfId="27" applyNumberFormat="1" applyFont="1" applyFill="1" applyBorder="1" applyAlignment="1">
      <alignment horizontal="right" vertical="top"/>
    </xf>
    <xf numFmtId="0" fontId="56" fillId="0" borderId="0" xfId="0" applyFont="1" applyAlignment="1">
      <alignment horizontal="left" wrapText="1" indent="1"/>
    </xf>
    <xf numFmtId="0" fontId="56" fillId="2" borderId="33" xfId="0" applyFont="1" applyFill="1" applyBorder="1" applyAlignment="1" applyProtection="1">
      <alignment horizontal="center" wrapText="1"/>
      <protection locked="0"/>
    </xf>
    <xf numFmtId="0" fontId="56" fillId="2" borderId="34" xfId="0" applyFont="1" applyFill="1" applyBorder="1" applyAlignment="1" applyProtection="1">
      <alignment horizontal="center" wrapText="1"/>
      <protection locked="0"/>
    </xf>
    <xf numFmtId="0" fontId="0" fillId="2" borderId="9" xfId="0" applyFill="1" applyBorder="1" applyProtection="1">
      <protection locked="0"/>
    </xf>
    <xf numFmtId="0" fontId="0" fillId="2" borderId="27" xfId="0" applyFill="1" applyBorder="1" applyProtection="1">
      <protection locked="0"/>
    </xf>
    <xf numFmtId="0" fontId="0" fillId="2" borderId="9" xfId="0" applyFill="1" applyBorder="1" applyAlignment="1">
      <alignment horizontal="center"/>
    </xf>
    <xf numFmtId="0" fontId="0" fillId="2" borderId="27" xfId="0" applyFill="1" applyBorder="1" applyAlignment="1">
      <alignment horizontal="center"/>
    </xf>
    <xf numFmtId="0" fontId="0" fillId="2" borderId="29" xfId="0" applyFill="1" applyBorder="1" applyAlignment="1">
      <alignment horizontal="center"/>
    </xf>
    <xf numFmtId="0" fontId="0" fillId="0" borderId="0" xfId="0" applyProtection="1">
      <protection locked="0"/>
    </xf>
    <xf numFmtId="0" fontId="25" fillId="0" borderId="0" xfId="0" applyFont="1" applyProtection="1">
      <protection locked="0"/>
    </xf>
    <xf numFmtId="0" fontId="32" fillId="0" borderId="32" xfId="25" applyFont="1" applyBorder="1" applyAlignment="1">
      <alignment horizontal="center" vertical="top" wrapText="1"/>
    </xf>
    <xf numFmtId="0" fontId="3" fillId="0" borderId="37" xfId="25" applyBorder="1" applyAlignment="1">
      <alignment horizontal="center" vertical="top" wrapText="1"/>
    </xf>
    <xf numFmtId="0" fontId="32" fillId="0" borderId="38" xfId="25" applyFont="1" applyBorder="1" applyAlignment="1">
      <alignment horizontal="center" vertical="top" wrapText="1"/>
    </xf>
    <xf numFmtId="170" fontId="3" fillId="0" borderId="0" xfId="38" applyNumberFormat="1" applyFont="1" applyFill="1"/>
    <xf numFmtId="170" fontId="3" fillId="0" borderId="0" xfId="38" applyNumberFormat="1" applyFill="1" applyBorder="1"/>
    <xf numFmtId="170" fontId="3" fillId="0" borderId="0" xfId="38" applyNumberFormat="1" applyFill="1"/>
    <xf numFmtId="43" fontId="3" fillId="0" borderId="0" xfId="38" applyFont="1" applyFill="1"/>
    <xf numFmtId="44" fontId="3" fillId="0" borderId="0" xfId="25" applyNumberFormat="1"/>
    <xf numFmtId="170" fontId="3" fillId="0" borderId="19" xfId="38" applyNumberFormat="1" applyFont="1" applyFill="1" applyBorder="1"/>
    <xf numFmtId="43" fontId="14" fillId="0" borderId="3" xfId="38" applyFont="1" applyFill="1" applyBorder="1"/>
    <xf numFmtId="170" fontId="3" fillId="0" borderId="21" xfId="38" applyNumberFormat="1" applyFont="1" applyFill="1" applyBorder="1"/>
    <xf numFmtId="43" fontId="3" fillId="0" borderId="0" xfId="38" applyFill="1"/>
    <xf numFmtId="43" fontId="14" fillId="0" borderId="0" xfId="38" applyFont="1" applyFill="1"/>
    <xf numFmtId="170" fontId="3" fillId="0" borderId="20" xfId="38" applyNumberFormat="1" applyFill="1" applyBorder="1"/>
    <xf numFmtId="170" fontId="38" fillId="0" borderId="0" xfId="38" applyNumberFormat="1" applyFont="1" applyFill="1"/>
    <xf numFmtId="43" fontId="38" fillId="0" borderId="0" xfId="38" applyFont="1" applyFill="1"/>
    <xf numFmtId="170" fontId="39" fillId="0" borderId="0" xfId="38" applyNumberFormat="1" applyFont="1" applyFill="1"/>
    <xf numFmtId="170" fontId="39" fillId="0" borderId="0" xfId="38" applyNumberFormat="1" applyFont="1" applyFill="1" applyBorder="1"/>
    <xf numFmtId="43" fontId="40" fillId="0" borderId="0" xfId="38" applyFont="1" applyFill="1" applyBorder="1"/>
    <xf numFmtId="42" fontId="39" fillId="0" borderId="25" xfId="38" applyNumberFormat="1" applyFont="1" applyFill="1" applyBorder="1"/>
    <xf numFmtId="170" fontId="41" fillId="0" borderId="0" xfId="38" applyNumberFormat="1" applyFont="1" applyFill="1"/>
    <xf numFmtId="43" fontId="41" fillId="0" borderId="0" xfId="38" applyFont="1" applyFill="1"/>
    <xf numFmtId="170" fontId="14" fillId="0" borderId="1" xfId="38" applyNumberFormat="1" applyFont="1" applyFill="1" applyBorder="1" applyAlignment="1">
      <alignment horizontal="center"/>
    </xf>
    <xf numFmtId="188" fontId="3" fillId="0" borderId="5" xfId="7" quotePrefix="1" applyNumberFormat="1" applyFont="1" applyBorder="1" applyAlignment="1">
      <alignment horizontal="left"/>
    </xf>
    <xf numFmtId="3" fontId="3" fillId="0" borderId="13" xfId="25" applyNumberFormat="1" applyBorder="1"/>
    <xf numFmtId="3" fontId="3" fillId="0" borderId="8" xfId="25" applyNumberFormat="1" applyBorder="1"/>
    <xf numFmtId="3" fontId="3" fillId="0" borderId="6" xfId="25" applyNumberFormat="1" applyBorder="1"/>
    <xf numFmtId="3" fontId="3" fillId="0" borderId="39" xfId="27" applyNumberFormat="1" applyFont="1" applyFill="1" applyBorder="1" applyAlignment="1">
      <alignment horizontal="right" vertical="top"/>
    </xf>
    <xf numFmtId="3" fontId="3" fillId="0" borderId="40" xfId="27" applyNumberFormat="1" applyFont="1" applyFill="1" applyBorder="1" applyAlignment="1">
      <alignment horizontal="right" vertical="top"/>
    </xf>
    <xf numFmtId="170" fontId="42" fillId="0" borderId="28" xfId="12" applyNumberFormat="1" applyFont="1" applyBorder="1"/>
    <xf numFmtId="49" fontId="4" fillId="0" borderId="0" xfId="5" applyNumberFormat="1" applyFont="1" applyAlignment="1" applyProtection="1">
      <alignment horizontal="center"/>
      <protection locked="0"/>
    </xf>
    <xf numFmtId="164" fontId="4" fillId="0" borderId="0" xfId="5" applyFont="1" applyAlignment="1" applyProtection="1">
      <alignment horizontal="center"/>
    </xf>
    <xf numFmtId="49" fontId="4" fillId="0" borderId="0" xfId="5" applyNumberFormat="1" applyFont="1" applyAlignment="1" applyProtection="1">
      <alignment horizontal="center"/>
    </xf>
    <xf numFmtId="0" fontId="4" fillId="0" borderId="0" xfId="43" applyFont="1" applyAlignment="1" applyProtection="1">
      <alignment horizontal="left" wrapText="1"/>
      <protection locked="0"/>
    </xf>
    <xf numFmtId="0" fontId="4" fillId="0" borderId="0" xfId="5" applyNumberFormat="1" applyFont="1" applyAlignment="1" applyProtection="1">
      <alignment vertical="top" wrapText="1"/>
      <protection locked="0"/>
    </xf>
    <xf numFmtId="0" fontId="12" fillId="0" borderId="0" xfId="5" applyNumberFormat="1" applyFont="1" applyAlignment="1" applyProtection="1">
      <alignment vertical="top" wrapText="1"/>
      <protection locked="0"/>
    </xf>
    <xf numFmtId="0" fontId="4" fillId="0" borderId="0" xfId="43" quotePrefix="1" applyFont="1" applyAlignment="1" applyProtection="1">
      <alignment horizontal="left" vertical="top" wrapText="1"/>
      <protection locked="0"/>
    </xf>
    <xf numFmtId="0" fontId="4" fillId="0" borderId="0" xfId="43" applyFont="1" applyAlignment="1" applyProtection="1">
      <alignment vertical="top" wrapText="1"/>
      <protection locked="0"/>
    </xf>
    <xf numFmtId="0" fontId="68" fillId="0" borderId="0" xfId="5" applyNumberFormat="1" applyFont="1" applyAlignment="1" applyProtection="1">
      <alignment vertical="top" wrapText="1"/>
      <protection locked="0"/>
    </xf>
    <xf numFmtId="0" fontId="4" fillId="0" borderId="0" xfId="5" quotePrefix="1" applyNumberFormat="1" applyFont="1" applyAlignment="1" applyProtection="1">
      <alignment horizontal="left" vertical="top" wrapText="1"/>
      <protection locked="0"/>
    </xf>
    <xf numFmtId="0" fontId="4" fillId="0" borderId="0" xfId="43" applyFont="1" applyAlignment="1" applyProtection="1">
      <alignment horizontal="left" vertical="top" wrapText="1"/>
      <protection locked="0"/>
    </xf>
    <xf numFmtId="0" fontId="0" fillId="0" borderId="0" xfId="0" applyAlignment="1">
      <alignment horizontal="left" vertical="top" wrapText="1"/>
    </xf>
    <xf numFmtId="164" fontId="6" fillId="0" borderId="0" xfId="19" applyAlignment="1">
      <alignment horizontal="left"/>
    </xf>
    <xf numFmtId="164" fontId="6" fillId="0" borderId="0" xfId="20" applyAlignment="1">
      <alignment horizontal="left" vertical="top" wrapText="1"/>
    </xf>
    <xf numFmtId="164" fontId="6" fillId="0" borderId="0" xfId="19" applyAlignment="1">
      <alignment horizontal="left" vertical="top" wrapText="1"/>
    </xf>
    <xf numFmtId="164" fontId="6" fillId="0" borderId="0" xfId="19" applyAlignment="1">
      <alignment horizontal="left" wrapText="1"/>
    </xf>
    <xf numFmtId="164" fontId="23" fillId="0" borderId="11" xfId="24" applyFont="1" applyBorder="1" applyAlignment="1">
      <alignment horizontal="center"/>
    </xf>
    <xf numFmtId="3" fontId="16" fillId="0" borderId="11" xfId="24" applyNumberFormat="1" applyFont="1" applyBorder="1" applyAlignment="1">
      <alignment horizontal="center"/>
    </xf>
    <xf numFmtId="164" fontId="16" fillId="0" borderId="11" xfId="24" applyFont="1" applyBorder="1" applyAlignment="1">
      <alignment horizontal="center"/>
    </xf>
    <xf numFmtId="164" fontId="6" fillId="0" borderId="0" xfId="20" applyAlignment="1">
      <alignment horizontal="left"/>
    </xf>
    <xf numFmtId="3" fontId="24" fillId="0" borderId="0" xfId="20" applyNumberFormat="1" applyFont="1" applyAlignment="1">
      <alignment horizontal="center" wrapText="1"/>
    </xf>
    <xf numFmtId="164" fontId="6" fillId="0" borderId="0" xfId="20" applyAlignment="1">
      <alignment horizontal="left" wrapText="1"/>
    </xf>
    <xf numFmtId="0" fontId="62" fillId="0" borderId="0" xfId="0" applyFont="1" applyAlignment="1">
      <alignment horizontal="center"/>
    </xf>
    <xf numFmtId="0" fontId="2" fillId="0" borderId="3" xfId="0" applyFont="1" applyBorder="1" applyAlignment="1">
      <alignment horizontal="center"/>
    </xf>
    <xf numFmtId="0" fontId="25" fillId="0" borderId="0" xfId="0" applyFont="1" applyAlignment="1">
      <alignment horizontal="left" vertical="top" wrapText="1" indent="1"/>
    </xf>
    <xf numFmtId="0" fontId="25" fillId="0" borderId="0" xfId="0" quotePrefix="1" applyFont="1" applyAlignment="1">
      <alignment horizontal="left" wrapText="1" indent="1"/>
    </xf>
    <xf numFmtId="0" fontId="25" fillId="0" borderId="0" xfId="0" applyFont="1" applyAlignment="1" applyProtection="1">
      <alignment horizontal="left" vertical="top" wrapText="1" indent="1"/>
      <protection locked="0"/>
    </xf>
    <xf numFmtId="0" fontId="56" fillId="0" borderId="0" xfId="0" applyFont="1" applyAlignment="1">
      <alignment horizontal="left" wrapText="1" indent="1"/>
    </xf>
    <xf numFmtId="0" fontId="2" fillId="2" borderId="35" xfId="0" applyFont="1" applyFill="1" applyBorder="1" applyAlignment="1" applyProtection="1">
      <alignment horizontal="center"/>
      <protection locked="0"/>
    </xf>
    <xf numFmtId="0" fontId="2" fillId="2" borderId="36" xfId="0" applyFont="1" applyFill="1" applyBorder="1" applyAlignment="1" applyProtection="1">
      <alignment horizontal="center"/>
      <protection locked="0"/>
    </xf>
    <xf numFmtId="0" fontId="14" fillId="0" borderId="0" xfId="25" applyFont="1" applyAlignment="1">
      <alignment horizontal="center"/>
    </xf>
    <xf numFmtId="43" fontId="3" fillId="0" borderId="24" xfId="38" applyFont="1" applyFill="1" applyBorder="1" applyAlignment="1">
      <alignment horizontal="center"/>
    </xf>
    <xf numFmtId="43" fontId="3" fillId="0" borderId="23" xfId="38" applyFont="1" applyFill="1" applyBorder="1" applyAlignment="1">
      <alignment horizontal="center"/>
    </xf>
    <xf numFmtId="0" fontId="3" fillId="0" borderId="1" xfId="25" applyBorder="1" applyAlignment="1">
      <alignment horizontal="center"/>
    </xf>
    <xf numFmtId="170" fontId="3" fillId="0" borderId="24" xfId="38" applyNumberFormat="1" applyFont="1" applyFill="1" applyBorder="1" applyAlignment="1">
      <alignment horizontal="center"/>
    </xf>
    <xf numFmtId="170" fontId="3" fillId="0" borderId="23" xfId="38" applyNumberFormat="1" applyFont="1" applyFill="1" applyBorder="1" applyAlignment="1">
      <alignment horizontal="center"/>
    </xf>
    <xf numFmtId="0" fontId="3" fillId="0" borderId="0" xfId="25" applyAlignment="1">
      <alignment vertical="top" wrapText="1"/>
    </xf>
    <xf numFmtId="0" fontId="44" fillId="0" borderId="0" xfId="30" applyAlignment="1">
      <alignment vertical="top" wrapText="1"/>
    </xf>
    <xf numFmtId="0" fontId="44" fillId="0" borderId="0" xfId="30" applyAlignment="1">
      <alignment horizontal="left" vertical="top" wrapText="1"/>
    </xf>
    <xf numFmtId="170" fontId="1" fillId="0" borderId="5" xfId="1" applyNumberFormat="1" applyFont="1" applyBorder="1"/>
    <xf numFmtId="170" fontId="1" fillId="0" borderId="5" xfId="13" applyNumberFormat="1" applyFont="1" applyBorder="1"/>
    <xf numFmtId="174" fontId="4" fillId="5" borderId="0" xfId="5" applyNumberFormat="1" applyFont="1" applyFill="1" applyProtection="1">
      <protection locked="0"/>
    </xf>
    <xf numFmtId="168" fontId="68" fillId="5" borderId="0" xfId="5" applyNumberFormat="1" applyFont="1" applyFill="1" applyProtection="1"/>
    <xf numFmtId="0" fontId="4" fillId="0" borderId="39" xfId="43" applyFont="1" applyBorder="1" applyProtection="1">
      <protection locked="0"/>
    </xf>
    <xf numFmtId="0" fontId="4" fillId="0" borderId="5" xfId="43" applyFont="1" applyBorder="1" applyProtection="1">
      <protection locked="0"/>
    </xf>
    <xf numFmtId="0" fontId="4" fillId="0" borderId="41" xfId="43" applyFont="1" applyBorder="1" applyProtection="1">
      <protection locked="0"/>
    </xf>
    <xf numFmtId="0" fontId="4" fillId="0" borderId="0" xfId="43" applyFont="1" applyBorder="1" applyProtection="1">
      <protection locked="0"/>
    </xf>
    <xf numFmtId="10" fontId="4" fillId="5" borderId="0" xfId="5" applyNumberFormat="1" applyFont="1" applyFill="1" applyProtection="1">
      <protection locked="0"/>
    </xf>
  </cellXfs>
  <cellStyles count="44">
    <cellStyle name="Accent5" xfId="31" builtinId="45"/>
    <cellStyle name="Comma" xfId="1" builtinId="3"/>
    <cellStyle name="Comma 2" xfId="21" xr:uid="{00000000-0005-0000-0000-000002000000}"/>
    <cellStyle name="Comma 2 2" xfId="38" xr:uid="{00000000-0005-0000-0000-000003000000}"/>
    <cellStyle name="Comma 21 2" xfId="11" xr:uid="{00000000-0005-0000-0000-000004000000}"/>
    <cellStyle name="Comma 21 3" xfId="41" xr:uid="{1CCBB944-36F3-4EB1-814A-596F6C8658F1}"/>
    <cellStyle name="Currency 10" xfId="13" xr:uid="{00000000-0005-0000-0000-000005000000}"/>
    <cellStyle name="Currency 10 2" xfId="27" xr:uid="{00000000-0005-0000-0000-000006000000}"/>
    <cellStyle name="Currency 2" xfId="22" xr:uid="{00000000-0005-0000-0000-000007000000}"/>
    <cellStyle name="Normal" xfId="0" builtinId="0"/>
    <cellStyle name="Normal 2" xfId="3" xr:uid="{00000000-0005-0000-0000-000009000000}"/>
    <cellStyle name="Normal 2 3" xfId="30" xr:uid="{00000000-0005-0000-0000-00000A000000}"/>
    <cellStyle name="Normal 2_Trial Bal Download" xfId="6" xr:uid="{00000000-0005-0000-0000-00000B000000}"/>
    <cellStyle name="Normal 20" xfId="19" xr:uid="{00000000-0005-0000-0000-00000C000000}"/>
    <cellStyle name="Normal 22 2" xfId="29" xr:uid="{00000000-0005-0000-0000-00000D000000}"/>
    <cellStyle name="Normal 23" xfId="17" xr:uid="{00000000-0005-0000-0000-00000E000000}"/>
    <cellStyle name="Normal 27 2" xfId="36" xr:uid="{00000000-0005-0000-0000-00000F000000}"/>
    <cellStyle name="Normal 28 2" xfId="10" xr:uid="{00000000-0005-0000-0000-000010000000}"/>
    <cellStyle name="Normal 3" xfId="14" xr:uid="{00000000-0005-0000-0000-000011000000}"/>
    <cellStyle name="Normal 3 2" xfId="25" xr:uid="{00000000-0005-0000-0000-000012000000}"/>
    <cellStyle name="Normal 3_Attach O, GG, Support -New Method 2-14-11" xfId="4" xr:uid="{00000000-0005-0000-0000-000013000000}"/>
    <cellStyle name="Normal 4" xfId="39" xr:uid="{E3C718EF-6246-418A-98F3-D391E6CA0C94}"/>
    <cellStyle name="Normal 5" xfId="12" xr:uid="{00000000-0005-0000-0000-000014000000}"/>
    <cellStyle name="Normal 5 2" xfId="18" xr:uid="{00000000-0005-0000-0000-000015000000}"/>
    <cellStyle name="Normal 6" xfId="40" xr:uid="{F8D904F5-72F3-4C29-AA5F-74F2B48B4D84}"/>
    <cellStyle name="Normal 6 2 2" xfId="34" xr:uid="{00000000-0005-0000-0000-000016000000}"/>
    <cellStyle name="Normal 6 2 2 2" xfId="37" xr:uid="{00000000-0005-0000-0000-000017000000}"/>
    <cellStyle name="Normal 6 3 2" xfId="35" xr:uid="{00000000-0005-0000-0000-000018000000}"/>
    <cellStyle name="Normal 7" xfId="20" xr:uid="{00000000-0005-0000-0000-000019000000}"/>
    <cellStyle name="Normal 8" xfId="42" xr:uid="{E90DB7E0-BA88-44BA-AD9B-743626D85488}"/>
    <cellStyle name="Normal 8 2" xfId="43" xr:uid="{806AFB84-9FC3-45ED-9626-BE6B9A91254F}"/>
    <cellStyle name="Normal_ATC Projected 2008 Monthly Plant Balances for Attachment O 2 (2)" xfId="8" xr:uid="{00000000-0005-0000-0000-00001A000000}"/>
    <cellStyle name="Normal_Attachment GG (2)" xfId="9" xr:uid="{00000000-0005-0000-0000-00001B000000}"/>
    <cellStyle name="Normal_Attachment GG Example 8 26 09" xfId="32" xr:uid="{00000000-0005-0000-0000-00001C000000}"/>
    <cellStyle name="Normal_Attachment GG Template ER09-1657" xfId="33" xr:uid="{00000000-0005-0000-0000-00001D000000}"/>
    <cellStyle name="Normal_Attachment GG Template ER11-28 11-18-10" xfId="24" xr:uid="{00000000-0005-0000-0000-00001E000000}"/>
    <cellStyle name="Normal_Attachment Os for 2002 True-up" xfId="5" xr:uid="{00000000-0005-0000-0000-00001F000000}"/>
    <cellStyle name="Normal_Schedule O Info for Mike" xfId="7" xr:uid="{00000000-0005-0000-0000-000020000000}"/>
    <cellStyle name="Normal_Schedule O Info for Mike 2" xfId="16" xr:uid="{00000000-0005-0000-0000-000021000000}"/>
    <cellStyle name="Normal_Sheet1" xfId="28" xr:uid="{00000000-0005-0000-0000-000022000000}"/>
    <cellStyle name="Normal_Sheet3" xfId="26" xr:uid="{00000000-0005-0000-0000-000023000000}"/>
    <cellStyle name="Percent" xfId="2" builtinId="5"/>
    <cellStyle name="Percent 2" xfId="15" xr:uid="{00000000-0005-0000-0000-000025000000}"/>
    <cellStyle name="Percent 3" xfId="23" xr:uid="{00000000-0005-0000-0000-000026000000}"/>
  </cellStyles>
  <dxfs count="7">
    <dxf>
      <fill>
        <patternFill patternType="mediumGray">
          <f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90" formatCode="0.0"/>
    </dxf>
    <dxf>
      <numFmt numFmtId="1" formatCode="0"/>
    </dxf>
  </dxfs>
  <tableStyles count="0" defaultTableStyle="TableStyleMedium2" defaultPivotStyle="PivotStyleLight16"/>
  <colors>
    <mruColors>
      <color rgb="FFFFFF99"/>
      <color rgb="FF0000CC"/>
      <color rgb="FF00FFFF"/>
      <color rgb="FF3366CC"/>
      <color rgb="FFCC99FF"/>
      <color rgb="FFCCFF33"/>
      <color rgb="FF6666FF"/>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3847-D954-40D6-959C-69222C66B7C4}">
  <sheetPr>
    <tabColor rgb="FF00FFFF"/>
  </sheetPr>
  <dimension ref="A1:Q341"/>
  <sheetViews>
    <sheetView showGridLines="0" topLeftCell="A199" zoomScale="96" zoomScaleNormal="96" workbookViewId="0">
      <selection activeCell="B315" sqref="B315:K315"/>
    </sheetView>
  </sheetViews>
  <sheetFormatPr defaultRowHeight="15"/>
  <cols>
    <col min="1" max="1" width="5.7109375" customWidth="1"/>
    <col min="2" max="2" width="47.5703125" customWidth="1"/>
    <col min="3" max="3" width="42.5703125" customWidth="1"/>
    <col min="4" max="4" width="16.28515625" customWidth="1"/>
    <col min="5" max="5" width="5.7109375" customWidth="1"/>
    <col min="6" max="6" width="7.28515625" customWidth="1"/>
    <col min="7" max="7" width="15.7109375" customWidth="1"/>
    <col min="8" max="8" width="5.7109375" customWidth="1"/>
    <col min="9" max="9" width="18" customWidth="1"/>
    <col min="10" max="10" width="2.5703125" customWidth="1"/>
    <col min="11" max="11" width="11.42578125" customWidth="1"/>
    <col min="12" max="12" width="20.5703125" customWidth="1"/>
    <col min="13" max="13" width="28.5703125" customWidth="1"/>
    <col min="15" max="15" width="12.42578125" customWidth="1"/>
    <col min="16" max="16" width="13.5703125" customWidth="1"/>
  </cols>
  <sheetData>
    <row r="1" spans="1:11" ht="15.75">
      <c r="A1" s="759"/>
      <c r="B1" s="759"/>
      <c r="C1" s="759"/>
      <c r="D1" s="759"/>
      <c r="E1" s="759"/>
      <c r="F1" s="759"/>
      <c r="G1" s="759"/>
      <c r="H1" s="759"/>
      <c r="I1" s="759"/>
      <c r="J1" s="759"/>
      <c r="K1" s="796" t="s">
        <v>0</v>
      </c>
    </row>
    <row r="2" spans="1:11" ht="15.75">
      <c r="A2" s="759"/>
      <c r="B2" s="759"/>
      <c r="C2" s="759"/>
      <c r="D2" s="759"/>
      <c r="E2" s="759"/>
      <c r="F2" s="759"/>
      <c r="G2" s="759"/>
      <c r="H2" s="759"/>
      <c r="I2" s="759"/>
      <c r="J2" s="759"/>
      <c r="K2" s="759"/>
    </row>
    <row r="3" spans="1:11" ht="15.75">
      <c r="A3" s="723"/>
      <c r="B3" s="4" t="s">
        <v>1</v>
      </c>
      <c r="C3" s="4"/>
      <c r="D3" s="1" t="s">
        <v>2</v>
      </c>
      <c r="E3" s="4"/>
      <c r="F3" s="4"/>
      <c r="G3" s="2"/>
      <c r="H3" s="2"/>
      <c r="I3" s="795"/>
      <c r="J3" s="2"/>
      <c r="K3" s="755" t="s">
        <v>1230</v>
      </c>
    </row>
    <row r="4" spans="1:11" ht="15.75">
      <c r="A4" s="723"/>
      <c r="B4" s="4"/>
      <c r="C4" s="603" t="s">
        <v>3</v>
      </c>
      <c r="D4" s="603" t="s">
        <v>4</v>
      </c>
      <c r="E4" s="603"/>
      <c r="F4" s="603"/>
      <c r="G4" s="603"/>
      <c r="H4" s="4"/>
      <c r="I4" s="4"/>
      <c r="J4" s="4"/>
      <c r="K4" s="4"/>
    </row>
    <row r="5" spans="1:11" ht="15.75">
      <c r="A5" s="723"/>
      <c r="B5" s="4"/>
      <c r="C5" s="4"/>
      <c r="D5" s="4"/>
      <c r="E5" s="4"/>
      <c r="F5" s="4"/>
      <c r="G5" s="4"/>
      <c r="H5" s="4"/>
      <c r="I5" s="4"/>
      <c r="J5" s="4"/>
      <c r="K5" s="4"/>
    </row>
    <row r="6" spans="1:11" ht="15.75">
      <c r="A6" s="849" t="s">
        <v>5</v>
      </c>
      <c r="B6" s="849"/>
      <c r="C6" s="849"/>
      <c r="D6" s="849"/>
      <c r="E6" s="849"/>
      <c r="F6" s="849"/>
      <c r="G6" s="849"/>
      <c r="H6" s="849"/>
      <c r="I6" s="849"/>
      <c r="J6" s="849"/>
      <c r="K6" s="849"/>
    </row>
    <row r="7" spans="1:11" ht="15.75">
      <c r="A7" s="5"/>
      <c r="B7" s="609" t="s">
        <v>6</v>
      </c>
      <c r="C7" s="4"/>
      <c r="D7" s="758"/>
      <c r="E7" s="4"/>
      <c r="F7" s="4"/>
      <c r="G7" s="4"/>
      <c r="H7" s="4"/>
      <c r="I7" s="4"/>
      <c r="J7" s="4"/>
      <c r="K7" s="4"/>
    </row>
    <row r="8" spans="1:11" ht="15.75">
      <c r="A8" s="5"/>
      <c r="B8" s="609" t="s">
        <v>7</v>
      </c>
      <c r="C8" s="4"/>
      <c r="D8" s="608"/>
      <c r="E8" s="4"/>
      <c r="F8" s="4"/>
      <c r="G8" s="4"/>
      <c r="H8" s="4"/>
      <c r="I8" s="4"/>
      <c r="J8" s="4"/>
      <c r="K8" s="4"/>
    </row>
    <row r="9" spans="1:11" ht="15.75">
      <c r="A9" s="5" t="s">
        <v>8</v>
      </c>
      <c r="B9" s="4"/>
      <c r="C9" s="4"/>
      <c r="D9" s="608"/>
      <c r="E9" s="4"/>
      <c r="F9" s="4"/>
      <c r="G9" s="4"/>
      <c r="H9" s="4"/>
      <c r="I9" s="5" t="s">
        <v>9</v>
      </c>
      <c r="J9" s="4"/>
      <c r="K9" s="4"/>
    </row>
    <row r="10" spans="1:11" ht="16.5" thickBot="1">
      <c r="A10" s="6" t="s">
        <v>10</v>
      </c>
      <c r="B10" s="4"/>
      <c r="C10" s="4"/>
      <c r="D10" s="4"/>
      <c r="E10" s="4"/>
      <c r="F10" s="4"/>
      <c r="G10" s="4"/>
      <c r="H10" s="4"/>
      <c r="I10" s="6" t="s">
        <v>11</v>
      </c>
      <c r="J10" s="4"/>
      <c r="K10" s="4"/>
    </row>
    <row r="11" spans="1:11" ht="15.75">
      <c r="A11" s="5">
        <v>1</v>
      </c>
      <c r="B11" s="4" t="s">
        <v>12</v>
      </c>
      <c r="C11" s="4"/>
      <c r="D11" s="603"/>
      <c r="E11" s="4"/>
      <c r="F11" s="4"/>
      <c r="G11" s="4"/>
      <c r="H11" s="4"/>
      <c r="I11" s="794">
        <f>+I215</f>
        <v>793775410.60669088</v>
      </c>
      <c r="J11" s="4"/>
      <c r="K11" s="4"/>
    </row>
    <row r="12" spans="1:11" ht="15.75">
      <c r="A12" s="5"/>
      <c r="B12" s="4"/>
      <c r="C12" s="4"/>
      <c r="D12" s="4"/>
      <c r="E12" s="4"/>
      <c r="F12" s="4"/>
      <c r="G12" s="4"/>
      <c r="H12" s="4"/>
      <c r="I12" s="603"/>
      <c r="J12" s="4"/>
      <c r="K12" s="4"/>
    </row>
    <row r="13" spans="1:11" ht="16.5" thickBot="1">
      <c r="A13" s="5" t="s">
        <v>3</v>
      </c>
      <c r="B13" s="4" t="s">
        <v>13</v>
      </c>
      <c r="C13" s="603" t="s">
        <v>14</v>
      </c>
      <c r="D13" s="6" t="s">
        <v>15</v>
      </c>
      <c r="E13" s="603"/>
      <c r="F13" s="7" t="s">
        <v>16</v>
      </c>
      <c r="G13" s="7"/>
      <c r="H13" s="4"/>
      <c r="I13" s="603"/>
      <c r="J13" s="4"/>
      <c r="K13" s="4"/>
    </row>
    <row r="14" spans="1:11" ht="15.75">
      <c r="A14" s="5">
        <v>2</v>
      </c>
      <c r="B14" s="4" t="s">
        <v>17</v>
      </c>
      <c r="C14" s="603" t="s">
        <v>18</v>
      </c>
      <c r="D14" s="604">
        <f>I284</f>
        <v>1600000</v>
      </c>
      <c r="E14" s="603"/>
      <c r="F14" s="603" t="s">
        <v>19</v>
      </c>
      <c r="G14" s="771">
        <f>I235</f>
        <v>1</v>
      </c>
      <c r="H14" s="774"/>
      <c r="I14" s="770">
        <f>+G14*D14</f>
        <v>1600000</v>
      </c>
      <c r="J14" s="4"/>
      <c r="K14" s="4"/>
    </row>
    <row r="15" spans="1:11" ht="15.75">
      <c r="A15" s="5">
        <v>3</v>
      </c>
      <c r="B15" s="4" t="s">
        <v>20</v>
      </c>
      <c r="C15" s="603" t="s">
        <v>21</v>
      </c>
      <c r="D15" s="604">
        <f>I291</f>
        <v>10000000</v>
      </c>
      <c r="E15" s="603"/>
      <c r="F15" s="603" t="s">
        <v>19</v>
      </c>
      <c r="G15" s="771">
        <f>+G14</f>
        <v>1</v>
      </c>
      <c r="H15" s="774"/>
      <c r="I15" s="770">
        <f>+G15*D15</f>
        <v>10000000</v>
      </c>
      <c r="J15" s="4"/>
      <c r="K15" s="4"/>
    </row>
    <row r="16" spans="1:11" ht="15.75">
      <c r="A16" s="5">
        <v>4</v>
      </c>
      <c r="B16" s="603" t="s">
        <v>22</v>
      </c>
      <c r="C16" s="603"/>
      <c r="D16" s="606">
        <v>0</v>
      </c>
      <c r="E16" s="603"/>
      <c r="F16" s="603" t="s">
        <v>19</v>
      </c>
      <c r="G16" s="771">
        <f>+G15</f>
        <v>1</v>
      </c>
      <c r="H16" s="774"/>
      <c r="I16" s="770">
        <f>+G16*D16</f>
        <v>0</v>
      </c>
      <c r="J16" s="4"/>
      <c r="K16" s="4"/>
    </row>
    <row r="17" spans="1:11" ht="16.5" thickBot="1">
      <c r="A17" s="5">
        <v>5</v>
      </c>
      <c r="B17" s="603" t="s">
        <v>23</v>
      </c>
      <c r="C17" s="603"/>
      <c r="D17" s="606">
        <v>0</v>
      </c>
      <c r="E17" s="603"/>
      <c r="F17" s="603" t="s">
        <v>19</v>
      </c>
      <c r="G17" s="771">
        <f>+G16</f>
        <v>1</v>
      </c>
      <c r="H17" s="774"/>
      <c r="I17" s="775">
        <f>+G17*D17</f>
        <v>0</v>
      </c>
      <c r="J17" s="4"/>
      <c r="K17" s="4"/>
    </row>
    <row r="18" spans="1:11" ht="15.75">
      <c r="A18" s="5">
        <v>6</v>
      </c>
      <c r="B18" s="4" t="s">
        <v>24</v>
      </c>
      <c r="C18" s="4"/>
      <c r="D18" s="596" t="s">
        <v>3</v>
      </c>
      <c r="E18" s="603"/>
      <c r="F18" s="603"/>
      <c r="G18" s="784"/>
      <c r="H18" s="774"/>
      <c r="I18" s="770">
        <f>SUM(I14:I17)</f>
        <v>11600000</v>
      </c>
      <c r="J18" s="4"/>
      <c r="K18" s="4"/>
    </row>
    <row r="19" spans="1:11" ht="15.75">
      <c r="A19" s="5"/>
      <c r="B19" s="723"/>
      <c r="C19" s="4"/>
      <c r="D19" s="603" t="s">
        <v>3</v>
      </c>
      <c r="E19" s="4"/>
      <c r="F19" s="4"/>
      <c r="G19" s="746"/>
      <c r="H19" s="4"/>
      <c r="I19" s="723"/>
      <c r="J19" s="4"/>
      <c r="K19" s="4"/>
    </row>
    <row r="20" spans="1:11" ht="16.5" thickBot="1">
      <c r="A20" s="5">
        <v>7</v>
      </c>
      <c r="B20" s="4" t="s">
        <v>25</v>
      </c>
      <c r="C20" s="4" t="s">
        <v>26</v>
      </c>
      <c r="D20" s="596" t="s">
        <v>3</v>
      </c>
      <c r="E20" s="603"/>
      <c r="F20" s="603"/>
      <c r="G20" s="603"/>
      <c r="H20" s="603"/>
      <c r="I20" s="607">
        <f>I11-I18</f>
        <v>782175410.60669088</v>
      </c>
      <c r="J20" s="4"/>
      <c r="K20" s="4"/>
    </row>
    <row r="21" spans="1:11" ht="16.5" thickTop="1">
      <c r="A21" s="5"/>
      <c r="B21" s="723"/>
      <c r="C21" s="4"/>
      <c r="D21" s="596"/>
      <c r="E21" s="603"/>
      <c r="F21" s="603"/>
      <c r="G21" s="603"/>
      <c r="H21" s="603"/>
      <c r="I21" s="723"/>
      <c r="J21" s="4"/>
      <c r="K21" s="4"/>
    </row>
    <row r="22" spans="1:11" ht="15.75">
      <c r="A22" s="5"/>
      <c r="B22" s="4" t="s">
        <v>27</v>
      </c>
      <c r="C22" s="4"/>
      <c r="D22" s="603"/>
      <c r="E22" s="4"/>
      <c r="F22" s="4"/>
      <c r="G22" s="4"/>
      <c r="H22" s="4"/>
      <c r="I22" s="603"/>
      <c r="J22" s="4"/>
      <c r="K22" s="4"/>
    </row>
    <row r="23" spans="1:11" ht="15.75">
      <c r="A23" s="5">
        <v>8</v>
      </c>
      <c r="B23" s="4" t="s">
        <v>28</v>
      </c>
      <c r="C23" s="723"/>
      <c r="D23" s="603"/>
      <c r="E23" s="4"/>
      <c r="F23" s="4"/>
      <c r="G23" s="4" t="s">
        <v>29</v>
      </c>
      <c r="H23" s="4"/>
      <c r="I23" s="606">
        <f>'Sch 9'!H207</f>
        <v>9749470.8462614734</v>
      </c>
      <c r="J23" s="4"/>
      <c r="K23" s="4"/>
    </row>
    <row r="24" spans="1:11" ht="15.75">
      <c r="A24" s="5">
        <v>9</v>
      </c>
      <c r="B24" s="4" t="s">
        <v>30</v>
      </c>
      <c r="C24" s="603"/>
      <c r="D24" s="603"/>
      <c r="E24" s="603"/>
      <c r="F24" s="603"/>
      <c r="G24" s="603" t="s">
        <v>31</v>
      </c>
      <c r="H24" s="603"/>
      <c r="I24" s="606">
        <v>0</v>
      </c>
      <c r="J24" s="4"/>
      <c r="K24" s="4"/>
    </row>
    <row r="25" spans="1:11" ht="15.75">
      <c r="A25" s="5">
        <v>10</v>
      </c>
      <c r="B25" s="603" t="s">
        <v>32</v>
      </c>
      <c r="C25" s="4"/>
      <c r="D25" s="4"/>
      <c r="E25" s="4"/>
      <c r="F25" s="723"/>
      <c r="G25" s="4" t="s">
        <v>33</v>
      </c>
      <c r="H25" s="4"/>
      <c r="I25" s="606">
        <v>0</v>
      </c>
      <c r="J25" s="4"/>
      <c r="K25" s="4"/>
    </row>
    <row r="26" spans="1:11" ht="15.75">
      <c r="A26" s="5">
        <v>11</v>
      </c>
      <c r="B26" s="4" t="s">
        <v>34</v>
      </c>
      <c r="C26" s="4"/>
      <c r="D26" s="4"/>
      <c r="E26" s="4"/>
      <c r="F26" s="723"/>
      <c r="G26" s="4" t="s">
        <v>35</v>
      </c>
      <c r="H26" s="4"/>
      <c r="I26" s="606">
        <v>0</v>
      </c>
      <c r="J26" s="4"/>
      <c r="K26" s="4"/>
    </row>
    <row r="27" spans="1:11" ht="15.75">
      <c r="A27" s="5">
        <v>12</v>
      </c>
      <c r="B27" s="603" t="s">
        <v>36</v>
      </c>
      <c r="C27" s="4"/>
      <c r="D27" s="4"/>
      <c r="E27" s="4"/>
      <c r="F27" s="4"/>
      <c r="G27" s="4"/>
      <c r="H27" s="4"/>
      <c r="I27" s="606">
        <v>0</v>
      </c>
      <c r="J27" s="4"/>
      <c r="K27" s="4"/>
    </row>
    <row r="28" spans="1:11" ht="15.75">
      <c r="A28" s="5">
        <v>13</v>
      </c>
      <c r="B28" s="603" t="s">
        <v>37</v>
      </c>
      <c r="C28" s="4"/>
      <c r="D28" s="4"/>
      <c r="E28" s="4"/>
      <c r="F28" s="4"/>
      <c r="G28" s="4"/>
      <c r="H28" s="4"/>
      <c r="I28" s="606">
        <v>0</v>
      </c>
      <c r="J28" s="4"/>
      <c r="K28" s="4"/>
    </row>
    <row r="29" spans="1:11" ht="16.5" thickBot="1">
      <c r="A29" s="5">
        <v>14</v>
      </c>
      <c r="B29" s="603" t="s">
        <v>38</v>
      </c>
      <c r="C29" s="4"/>
      <c r="D29" s="4"/>
      <c r="E29" s="4"/>
      <c r="F29" s="4"/>
      <c r="G29" s="4"/>
      <c r="H29" s="4"/>
      <c r="I29" s="605">
        <v>0</v>
      </c>
      <c r="J29" s="4"/>
      <c r="K29" s="4"/>
    </row>
    <row r="30" spans="1:11" ht="15.75">
      <c r="A30" s="5">
        <v>15</v>
      </c>
      <c r="B30" s="4" t="s">
        <v>39</v>
      </c>
      <c r="C30" s="4"/>
      <c r="D30" s="4"/>
      <c r="E30" s="4"/>
      <c r="F30" s="4"/>
      <c r="G30" s="4"/>
      <c r="H30" s="4"/>
      <c r="I30" s="604">
        <f>SUM(I23:I29)</f>
        <v>9749470.8462614734</v>
      </c>
      <c r="J30" s="4"/>
      <c r="K30" s="4"/>
    </row>
    <row r="31" spans="1:11" ht="15.75">
      <c r="A31" s="5"/>
      <c r="B31" s="4"/>
      <c r="C31" s="4"/>
      <c r="D31" s="4"/>
      <c r="E31" s="4"/>
      <c r="F31" s="4"/>
      <c r="G31" s="4"/>
      <c r="H31" s="4"/>
      <c r="I31" s="603"/>
      <c r="J31" s="4"/>
      <c r="K31" s="4"/>
    </row>
    <row r="32" spans="1:11" ht="15.75">
      <c r="A32" s="5">
        <v>16</v>
      </c>
      <c r="B32" s="4" t="s">
        <v>40</v>
      </c>
      <c r="C32" s="4" t="s">
        <v>41</v>
      </c>
      <c r="D32" s="793">
        <f>IF(I30&gt;0,I20/I30,0)</f>
        <v>80.227473156312215</v>
      </c>
      <c r="E32" s="4"/>
      <c r="F32" s="4"/>
      <c r="G32" s="4"/>
      <c r="H32" s="4"/>
      <c r="I32" s="723"/>
      <c r="J32" s="4"/>
      <c r="K32" s="4"/>
    </row>
    <row r="33" spans="1:11" ht="15.75">
      <c r="A33" s="5">
        <v>17</v>
      </c>
      <c r="B33" s="4" t="s">
        <v>42</v>
      </c>
      <c r="C33" s="4" t="s">
        <v>43</v>
      </c>
      <c r="D33" s="793">
        <f>+D32/12</f>
        <v>6.6856227630260179</v>
      </c>
      <c r="E33" s="4"/>
      <c r="F33" s="4"/>
      <c r="G33" s="4"/>
      <c r="H33" s="4"/>
      <c r="I33" s="723"/>
      <c r="J33" s="4"/>
      <c r="K33" s="4"/>
    </row>
    <row r="34" spans="1:11" ht="15.75">
      <c r="A34" s="5"/>
      <c r="B34" s="4"/>
      <c r="C34" s="4"/>
      <c r="D34" s="15"/>
      <c r="E34" s="4"/>
      <c r="F34" s="4"/>
      <c r="G34" s="4"/>
      <c r="H34" s="4"/>
      <c r="I34" s="723"/>
      <c r="J34" s="4"/>
      <c r="K34" s="4"/>
    </row>
    <row r="35" spans="1:11" ht="15.75">
      <c r="A35" s="5"/>
      <c r="B35" s="4"/>
      <c r="C35" s="4"/>
      <c r="D35" s="602" t="s">
        <v>44</v>
      </c>
      <c r="E35" s="4"/>
      <c r="F35" s="4"/>
      <c r="G35" s="4"/>
      <c r="H35" s="4"/>
      <c r="I35" s="601" t="s">
        <v>45</v>
      </c>
      <c r="J35" s="4"/>
      <c r="K35" s="4"/>
    </row>
    <row r="36" spans="1:11" ht="15.75">
      <c r="A36" s="5">
        <v>18</v>
      </c>
      <c r="B36" s="4" t="s">
        <v>46</v>
      </c>
      <c r="C36" s="1" t="s">
        <v>47</v>
      </c>
      <c r="D36" s="793">
        <f>+D32/52</f>
        <v>1.5428360222367734</v>
      </c>
      <c r="E36" s="4"/>
      <c r="F36" s="4"/>
      <c r="G36" s="4"/>
      <c r="H36" s="4"/>
      <c r="I36" s="792">
        <f>+D32/52</f>
        <v>1.5428360222367734</v>
      </c>
      <c r="J36" s="4"/>
      <c r="K36" s="4"/>
    </row>
    <row r="37" spans="1:11" ht="15.75">
      <c r="A37" s="5">
        <v>19</v>
      </c>
      <c r="B37" s="4" t="s">
        <v>48</v>
      </c>
      <c r="C37" s="1" t="s">
        <v>49</v>
      </c>
      <c r="D37" s="793">
        <f>+D36/5</f>
        <v>0.30856720444735469</v>
      </c>
      <c r="E37" s="4" t="s">
        <v>50</v>
      </c>
      <c r="F37" s="723"/>
      <c r="G37" s="4"/>
      <c r="H37" s="4"/>
      <c r="I37" s="792">
        <f>+D32/365</f>
        <v>0.2198012963186636</v>
      </c>
      <c r="J37" s="4"/>
      <c r="K37" s="4"/>
    </row>
    <row r="38" spans="1:11" ht="15.75">
      <c r="A38" s="5">
        <v>20</v>
      </c>
      <c r="B38" s="4" t="s">
        <v>51</v>
      </c>
      <c r="C38" s="1" t="s">
        <v>52</v>
      </c>
      <c r="D38" s="793">
        <f>+D37/16*1000</f>
        <v>19.285450277959669</v>
      </c>
      <c r="E38" s="4" t="s">
        <v>53</v>
      </c>
      <c r="F38" s="723"/>
      <c r="G38" s="4"/>
      <c r="H38" s="4"/>
      <c r="I38" s="792">
        <f>+I37/24*1000</f>
        <v>9.1583873466109829</v>
      </c>
      <c r="J38" s="4"/>
      <c r="K38" s="4" t="s">
        <v>3</v>
      </c>
    </row>
    <row r="39" spans="1:11" ht="15.75">
      <c r="A39" s="5"/>
      <c r="B39" s="4"/>
      <c r="C39" s="4" t="s">
        <v>54</v>
      </c>
      <c r="D39" s="4"/>
      <c r="E39" s="4" t="s">
        <v>55</v>
      </c>
      <c r="F39" s="723"/>
      <c r="G39" s="4"/>
      <c r="H39" s="4"/>
      <c r="I39" s="723"/>
      <c r="J39" s="4"/>
      <c r="K39" s="4" t="s">
        <v>3</v>
      </c>
    </row>
    <row r="40" spans="1:11" ht="15.75">
      <c r="A40" s="5"/>
      <c r="B40" s="4"/>
      <c r="C40" s="4"/>
      <c r="D40" s="4"/>
      <c r="E40" s="4"/>
      <c r="F40" s="723"/>
      <c r="G40" s="4"/>
      <c r="H40" s="4"/>
      <c r="I40" s="723"/>
      <c r="J40" s="4"/>
      <c r="K40" s="4" t="s">
        <v>3</v>
      </c>
    </row>
    <row r="41" spans="1:11" ht="15.75">
      <c r="A41" s="5">
        <v>21</v>
      </c>
      <c r="B41" s="4" t="s">
        <v>56</v>
      </c>
      <c r="C41" s="4" t="s">
        <v>57</v>
      </c>
      <c r="D41" s="8">
        <v>0</v>
      </c>
      <c r="E41" s="9" t="s">
        <v>58</v>
      </c>
      <c r="F41" s="9"/>
      <c r="G41" s="9"/>
      <c r="H41" s="9"/>
      <c r="I41" s="9">
        <v>0</v>
      </c>
      <c r="J41" s="9" t="s">
        <v>58</v>
      </c>
      <c r="K41" s="4"/>
    </row>
    <row r="42" spans="1:11" ht="15.75">
      <c r="A42" s="5">
        <v>22</v>
      </c>
      <c r="B42" s="4"/>
      <c r="C42" s="4"/>
      <c r="D42" s="8">
        <v>0</v>
      </c>
      <c r="E42" s="9" t="s">
        <v>59</v>
      </c>
      <c r="F42" s="9"/>
      <c r="G42" s="9"/>
      <c r="H42" s="9"/>
      <c r="I42" s="9">
        <v>0</v>
      </c>
      <c r="J42" s="9" t="s">
        <v>59</v>
      </c>
      <c r="K42" s="4"/>
    </row>
    <row r="43" spans="1:11" ht="15.75">
      <c r="A43" s="5"/>
      <c r="B43" s="4"/>
      <c r="C43" s="4"/>
      <c r="D43" s="9"/>
      <c r="E43" s="9"/>
      <c r="F43" s="9"/>
      <c r="G43" s="9"/>
      <c r="H43" s="9"/>
      <c r="I43" s="9"/>
      <c r="J43" s="9"/>
      <c r="K43" s="4"/>
    </row>
    <row r="44" spans="1:11" ht="15.75">
      <c r="A44" s="5"/>
      <c r="B44" s="4"/>
      <c r="C44" s="4"/>
      <c r="D44" s="9"/>
      <c r="E44" s="9"/>
      <c r="F44" s="9"/>
      <c r="G44" s="9"/>
      <c r="H44" s="9"/>
      <c r="I44" s="9"/>
      <c r="J44" s="9"/>
      <c r="K44" s="4"/>
    </row>
    <row r="45" spans="1:11" ht="15.75">
      <c r="A45" s="5"/>
      <c r="B45" s="4"/>
      <c r="C45" s="4"/>
      <c r="D45" s="9"/>
      <c r="E45" s="9"/>
      <c r="F45" s="9"/>
      <c r="G45" s="9"/>
      <c r="H45" s="9"/>
      <c r="I45" s="9"/>
      <c r="J45" s="9"/>
      <c r="K45" s="4"/>
    </row>
    <row r="46" spans="1:11" ht="15.75">
      <c r="A46" s="5"/>
      <c r="B46" s="4"/>
      <c r="C46" s="4"/>
      <c r="D46" s="9"/>
      <c r="E46" s="9"/>
      <c r="F46" s="9"/>
      <c r="G46" s="9"/>
      <c r="H46" s="9"/>
      <c r="I46" s="9"/>
      <c r="J46" s="9"/>
      <c r="K46" s="4"/>
    </row>
    <row r="47" spans="1:11" ht="15.75">
      <c r="A47" s="5"/>
      <c r="B47" s="4"/>
      <c r="C47" s="4"/>
      <c r="D47" s="9"/>
      <c r="E47" s="9"/>
      <c r="F47" s="9"/>
      <c r="G47" s="9"/>
      <c r="H47" s="9"/>
      <c r="I47" s="9"/>
      <c r="J47" s="9"/>
      <c r="K47" s="4"/>
    </row>
    <row r="48" spans="1:11" ht="15.75">
      <c r="A48" s="5"/>
      <c r="B48" s="4"/>
      <c r="C48" s="4"/>
      <c r="D48" s="9"/>
      <c r="E48" s="9"/>
      <c r="F48" s="9"/>
      <c r="G48" s="9"/>
      <c r="H48" s="9"/>
      <c r="I48" s="9"/>
      <c r="J48" s="9"/>
      <c r="K48" s="4"/>
    </row>
    <row r="49" spans="1:11" ht="15.75">
      <c r="A49" s="5"/>
      <c r="B49" s="4"/>
      <c r="C49" s="4"/>
      <c r="D49" s="9"/>
      <c r="E49" s="9"/>
      <c r="F49" s="9"/>
      <c r="G49" s="9"/>
      <c r="H49" s="9"/>
      <c r="I49" s="9"/>
      <c r="J49" s="9"/>
      <c r="K49" s="4"/>
    </row>
    <row r="50" spans="1:11" ht="15.75">
      <c r="A50" s="5"/>
      <c r="B50" s="4"/>
      <c r="C50" s="4"/>
      <c r="D50" s="9"/>
      <c r="E50" s="9"/>
      <c r="F50" s="9"/>
      <c r="G50" s="9"/>
      <c r="H50" s="9"/>
      <c r="I50" s="9"/>
      <c r="J50" s="9"/>
      <c r="K50" s="4"/>
    </row>
    <row r="51" spans="1:11" ht="15.75">
      <c r="A51" s="5"/>
      <c r="B51" s="4"/>
      <c r="C51" s="4"/>
      <c r="D51" s="9"/>
      <c r="E51" s="9"/>
      <c r="F51" s="9"/>
      <c r="G51" s="9"/>
      <c r="H51" s="9"/>
      <c r="I51" s="9"/>
      <c r="J51" s="9"/>
      <c r="K51" s="4"/>
    </row>
    <row r="52" spans="1:11" ht="15.75">
      <c r="A52" s="5"/>
      <c r="B52" s="4"/>
      <c r="C52" s="4"/>
      <c r="D52" s="9"/>
      <c r="E52" s="9"/>
      <c r="F52" s="9"/>
      <c r="G52" s="9"/>
      <c r="H52" s="9"/>
      <c r="I52" s="9"/>
      <c r="J52" s="9"/>
      <c r="K52" s="4"/>
    </row>
    <row r="53" spans="1:11" ht="15.75">
      <c r="A53" s="5"/>
      <c r="B53" s="4"/>
      <c r="C53" s="4"/>
      <c r="D53" s="9"/>
      <c r="E53" s="9"/>
      <c r="F53" s="9"/>
      <c r="G53" s="9"/>
      <c r="H53" s="9"/>
      <c r="I53" s="9"/>
      <c r="J53" s="9"/>
      <c r="K53" s="4"/>
    </row>
    <row r="54" spans="1:11" ht="15.75">
      <c r="A54" s="5"/>
      <c r="B54" s="4"/>
      <c r="C54" s="4"/>
      <c r="D54" s="9"/>
      <c r="E54" s="9"/>
      <c r="F54" s="9"/>
      <c r="G54" s="9"/>
      <c r="H54" s="9"/>
      <c r="I54" s="9"/>
      <c r="J54" s="9"/>
      <c r="K54" s="4"/>
    </row>
    <row r="55" spans="1:11" ht="15.75">
      <c r="A55" s="5"/>
      <c r="B55" s="4"/>
      <c r="C55" s="4"/>
      <c r="D55" s="9"/>
      <c r="E55" s="9"/>
      <c r="F55" s="9"/>
      <c r="G55" s="9"/>
      <c r="H55" s="9"/>
      <c r="I55" s="9"/>
      <c r="J55" s="9"/>
      <c r="K55" s="4"/>
    </row>
    <row r="56" spans="1:11" ht="15.75">
      <c r="A56" s="5"/>
      <c r="B56" s="4"/>
      <c r="C56" s="4"/>
      <c r="D56" s="9"/>
      <c r="E56" s="9"/>
      <c r="F56" s="9"/>
      <c r="G56" s="9"/>
      <c r="H56" s="9"/>
      <c r="I56" s="9"/>
      <c r="J56" s="9"/>
      <c r="K56" s="4"/>
    </row>
    <row r="57" spans="1:11" ht="15.75">
      <c r="A57" s="5"/>
      <c r="B57" s="4"/>
      <c r="C57" s="4"/>
      <c r="D57" s="9"/>
      <c r="E57" s="9"/>
      <c r="F57" s="9"/>
      <c r="G57" s="9"/>
      <c r="H57" s="9"/>
      <c r="I57" s="9"/>
      <c r="J57" s="9"/>
      <c r="K57" s="4"/>
    </row>
    <row r="58" spans="1:11" ht="15.75">
      <c r="A58" s="5"/>
      <c r="B58" s="4"/>
      <c r="C58" s="4"/>
      <c r="D58" s="9"/>
      <c r="E58" s="9"/>
      <c r="F58" s="9"/>
      <c r="G58" s="9"/>
      <c r="H58" s="9"/>
      <c r="I58" s="9"/>
      <c r="J58" s="9"/>
      <c r="K58" s="4"/>
    </row>
    <row r="59" spans="1:11" ht="15.75">
      <c r="A59" s="5"/>
      <c r="B59" s="4"/>
      <c r="C59" s="4"/>
      <c r="D59" s="9"/>
      <c r="E59" s="9"/>
      <c r="F59" s="9"/>
      <c r="G59" s="9"/>
      <c r="H59" s="9"/>
      <c r="I59" s="9"/>
      <c r="J59" s="9"/>
      <c r="K59" s="4"/>
    </row>
    <row r="60" spans="1:11" ht="15.75">
      <c r="A60" s="5"/>
      <c r="B60" s="4"/>
      <c r="C60" s="4"/>
      <c r="D60" s="9"/>
      <c r="E60" s="9"/>
      <c r="F60" s="9"/>
      <c r="G60" s="9"/>
      <c r="H60" s="9"/>
      <c r="I60" s="9"/>
      <c r="J60" s="9"/>
      <c r="K60" s="4"/>
    </row>
    <row r="61" spans="1:11" ht="15.75">
      <c r="A61" s="5"/>
      <c r="B61" s="4"/>
      <c r="C61" s="4"/>
      <c r="D61" s="9"/>
      <c r="E61" s="9"/>
      <c r="F61" s="9"/>
      <c r="G61" s="9"/>
      <c r="H61" s="9"/>
      <c r="I61" s="9"/>
      <c r="J61" s="9"/>
      <c r="K61" s="4"/>
    </row>
    <row r="62" spans="1:11" ht="15.75">
      <c r="A62" s="5"/>
      <c r="B62" s="4"/>
      <c r="C62" s="4"/>
      <c r="D62" s="9"/>
      <c r="E62" s="9"/>
      <c r="F62" s="9"/>
      <c r="G62" s="9"/>
      <c r="H62" s="9"/>
      <c r="I62" s="9"/>
      <c r="J62" s="9"/>
      <c r="K62" s="4"/>
    </row>
    <row r="63" spans="1:11" ht="15.75">
      <c r="A63" s="5"/>
      <c r="B63" s="4"/>
      <c r="C63" s="4"/>
      <c r="D63" s="9"/>
      <c r="E63" s="9"/>
      <c r="F63" s="9"/>
      <c r="G63" s="9"/>
      <c r="H63" s="9"/>
      <c r="I63" s="9"/>
      <c r="J63" s="9"/>
      <c r="K63" s="4"/>
    </row>
    <row r="64" spans="1:11" ht="15.75">
      <c r="A64" s="5"/>
      <c r="B64" s="4"/>
      <c r="C64" s="4"/>
      <c r="D64" s="9"/>
      <c r="E64" s="9"/>
      <c r="F64" s="9"/>
      <c r="G64" s="9"/>
      <c r="H64" s="9"/>
      <c r="I64" s="9"/>
      <c r="J64" s="9"/>
      <c r="K64" s="4"/>
    </row>
    <row r="65" spans="1:11" ht="15.75">
      <c r="A65" s="5"/>
      <c r="B65" s="4"/>
      <c r="C65" s="4"/>
      <c r="D65" s="9"/>
      <c r="E65" s="9"/>
      <c r="F65" s="9"/>
      <c r="G65" s="9"/>
      <c r="H65" s="9"/>
      <c r="I65" s="9"/>
      <c r="J65" s="9"/>
      <c r="K65" s="4"/>
    </row>
    <row r="66" spans="1:11" ht="15.75">
      <c r="A66" s="5"/>
      <c r="B66" s="4"/>
      <c r="C66" s="4"/>
      <c r="D66" s="9"/>
      <c r="E66" s="9"/>
      <c r="F66" s="9"/>
      <c r="G66" s="9"/>
      <c r="H66" s="9"/>
      <c r="I66" s="9"/>
      <c r="J66" s="9"/>
      <c r="K66" s="4"/>
    </row>
    <row r="67" spans="1:11" ht="15.75">
      <c r="A67" s="5"/>
      <c r="B67" s="4"/>
      <c r="C67" s="4"/>
      <c r="D67" s="9"/>
      <c r="E67" s="9"/>
      <c r="F67" s="9"/>
      <c r="G67" s="9"/>
      <c r="H67" s="9"/>
      <c r="I67" s="9"/>
      <c r="J67" s="9"/>
      <c r="K67" s="4"/>
    </row>
    <row r="68" spans="1:11" ht="15.75">
      <c r="A68" s="5"/>
      <c r="B68" s="4"/>
      <c r="C68" s="4"/>
      <c r="D68" s="9"/>
      <c r="E68" s="9"/>
      <c r="F68" s="9"/>
      <c r="G68" s="9"/>
      <c r="H68" s="9"/>
      <c r="I68" s="9"/>
      <c r="J68" s="9"/>
      <c r="K68" s="4"/>
    </row>
    <row r="69" spans="1:11" ht="15.75">
      <c r="A69" s="5"/>
      <c r="B69" s="4"/>
      <c r="C69" s="4"/>
      <c r="D69" s="9"/>
      <c r="E69" s="9"/>
      <c r="F69" s="9"/>
      <c r="G69" s="9"/>
      <c r="H69" s="9"/>
      <c r="I69" s="9"/>
      <c r="J69" s="9"/>
      <c r="K69" s="4"/>
    </row>
    <row r="70" spans="1:11" ht="15.75">
      <c r="A70" s="5"/>
      <c r="B70" s="4"/>
      <c r="C70" s="4"/>
      <c r="D70" s="9"/>
      <c r="E70" s="9"/>
      <c r="F70" s="9"/>
      <c r="G70" s="9"/>
      <c r="H70" s="9"/>
      <c r="I70" s="9"/>
      <c r="J70" s="9"/>
      <c r="K70" s="4"/>
    </row>
    <row r="71" spans="1:11" ht="15.75">
      <c r="A71" s="5"/>
      <c r="B71" s="4"/>
      <c r="C71" s="4"/>
      <c r="D71" s="9"/>
      <c r="E71" s="9"/>
      <c r="F71" s="9"/>
      <c r="G71" s="9"/>
      <c r="H71" s="9"/>
      <c r="I71" s="9"/>
      <c r="J71" s="9"/>
      <c r="K71" s="4"/>
    </row>
    <row r="72" spans="1:11" ht="15.75">
      <c r="A72" s="5"/>
      <c r="B72" s="4"/>
      <c r="C72" s="4"/>
      <c r="D72" s="9"/>
      <c r="E72" s="9"/>
      <c r="F72" s="9"/>
      <c r="G72" s="9"/>
      <c r="H72" s="9"/>
      <c r="I72" s="9"/>
      <c r="J72" s="9"/>
      <c r="K72" s="4"/>
    </row>
    <row r="73" spans="1:11" ht="15.75">
      <c r="A73" s="5"/>
      <c r="B73" s="4"/>
      <c r="C73" s="4"/>
      <c r="D73" s="9"/>
      <c r="E73" s="9"/>
      <c r="F73" s="9"/>
      <c r="G73" s="9"/>
      <c r="H73" s="9"/>
      <c r="I73" s="9"/>
      <c r="J73" s="9"/>
      <c r="K73" s="4"/>
    </row>
    <row r="74" spans="1:11" ht="15.75">
      <c r="A74" s="5"/>
      <c r="B74" s="4"/>
      <c r="C74" s="4"/>
      <c r="D74" s="9"/>
      <c r="E74" s="9"/>
      <c r="F74" s="9"/>
      <c r="G74" s="9"/>
      <c r="H74" s="9"/>
      <c r="I74" s="9"/>
      <c r="J74" s="9"/>
      <c r="K74" s="4"/>
    </row>
    <row r="75" spans="1:11" ht="15.75">
      <c r="A75" s="723"/>
      <c r="B75" s="4"/>
      <c r="C75" s="4"/>
      <c r="D75" s="4"/>
      <c r="E75" s="4"/>
      <c r="F75" s="4"/>
      <c r="G75" s="4"/>
      <c r="H75" s="4"/>
      <c r="I75" s="600"/>
      <c r="J75" s="4"/>
      <c r="K75" s="599" t="s">
        <v>60</v>
      </c>
    </row>
    <row r="76" spans="1:11" ht="15.75">
      <c r="A76" s="723"/>
      <c r="B76" s="4"/>
      <c r="C76" s="4"/>
      <c r="D76" s="4"/>
      <c r="E76" s="4"/>
      <c r="F76" s="4"/>
      <c r="G76" s="4"/>
      <c r="H76" s="4"/>
      <c r="I76" s="4"/>
      <c r="J76" s="4"/>
      <c r="K76" s="4"/>
    </row>
    <row r="77" spans="1:11" ht="15.75">
      <c r="A77" s="723"/>
      <c r="B77" s="4" t="s">
        <v>1</v>
      </c>
      <c r="C77" s="4"/>
      <c r="D77" s="1" t="s">
        <v>2</v>
      </c>
      <c r="E77" s="4"/>
      <c r="F77" s="4"/>
      <c r="G77" s="4"/>
      <c r="H77" s="4"/>
      <c r="I77" s="759"/>
      <c r="J77" s="4"/>
      <c r="K77" s="598" t="str">
        <f>K3</f>
        <v>For the 12 months ended 12/31/2025</v>
      </c>
    </row>
    <row r="78" spans="1:11" ht="15.75">
      <c r="A78" s="723"/>
      <c r="B78" s="4" t="s">
        <v>61</v>
      </c>
      <c r="C78" s="603"/>
      <c r="D78" s="603" t="s">
        <v>4</v>
      </c>
      <c r="E78" s="603"/>
      <c r="F78" s="603"/>
      <c r="G78" s="603"/>
      <c r="H78" s="603"/>
      <c r="I78" s="603"/>
      <c r="J78" s="603"/>
      <c r="K78" s="603"/>
    </row>
    <row r="79" spans="1:11" ht="15.75">
      <c r="A79" s="723"/>
      <c r="B79" s="4"/>
      <c r="C79" s="603" t="s">
        <v>3</v>
      </c>
      <c r="D79" s="603" t="s">
        <v>3</v>
      </c>
      <c r="E79" s="603"/>
      <c r="F79" s="603"/>
      <c r="G79" s="603" t="s">
        <v>3</v>
      </c>
      <c r="H79" s="603"/>
      <c r="I79" s="603"/>
      <c r="J79" s="603"/>
      <c r="K79" s="603"/>
    </row>
    <row r="80" spans="1:11" ht="15.75">
      <c r="A80" s="850" t="str">
        <f>A6</f>
        <v>American Transmission Company LLC</v>
      </c>
      <c r="B80" s="850"/>
      <c r="C80" s="850"/>
      <c r="D80" s="850"/>
      <c r="E80" s="850"/>
      <c r="F80" s="850"/>
      <c r="G80" s="850"/>
      <c r="H80" s="850"/>
      <c r="I80" s="850"/>
      <c r="J80" s="850"/>
      <c r="K80" s="850"/>
    </row>
    <row r="81" spans="1:11" ht="15.75">
      <c r="A81" s="723"/>
      <c r="B81" s="5" t="s">
        <v>62</v>
      </c>
      <c r="C81" s="5" t="s">
        <v>63</v>
      </c>
      <c r="D81" s="5" t="s">
        <v>64</v>
      </c>
      <c r="E81" s="603" t="s">
        <v>3</v>
      </c>
      <c r="F81" s="603"/>
      <c r="G81" s="593" t="s">
        <v>65</v>
      </c>
      <c r="H81" s="603"/>
      <c r="I81" s="758" t="s">
        <v>66</v>
      </c>
      <c r="J81" s="603"/>
      <c r="K81" s="5"/>
    </row>
    <row r="82" spans="1:11" ht="15.75">
      <c r="A82" s="723"/>
      <c r="B82" s="4"/>
      <c r="C82" s="584" t="s">
        <v>67</v>
      </c>
      <c r="D82" s="603"/>
      <c r="E82" s="603"/>
      <c r="F82" s="603"/>
      <c r="G82" s="5"/>
      <c r="H82" s="603"/>
      <c r="I82" s="10" t="s">
        <v>68</v>
      </c>
      <c r="J82" s="603"/>
      <c r="K82" s="5"/>
    </row>
    <row r="83" spans="1:11" ht="15.75">
      <c r="A83" s="5" t="s">
        <v>8</v>
      </c>
      <c r="B83" s="4"/>
      <c r="C83" s="592" t="s">
        <v>69</v>
      </c>
      <c r="D83" s="10" t="s">
        <v>70</v>
      </c>
      <c r="E83" s="751"/>
      <c r="F83" s="10" t="s">
        <v>71</v>
      </c>
      <c r="G83" s="723"/>
      <c r="H83" s="751"/>
      <c r="I83" s="5" t="s">
        <v>72</v>
      </c>
      <c r="J83" s="603"/>
      <c r="K83" s="5"/>
    </row>
    <row r="84" spans="1:11" ht="16.5" thickBot="1">
      <c r="A84" s="6" t="s">
        <v>10</v>
      </c>
      <c r="B84" s="743" t="s">
        <v>73</v>
      </c>
      <c r="C84" s="603"/>
      <c r="D84" s="603"/>
      <c r="E84" s="603"/>
      <c r="F84" s="603"/>
      <c r="G84" s="603"/>
      <c r="H84" s="603"/>
      <c r="I84" s="603"/>
      <c r="J84" s="603"/>
      <c r="K84" s="603"/>
    </row>
    <row r="85" spans="1:11" ht="15.75">
      <c r="A85" s="5"/>
      <c r="B85" s="4" t="s">
        <v>74</v>
      </c>
      <c r="C85" s="603"/>
      <c r="D85" s="603"/>
      <c r="E85" s="603"/>
      <c r="F85" s="603"/>
      <c r="G85" s="603"/>
      <c r="H85" s="603"/>
      <c r="I85" s="603"/>
      <c r="J85" s="603"/>
      <c r="K85" s="603"/>
    </row>
    <row r="86" spans="1:11" ht="15.75">
      <c r="A86" s="5">
        <v>1</v>
      </c>
      <c r="B86" s="4" t="s">
        <v>75</v>
      </c>
      <c r="C86" s="774" t="s">
        <v>76</v>
      </c>
      <c r="D86" s="606">
        <v>0</v>
      </c>
      <c r="E86" s="603"/>
      <c r="F86" s="603" t="s">
        <v>77</v>
      </c>
      <c r="G86" s="754" t="s">
        <v>3</v>
      </c>
      <c r="H86" s="603"/>
      <c r="I86" s="603">
        <v>0</v>
      </c>
      <c r="J86" s="603"/>
      <c r="K86" s="603"/>
    </row>
    <row r="87" spans="1:11" ht="15.75">
      <c r="A87" s="5" t="s">
        <v>78</v>
      </c>
      <c r="B87" s="4" t="s">
        <v>79</v>
      </c>
      <c r="C87" s="774" t="s">
        <v>80</v>
      </c>
      <c r="D87" s="606">
        <f>ROUND('Plant Balances (pg. 2) '!D22,0)</f>
        <v>8148265226</v>
      </c>
      <c r="E87" s="603"/>
      <c r="F87" s="603" t="s">
        <v>19</v>
      </c>
      <c r="G87" s="772">
        <f>I235</f>
        <v>1</v>
      </c>
      <c r="H87" s="774"/>
      <c r="I87" s="770">
        <f>+G87*D87</f>
        <v>8148265226</v>
      </c>
      <c r="J87" s="603"/>
      <c r="K87" s="603"/>
    </row>
    <row r="88" spans="1:11" ht="15.75">
      <c r="A88" s="5" t="s">
        <v>81</v>
      </c>
      <c r="B88" s="1" t="s">
        <v>82</v>
      </c>
      <c r="C88" s="603"/>
      <c r="D88" s="606">
        <f>ROUND('Plant Balances (pg. 2) '!E22,0)</f>
        <v>485254520</v>
      </c>
      <c r="E88" s="603"/>
      <c r="F88" s="603" t="s">
        <v>19</v>
      </c>
      <c r="G88" s="772">
        <f>G87</f>
        <v>1</v>
      </c>
      <c r="H88" s="774"/>
      <c r="I88" s="770">
        <f>+G88*D88</f>
        <v>485254520</v>
      </c>
      <c r="J88" s="603"/>
      <c r="K88" s="603"/>
    </row>
    <row r="89" spans="1:11" ht="15.75">
      <c r="A89" s="5">
        <v>3</v>
      </c>
      <c r="B89" s="4" t="s">
        <v>83</v>
      </c>
      <c r="C89" s="774" t="s">
        <v>84</v>
      </c>
      <c r="D89" s="606">
        <v>0</v>
      </c>
      <c r="E89" s="603"/>
      <c r="F89" s="603" t="s">
        <v>77</v>
      </c>
      <c r="G89" s="788" t="s">
        <v>3</v>
      </c>
      <c r="H89" s="774"/>
      <c r="I89" s="774">
        <v>0</v>
      </c>
      <c r="J89" s="603"/>
      <c r="K89" s="603"/>
    </row>
    <row r="90" spans="1:11" ht="15.75">
      <c r="A90" s="5">
        <v>4</v>
      </c>
      <c r="B90" s="4" t="s">
        <v>85</v>
      </c>
      <c r="C90" s="774" t="s">
        <v>86</v>
      </c>
      <c r="D90" s="606">
        <f>ROUND('Plant Balances (pg. 2) '!F22,0)</f>
        <v>428963544</v>
      </c>
      <c r="E90" s="603"/>
      <c r="F90" s="603" t="s">
        <v>87</v>
      </c>
      <c r="G90" s="772">
        <f>I252</f>
        <v>1</v>
      </c>
      <c r="H90" s="774"/>
      <c r="I90" s="770">
        <f>+G90*D90</f>
        <v>428963544</v>
      </c>
      <c r="J90" s="603"/>
      <c r="K90" s="603"/>
    </row>
    <row r="91" spans="1:11" ht="16.5" thickBot="1">
      <c r="A91" s="5">
        <v>5</v>
      </c>
      <c r="B91" s="4" t="s">
        <v>88</v>
      </c>
      <c r="C91" s="603" t="s">
        <v>89</v>
      </c>
      <c r="D91" s="605">
        <v>0</v>
      </c>
      <c r="E91" s="603"/>
      <c r="F91" s="603" t="s">
        <v>90</v>
      </c>
      <c r="G91" s="772">
        <f>K256</f>
        <v>1</v>
      </c>
      <c r="H91" s="774"/>
      <c r="I91" s="775">
        <f>+G91*D91</f>
        <v>0</v>
      </c>
      <c r="J91" s="603"/>
      <c r="K91" s="603"/>
    </row>
    <row r="92" spans="1:11" ht="15.75">
      <c r="A92" s="5">
        <v>6</v>
      </c>
      <c r="B92" s="4" t="s">
        <v>91</v>
      </c>
      <c r="C92" s="603"/>
      <c r="D92" s="604">
        <f>SUM(D86:D91)</f>
        <v>9062483290</v>
      </c>
      <c r="E92" s="603"/>
      <c r="F92" s="603" t="s">
        <v>92</v>
      </c>
      <c r="G92" s="790">
        <f>IF(I92&gt;0,I92/D92,0)</f>
        <v>1</v>
      </c>
      <c r="H92" s="774"/>
      <c r="I92" s="770">
        <f>SUM(I86:I91)</f>
        <v>9062483290</v>
      </c>
      <c r="J92" s="603"/>
      <c r="K92" s="583"/>
    </row>
    <row r="93" spans="1:11" ht="15.75">
      <c r="A93" s="723"/>
      <c r="B93" s="4"/>
      <c r="C93" s="603"/>
      <c r="D93" s="603"/>
      <c r="E93" s="603"/>
      <c r="F93" s="603"/>
      <c r="G93" s="583"/>
      <c r="H93" s="603"/>
      <c r="I93" s="603"/>
      <c r="J93" s="603"/>
      <c r="K93" s="583"/>
    </row>
    <row r="94" spans="1:11" ht="15.75">
      <c r="A94" s="723"/>
      <c r="B94" s="4" t="s">
        <v>93</v>
      </c>
      <c r="C94" s="603"/>
      <c r="D94" s="603"/>
      <c r="E94" s="603"/>
      <c r="F94" s="603"/>
      <c r="G94" s="603"/>
      <c r="H94" s="603"/>
      <c r="I94" s="603"/>
      <c r="J94" s="603"/>
      <c r="K94" s="603"/>
    </row>
    <row r="95" spans="1:11" ht="15.75">
      <c r="A95" s="5">
        <v>7</v>
      </c>
      <c r="B95" s="4" t="s">
        <v>75</v>
      </c>
      <c r="C95" s="603" t="s">
        <v>94</v>
      </c>
      <c r="D95" s="606">
        <v>0</v>
      </c>
      <c r="E95" s="603"/>
      <c r="F95" s="603" t="s">
        <v>77</v>
      </c>
      <c r="G95" s="754" t="s">
        <v>3</v>
      </c>
      <c r="H95" s="603"/>
      <c r="I95" s="603">
        <v>0</v>
      </c>
      <c r="J95" s="603"/>
      <c r="K95" s="603"/>
    </row>
    <row r="96" spans="1:11" ht="15.75">
      <c r="A96" s="5" t="s">
        <v>95</v>
      </c>
      <c r="B96" s="4" t="s">
        <v>79</v>
      </c>
      <c r="C96" s="603" t="s">
        <v>96</v>
      </c>
      <c r="D96" s="748">
        <f>ROUND(-'Plant Balances (pg. 2) '!D41,0)</f>
        <v>2448597965</v>
      </c>
      <c r="E96" s="603"/>
      <c r="F96" s="603" t="s">
        <v>19</v>
      </c>
      <c r="G96" s="772">
        <f>+G87</f>
        <v>1</v>
      </c>
      <c r="H96" s="774"/>
      <c r="I96" s="770">
        <f>+G96*D96</f>
        <v>2448597965</v>
      </c>
      <c r="J96" s="603"/>
      <c r="K96" s="603"/>
    </row>
    <row r="97" spans="1:11" ht="15.75">
      <c r="A97" s="5" t="s">
        <v>97</v>
      </c>
      <c r="B97" s="1" t="s">
        <v>82</v>
      </c>
      <c r="C97" s="603"/>
      <c r="D97" s="748">
        <v>0</v>
      </c>
      <c r="E97" s="603"/>
      <c r="F97" s="603" t="s">
        <v>19</v>
      </c>
      <c r="G97" s="772">
        <f>G96</f>
        <v>1</v>
      </c>
      <c r="H97" s="774"/>
      <c r="I97" s="770">
        <f>+G97*D97</f>
        <v>0</v>
      </c>
      <c r="J97" s="603"/>
      <c r="K97" s="603"/>
    </row>
    <row r="98" spans="1:11" ht="15.75">
      <c r="A98" s="5">
        <v>9</v>
      </c>
      <c r="B98" s="4" t="s">
        <v>83</v>
      </c>
      <c r="C98" s="603" t="s">
        <v>98</v>
      </c>
      <c r="D98" s="606">
        <v>0</v>
      </c>
      <c r="E98" s="603"/>
      <c r="F98" s="603" t="s">
        <v>77</v>
      </c>
      <c r="G98" s="772" t="str">
        <f>+G89</f>
        <v xml:space="preserve"> </v>
      </c>
      <c r="H98" s="774"/>
      <c r="I98" s="774" t="s">
        <v>3</v>
      </c>
      <c r="J98" s="603"/>
      <c r="K98" s="603"/>
    </row>
    <row r="99" spans="1:11" ht="15.75">
      <c r="A99" s="5">
        <v>10</v>
      </c>
      <c r="B99" s="4" t="s">
        <v>85</v>
      </c>
      <c r="C99" s="603" t="s">
        <v>99</v>
      </c>
      <c r="D99" s="606">
        <f>ROUND(-'Plant Balances (pg. 2) '!F41,0)</f>
        <v>124431324</v>
      </c>
      <c r="E99" s="603"/>
      <c r="F99" s="603" t="s">
        <v>87</v>
      </c>
      <c r="G99" s="772">
        <f>+G90</f>
        <v>1</v>
      </c>
      <c r="H99" s="774"/>
      <c r="I99" s="770">
        <f>+G99*D99</f>
        <v>124431324</v>
      </c>
      <c r="J99" s="603"/>
      <c r="K99" s="603"/>
    </row>
    <row r="100" spans="1:11" ht="16.5" thickBot="1">
      <c r="A100" s="5">
        <v>11</v>
      </c>
      <c r="B100" s="4" t="s">
        <v>88</v>
      </c>
      <c r="C100" s="603" t="s">
        <v>89</v>
      </c>
      <c r="D100" s="605">
        <v>0</v>
      </c>
      <c r="E100" s="603"/>
      <c r="F100" s="603" t="s">
        <v>90</v>
      </c>
      <c r="G100" s="772">
        <f>+G91</f>
        <v>1</v>
      </c>
      <c r="H100" s="774"/>
      <c r="I100" s="775">
        <f>+G100*D100</f>
        <v>0</v>
      </c>
      <c r="J100" s="603"/>
      <c r="K100" s="603"/>
    </row>
    <row r="101" spans="1:11" ht="15.75">
      <c r="A101" s="5">
        <v>12</v>
      </c>
      <c r="B101" s="4" t="s">
        <v>100</v>
      </c>
      <c r="C101" s="603"/>
      <c r="D101" s="597">
        <f>SUM(D95:D100)</f>
        <v>2573029289</v>
      </c>
      <c r="E101" s="603"/>
      <c r="F101" s="603"/>
      <c r="G101" s="774"/>
      <c r="H101" s="774"/>
      <c r="I101" s="770">
        <f>SUM(I95:I100)</f>
        <v>2573029289</v>
      </c>
      <c r="J101" s="603"/>
      <c r="K101" s="603"/>
    </row>
    <row r="102" spans="1:11" ht="15.75">
      <c r="A102" s="5"/>
      <c r="B102" s="4"/>
      <c r="C102" s="603"/>
      <c r="D102" s="753"/>
      <c r="E102" s="603"/>
      <c r="F102" s="603"/>
      <c r="G102" s="774"/>
      <c r="H102" s="774"/>
      <c r="I102" s="774"/>
      <c r="J102" s="603"/>
      <c r="K102" s="603"/>
    </row>
    <row r="103" spans="1:11" ht="15.75">
      <c r="A103" s="5"/>
      <c r="B103" s="4" t="s">
        <v>1054</v>
      </c>
      <c r="C103" s="603"/>
      <c r="D103" s="753"/>
      <c r="E103" s="603"/>
      <c r="F103" s="603"/>
      <c r="G103" s="774"/>
      <c r="H103" s="774"/>
      <c r="I103" s="774"/>
      <c r="J103" s="603"/>
      <c r="K103" s="603"/>
    </row>
    <row r="104" spans="1:11" ht="15.75">
      <c r="A104" s="5" t="s">
        <v>1053</v>
      </c>
      <c r="B104" s="4" t="s">
        <v>1052</v>
      </c>
      <c r="C104" s="603" t="s">
        <v>1051</v>
      </c>
      <c r="D104" s="606">
        <f>'Plant Balances (pg. 2) '!G41</f>
        <v>-22807725.899999999</v>
      </c>
      <c r="E104" s="603"/>
      <c r="F104" s="603" t="s">
        <v>19</v>
      </c>
      <c r="G104" s="791">
        <f>G97</f>
        <v>1</v>
      </c>
      <c r="H104" s="774"/>
      <c r="I104" s="770">
        <f>+G104*D104</f>
        <v>-22807725.899999999</v>
      </c>
      <c r="J104" s="603"/>
      <c r="K104" s="603"/>
    </row>
    <row r="105" spans="1:11" ht="15.75">
      <c r="A105" s="5"/>
      <c r="B105" s="723"/>
      <c r="C105" s="603" t="s">
        <v>3</v>
      </c>
      <c r="D105" s="723"/>
      <c r="E105" s="603"/>
      <c r="F105" s="603"/>
      <c r="G105" s="583"/>
      <c r="H105" s="603"/>
      <c r="I105" s="723"/>
      <c r="J105" s="603"/>
      <c r="K105" s="583"/>
    </row>
    <row r="106" spans="1:11" ht="15.75">
      <c r="A106" s="5"/>
      <c r="B106" s="4" t="s">
        <v>101</v>
      </c>
      <c r="C106" s="603"/>
      <c r="D106" s="603"/>
      <c r="E106" s="603"/>
      <c r="F106" s="603"/>
      <c r="G106" s="603"/>
      <c r="H106" s="603"/>
      <c r="I106" s="603"/>
      <c r="J106" s="603"/>
      <c r="K106" s="603"/>
    </row>
    <row r="107" spans="1:11" ht="15.75">
      <c r="A107" s="5">
        <v>13</v>
      </c>
      <c r="B107" s="4" t="s">
        <v>75</v>
      </c>
      <c r="C107" s="603" t="s">
        <v>102</v>
      </c>
      <c r="D107" s="770">
        <f>D86-D95</f>
        <v>0</v>
      </c>
      <c r="E107" s="774"/>
      <c r="F107" s="774"/>
      <c r="G107" s="779"/>
      <c r="H107" s="774"/>
      <c r="I107" s="774" t="s">
        <v>3</v>
      </c>
      <c r="J107" s="603"/>
      <c r="K107" s="583"/>
    </row>
    <row r="108" spans="1:11" ht="15.75">
      <c r="A108" s="5" t="s">
        <v>103</v>
      </c>
      <c r="B108" s="4" t="s">
        <v>79</v>
      </c>
      <c r="C108" s="603" t="s">
        <v>1050</v>
      </c>
      <c r="D108" s="770">
        <f>D87-D96+D104</f>
        <v>5676859535.1000004</v>
      </c>
      <c r="E108" s="774"/>
      <c r="F108" s="774"/>
      <c r="G108" s="788"/>
      <c r="H108" s="774"/>
      <c r="I108" s="770">
        <f>I87-I96+I104</f>
        <v>5676859535.1000004</v>
      </c>
      <c r="J108" s="603"/>
      <c r="K108" s="583"/>
    </row>
    <row r="109" spans="1:11" ht="15.75">
      <c r="A109" s="5" t="s">
        <v>104</v>
      </c>
      <c r="B109" s="1" t="s">
        <v>82</v>
      </c>
      <c r="C109" s="603"/>
      <c r="D109" s="770">
        <f>D88-D97</f>
        <v>485254520</v>
      </c>
      <c r="E109" s="774"/>
      <c r="F109" s="774"/>
      <c r="G109" s="788"/>
      <c r="H109" s="774"/>
      <c r="I109" s="770">
        <f>I88-I97</f>
        <v>485254520</v>
      </c>
      <c r="J109" s="603"/>
      <c r="K109" s="583"/>
    </row>
    <row r="110" spans="1:11" ht="15.75">
      <c r="A110" s="5">
        <v>15</v>
      </c>
      <c r="B110" s="4" t="s">
        <v>83</v>
      </c>
      <c r="C110" s="603" t="s">
        <v>105</v>
      </c>
      <c r="D110" s="770">
        <f>D89-D98</f>
        <v>0</v>
      </c>
      <c r="E110" s="774"/>
      <c r="F110" s="774"/>
      <c r="G110" s="779"/>
      <c r="H110" s="774"/>
      <c r="I110" s="774" t="s">
        <v>3</v>
      </c>
      <c r="J110" s="603"/>
      <c r="K110" s="583"/>
    </row>
    <row r="111" spans="1:11" ht="15.75">
      <c r="A111" s="5">
        <v>16</v>
      </c>
      <c r="B111" s="4" t="s">
        <v>106</v>
      </c>
      <c r="C111" s="603" t="s">
        <v>107</v>
      </c>
      <c r="D111" s="770">
        <f>D90-D99</f>
        <v>304532220</v>
      </c>
      <c r="E111" s="774"/>
      <c r="F111" s="774"/>
      <c r="G111" s="779"/>
      <c r="H111" s="774"/>
      <c r="I111" s="770">
        <f>I90-I99</f>
        <v>304532220</v>
      </c>
      <c r="J111" s="603"/>
      <c r="K111" s="583"/>
    </row>
    <row r="112" spans="1:11" ht="16.5" thickBot="1">
      <c r="A112" s="5">
        <v>17</v>
      </c>
      <c r="B112" s="4" t="s">
        <v>88</v>
      </c>
      <c r="C112" s="603" t="s">
        <v>108</v>
      </c>
      <c r="D112" s="775">
        <f>D91-D100</f>
        <v>0</v>
      </c>
      <c r="E112" s="774"/>
      <c r="F112" s="774"/>
      <c r="G112" s="779"/>
      <c r="H112" s="774"/>
      <c r="I112" s="775">
        <f>I91-I100</f>
        <v>0</v>
      </c>
      <c r="J112" s="603"/>
      <c r="K112" s="583"/>
    </row>
    <row r="113" spans="1:11" ht="15.75">
      <c r="A113" s="5">
        <v>18</v>
      </c>
      <c r="B113" s="4" t="s">
        <v>109</v>
      </c>
      <c r="C113" s="603"/>
      <c r="D113" s="770">
        <f>SUM(D107:D112)</f>
        <v>6466646275.1000004</v>
      </c>
      <c r="E113" s="774"/>
      <c r="F113" s="774" t="s">
        <v>110</v>
      </c>
      <c r="G113" s="790">
        <f>IF(I113&gt;0,I113/D113,0)</f>
        <v>1</v>
      </c>
      <c r="H113" s="774"/>
      <c r="I113" s="770">
        <f>SUM(I107:I112)</f>
        <v>6466646275.1000004</v>
      </c>
      <c r="J113" s="603"/>
      <c r="K113" s="603"/>
    </row>
    <row r="114" spans="1:11" ht="15.75">
      <c r="A114" s="5"/>
      <c r="B114" s="723"/>
      <c r="C114" s="603"/>
      <c r="D114" s="723"/>
      <c r="E114" s="603"/>
      <c r="F114" s="723"/>
      <c r="G114" s="723"/>
      <c r="H114" s="603"/>
      <c r="I114" s="723"/>
      <c r="J114" s="603"/>
      <c r="K114" s="583"/>
    </row>
    <row r="115" spans="1:11" ht="15.75">
      <c r="A115" s="5"/>
      <c r="B115" s="4" t="s">
        <v>111</v>
      </c>
      <c r="C115" s="603"/>
      <c r="D115" s="603"/>
      <c r="E115" s="603"/>
      <c r="F115" s="603"/>
      <c r="G115" s="603"/>
      <c r="H115" s="603"/>
      <c r="I115" s="603"/>
      <c r="J115" s="603"/>
      <c r="K115" s="603"/>
    </row>
    <row r="116" spans="1:11" ht="15.75">
      <c r="A116" s="5">
        <v>19</v>
      </c>
      <c r="B116" s="4" t="s">
        <v>112</v>
      </c>
      <c r="C116" s="603" t="s">
        <v>113</v>
      </c>
      <c r="D116" s="606">
        <v>0</v>
      </c>
      <c r="E116" s="603"/>
      <c r="F116" s="603" t="s">
        <v>77</v>
      </c>
      <c r="G116" s="789" t="s">
        <v>114</v>
      </c>
      <c r="H116" s="774"/>
      <c r="I116" s="774">
        <v>0</v>
      </c>
      <c r="J116" s="603"/>
      <c r="K116" s="583"/>
    </row>
    <row r="117" spans="1:11" ht="15.75">
      <c r="A117" s="5">
        <v>20</v>
      </c>
      <c r="B117" s="4" t="s">
        <v>115</v>
      </c>
      <c r="C117" s="603" t="s">
        <v>116</v>
      </c>
      <c r="D117" s="752">
        <f>ROUND(-'Deferred Taxes (pg. 2)'!I17,0)</f>
        <v>-1049996690</v>
      </c>
      <c r="E117" s="603"/>
      <c r="F117" s="603" t="s">
        <v>117</v>
      </c>
      <c r="G117" s="772">
        <f>+G113</f>
        <v>1</v>
      </c>
      <c r="H117" s="774"/>
      <c r="I117" s="770">
        <f>D117*G117</f>
        <v>-1049996690</v>
      </c>
      <c r="J117" s="603"/>
      <c r="K117" s="583"/>
    </row>
    <row r="118" spans="1:11" ht="15.75">
      <c r="A118" s="5">
        <v>21</v>
      </c>
      <c r="B118" s="4" t="s">
        <v>118</v>
      </c>
      <c r="C118" s="603" t="s">
        <v>119</v>
      </c>
      <c r="D118" s="752">
        <v>0</v>
      </c>
      <c r="E118" s="603"/>
      <c r="F118" s="603" t="s">
        <v>117</v>
      </c>
      <c r="G118" s="772">
        <f>+G117</f>
        <v>1</v>
      </c>
      <c r="H118" s="774"/>
      <c r="I118" s="770">
        <f>D118*G118</f>
        <v>0</v>
      </c>
      <c r="J118" s="603"/>
      <c r="K118" s="583"/>
    </row>
    <row r="119" spans="1:11" ht="15.75">
      <c r="A119" s="5">
        <v>22</v>
      </c>
      <c r="B119" s="4" t="s">
        <v>120</v>
      </c>
      <c r="C119" s="603" t="s">
        <v>121</v>
      </c>
      <c r="D119" s="606">
        <v>0</v>
      </c>
      <c r="E119" s="603"/>
      <c r="F119" s="603" t="s">
        <v>117</v>
      </c>
      <c r="G119" s="772">
        <f>+G118</f>
        <v>1</v>
      </c>
      <c r="H119" s="774"/>
      <c r="I119" s="770">
        <f>D119*G119</f>
        <v>0</v>
      </c>
      <c r="J119" s="603"/>
      <c r="K119" s="583"/>
    </row>
    <row r="120" spans="1:11" ht="16.5" thickBot="1">
      <c r="A120" s="5">
        <v>23</v>
      </c>
      <c r="B120" s="723" t="s">
        <v>122</v>
      </c>
      <c r="C120" s="723" t="s">
        <v>123</v>
      </c>
      <c r="D120" s="605">
        <v>0</v>
      </c>
      <c r="E120" s="603"/>
      <c r="F120" s="603" t="s">
        <v>117</v>
      </c>
      <c r="G120" s="772">
        <f>+G118</f>
        <v>1</v>
      </c>
      <c r="H120" s="774"/>
      <c r="I120" s="775">
        <f>D120*G120</f>
        <v>0</v>
      </c>
      <c r="J120" s="603"/>
      <c r="K120" s="583"/>
    </row>
    <row r="121" spans="1:11" ht="15.75">
      <c r="A121" s="5">
        <v>24</v>
      </c>
      <c r="B121" s="4" t="s">
        <v>124</v>
      </c>
      <c r="C121" s="603"/>
      <c r="D121" s="595">
        <f>SUM(D116:D120)</f>
        <v>-1049996690</v>
      </c>
      <c r="E121" s="603"/>
      <c r="F121" s="603"/>
      <c r="G121" s="774"/>
      <c r="H121" s="774"/>
      <c r="I121" s="770">
        <f>SUM(I116:I120)</f>
        <v>-1049996690</v>
      </c>
      <c r="J121" s="603"/>
      <c r="K121" s="603"/>
    </row>
    <row r="122" spans="1:11" ht="15.75">
      <c r="A122" s="5"/>
      <c r="B122" s="723"/>
      <c r="C122" s="603"/>
      <c r="D122" s="723"/>
      <c r="E122" s="603"/>
      <c r="F122" s="603"/>
      <c r="G122" s="583"/>
      <c r="H122" s="603"/>
      <c r="I122" s="723"/>
      <c r="J122" s="603"/>
      <c r="K122" s="583"/>
    </row>
    <row r="123" spans="1:11" ht="15.75">
      <c r="A123" s="5">
        <v>25</v>
      </c>
      <c r="B123" s="4" t="s">
        <v>125</v>
      </c>
      <c r="C123" s="590" t="s">
        <v>126</v>
      </c>
      <c r="D123" s="606">
        <f>ROUND('Plant Balances (pg. 2) '!G22,0)</f>
        <v>14444528</v>
      </c>
      <c r="E123" s="603"/>
      <c r="F123" s="603" t="s">
        <v>19</v>
      </c>
      <c r="G123" s="772">
        <f>+G96</f>
        <v>1</v>
      </c>
      <c r="H123" s="774"/>
      <c r="I123" s="770">
        <f>+G123*D123</f>
        <v>14444528</v>
      </c>
      <c r="J123" s="603"/>
      <c r="K123" s="603"/>
    </row>
    <row r="124" spans="1:11" ht="15.75">
      <c r="A124" s="5"/>
      <c r="B124" s="4"/>
      <c r="C124" s="603"/>
      <c r="D124" s="603"/>
      <c r="E124" s="603"/>
      <c r="F124" s="603"/>
      <c r="G124" s="774"/>
      <c r="H124" s="774"/>
      <c r="I124" s="774"/>
      <c r="J124" s="603"/>
      <c r="K124" s="603"/>
    </row>
    <row r="125" spans="1:11" ht="15.75">
      <c r="A125" s="5"/>
      <c r="B125" s="4" t="s">
        <v>127</v>
      </c>
      <c r="C125" s="603" t="s">
        <v>3</v>
      </c>
      <c r="D125" s="603"/>
      <c r="E125" s="603"/>
      <c r="F125" s="603"/>
      <c r="G125" s="774"/>
      <c r="H125" s="774"/>
      <c r="I125" s="774"/>
      <c r="J125" s="603"/>
      <c r="K125" s="603"/>
    </row>
    <row r="126" spans="1:11" ht="15.75">
      <c r="A126" s="5">
        <v>26</v>
      </c>
      <c r="B126" s="4" t="s">
        <v>128</v>
      </c>
      <c r="C126" s="723" t="s">
        <v>129</v>
      </c>
      <c r="D126" s="604">
        <f>+D168/8</f>
        <v>25152803.25</v>
      </c>
      <c r="E126" s="603"/>
      <c r="F126" s="603"/>
      <c r="G126" s="788"/>
      <c r="H126" s="774"/>
      <c r="I126" s="770">
        <f>+I168/8</f>
        <v>23026912.610817466</v>
      </c>
      <c r="J126" s="4"/>
      <c r="K126" s="583"/>
    </row>
    <row r="127" spans="1:11" ht="15.75">
      <c r="A127" s="5">
        <v>27</v>
      </c>
      <c r="B127" s="4" t="s">
        <v>130</v>
      </c>
      <c r="C127" s="590" t="s">
        <v>131</v>
      </c>
      <c r="D127" s="606">
        <f>ROUND('Plant Balances (pg. 2) '!H22,0)</f>
        <v>31575532</v>
      </c>
      <c r="E127" s="603"/>
      <c r="F127" s="603" t="s">
        <v>132</v>
      </c>
      <c r="G127" s="772">
        <f>I244</f>
        <v>0.88793625041208013</v>
      </c>
      <c r="H127" s="774"/>
      <c r="I127" s="770">
        <f>+G127*D127</f>
        <v>28037059.488846648</v>
      </c>
      <c r="J127" s="603" t="s">
        <v>3</v>
      </c>
      <c r="K127" s="583"/>
    </row>
    <row r="128" spans="1:11" ht="16.5" thickBot="1">
      <c r="A128" s="5">
        <v>28</v>
      </c>
      <c r="B128" s="4" t="s">
        <v>133</v>
      </c>
      <c r="C128" s="774" t="s">
        <v>134</v>
      </c>
      <c r="D128" s="605">
        <f>ROUND('Plant Balances (pg. 2) '!I22,0)</f>
        <v>19903984</v>
      </c>
      <c r="E128" s="603"/>
      <c r="F128" s="603" t="s">
        <v>135</v>
      </c>
      <c r="G128" s="772">
        <f>+G92</f>
        <v>1</v>
      </c>
      <c r="H128" s="774"/>
      <c r="I128" s="775">
        <f>+G128*D128</f>
        <v>19903984</v>
      </c>
      <c r="J128" s="603"/>
      <c r="K128" s="583"/>
    </row>
    <row r="129" spans="1:11" ht="15.75">
      <c r="A129" s="5">
        <v>29</v>
      </c>
      <c r="B129" s="4" t="s">
        <v>136</v>
      </c>
      <c r="C129" s="4"/>
      <c r="D129" s="604">
        <f>SUM(D126:D128)</f>
        <v>76632319.25</v>
      </c>
      <c r="E129" s="4"/>
      <c r="F129" s="4"/>
      <c r="G129" s="759"/>
      <c r="H129" s="759"/>
      <c r="I129" s="770">
        <f>I126+I127+I128</f>
        <v>70967956.099664122</v>
      </c>
      <c r="J129" s="4"/>
      <c r="K129" s="4"/>
    </row>
    <row r="130" spans="1:11" ht="16.5" thickBot="1">
      <c r="A130" s="723"/>
      <c r="B130" s="723"/>
      <c r="C130" s="603"/>
      <c r="D130" s="730"/>
      <c r="E130" s="603"/>
      <c r="F130" s="603"/>
      <c r="G130" s="603"/>
      <c r="H130" s="603"/>
      <c r="I130" s="730"/>
      <c r="J130" s="603"/>
      <c r="K130" s="603"/>
    </row>
    <row r="131" spans="1:11" ht="16.5" thickBot="1">
      <c r="A131" s="5">
        <v>30</v>
      </c>
      <c r="B131" s="4" t="s">
        <v>137</v>
      </c>
      <c r="C131" s="603"/>
      <c r="D131" s="781">
        <f>+D129+D123+D121+D113</f>
        <v>5507726432.3500004</v>
      </c>
      <c r="E131" s="774"/>
      <c r="F131" s="774"/>
      <c r="G131" s="779"/>
      <c r="H131" s="774"/>
      <c r="I131" s="781">
        <f>+I129+I123+I121+I113</f>
        <v>5502062069.1996641</v>
      </c>
      <c r="J131" s="603"/>
      <c r="K131" s="583"/>
    </row>
    <row r="132" spans="1:11" ht="16.5" thickTop="1">
      <c r="A132" s="5"/>
      <c r="B132" s="4"/>
      <c r="C132" s="603"/>
      <c r="D132" s="774"/>
      <c r="E132" s="774"/>
      <c r="F132" s="774"/>
      <c r="G132" s="779"/>
      <c r="H132" s="774"/>
      <c r="I132" s="774"/>
      <c r="J132" s="603"/>
      <c r="K132" s="583"/>
    </row>
    <row r="133" spans="1:11" ht="15.75">
      <c r="A133" s="5"/>
      <c r="B133" s="4"/>
      <c r="C133" s="603"/>
      <c r="D133" s="774"/>
      <c r="E133" s="774"/>
      <c r="F133" s="774"/>
      <c r="G133" s="779"/>
      <c r="H133" s="774"/>
      <c r="I133" s="774"/>
      <c r="J133" s="603"/>
      <c r="K133" s="583"/>
    </row>
    <row r="134" spans="1:11" ht="15.75">
      <c r="A134" s="5"/>
      <c r="B134" s="4"/>
      <c r="C134" s="603"/>
      <c r="D134" s="774"/>
      <c r="E134" s="774"/>
      <c r="F134" s="774"/>
      <c r="G134" s="779"/>
      <c r="H134" s="774"/>
      <c r="I134" s="774"/>
      <c r="J134" s="603"/>
      <c r="K134" s="583"/>
    </row>
    <row r="135" spans="1:11" ht="15.75">
      <c r="A135" s="5"/>
      <c r="B135" s="4"/>
      <c r="C135" s="603"/>
      <c r="D135" s="774"/>
      <c r="E135" s="774"/>
      <c r="F135" s="774"/>
      <c r="G135" s="779"/>
      <c r="H135" s="774"/>
      <c r="I135" s="774"/>
      <c r="J135" s="603"/>
      <c r="K135" s="583"/>
    </row>
    <row r="136" spans="1:11" ht="15.75">
      <c r="A136" s="5"/>
      <c r="B136" s="4"/>
      <c r="C136" s="603"/>
      <c r="D136" s="774"/>
      <c r="E136" s="774"/>
      <c r="F136" s="774"/>
      <c r="G136" s="779"/>
      <c r="H136" s="774"/>
      <c r="I136" s="774"/>
      <c r="J136" s="603"/>
      <c r="K136" s="583"/>
    </row>
    <row r="137" spans="1:11" ht="15.75">
      <c r="A137" s="5"/>
      <c r="B137" s="4"/>
      <c r="C137" s="603"/>
      <c r="D137" s="774"/>
      <c r="E137" s="774"/>
      <c r="F137" s="774"/>
      <c r="G137" s="779"/>
      <c r="H137" s="774"/>
      <c r="I137" s="774"/>
      <c r="J137" s="603"/>
      <c r="K137" s="583"/>
    </row>
    <row r="138" spans="1:11" ht="15.75">
      <c r="A138" s="5"/>
      <c r="B138" s="4"/>
      <c r="C138" s="603"/>
      <c r="D138" s="774"/>
      <c r="E138" s="774"/>
      <c r="F138" s="774"/>
      <c r="G138" s="779"/>
      <c r="H138" s="774"/>
      <c r="I138" s="774"/>
      <c r="J138" s="603"/>
      <c r="K138" s="583"/>
    </row>
    <row r="139" spans="1:11" ht="15.75">
      <c r="A139" s="5"/>
      <c r="B139" s="4"/>
      <c r="C139" s="603"/>
      <c r="D139" s="774"/>
      <c r="E139" s="774"/>
      <c r="F139" s="774"/>
      <c r="G139" s="779"/>
      <c r="H139" s="774"/>
      <c r="I139" s="774"/>
      <c r="J139" s="603"/>
      <c r="K139" s="583"/>
    </row>
    <row r="140" spans="1:11" ht="15.75">
      <c r="A140" s="5"/>
      <c r="B140" s="4"/>
      <c r="C140" s="603"/>
      <c r="D140" s="774"/>
      <c r="E140" s="774"/>
      <c r="F140" s="774"/>
      <c r="G140" s="779"/>
      <c r="H140" s="774"/>
      <c r="I140" s="774"/>
      <c r="J140" s="603"/>
      <c r="K140" s="583"/>
    </row>
    <row r="141" spans="1:11" ht="15.75">
      <c r="A141" s="5"/>
      <c r="B141" s="4"/>
      <c r="C141" s="603"/>
      <c r="D141" s="774"/>
      <c r="E141" s="774"/>
      <c r="F141" s="774"/>
      <c r="G141" s="779"/>
      <c r="H141" s="774"/>
      <c r="I141" s="774"/>
      <c r="J141" s="603"/>
      <c r="K141" s="583"/>
    </row>
    <row r="142" spans="1:11" ht="15.75">
      <c r="A142" s="5"/>
      <c r="B142" s="4"/>
      <c r="C142" s="603"/>
      <c r="D142" s="774"/>
      <c r="E142" s="774"/>
      <c r="F142" s="774"/>
      <c r="G142" s="779"/>
      <c r="H142" s="774"/>
      <c r="I142" s="774"/>
      <c r="J142" s="603"/>
      <c r="K142" s="583"/>
    </row>
    <row r="143" spans="1:11" ht="15.75">
      <c r="A143" s="5"/>
      <c r="B143" s="4"/>
      <c r="C143" s="603"/>
      <c r="D143" s="774"/>
      <c r="E143" s="774"/>
      <c r="F143" s="774"/>
      <c r="G143" s="779"/>
      <c r="H143" s="774"/>
      <c r="I143" s="774"/>
      <c r="J143" s="603"/>
      <c r="K143" s="583"/>
    </row>
    <row r="144" spans="1:11" ht="15.75">
      <c r="A144" s="5"/>
      <c r="B144" s="4"/>
      <c r="C144" s="603"/>
      <c r="D144" s="774"/>
      <c r="E144" s="774"/>
      <c r="F144" s="774"/>
      <c r="G144" s="779"/>
      <c r="H144" s="774"/>
      <c r="I144" s="774"/>
      <c r="J144" s="603"/>
      <c r="K144" s="583"/>
    </row>
    <row r="145" spans="1:11" ht="15.75">
      <c r="A145" s="5"/>
      <c r="B145" s="4"/>
      <c r="C145" s="603"/>
      <c r="D145" s="774"/>
      <c r="E145" s="774"/>
      <c r="F145" s="774"/>
      <c r="G145" s="779"/>
      <c r="H145" s="774"/>
      <c r="I145" s="774"/>
      <c r="J145" s="603"/>
      <c r="K145" s="583"/>
    </row>
    <row r="146" spans="1:11" ht="15.75">
      <c r="A146" s="5"/>
      <c r="B146" s="4"/>
      <c r="C146" s="603"/>
      <c r="D146" s="774"/>
      <c r="E146" s="774"/>
      <c r="F146" s="774"/>
      <c r="G146" s="779"/>
      <c r="H146" s="774"/>
      <c r="I146" s="774"/>
      <c r="J146" s="603"/>
      <c r="K146" s="583"/>
    </row>
    <row r="147" spans="1:11" ht="15.75">
      <c r="A147" s="5"/>
      <c r="B147" s="4"/>
      <c r="C147" s="603"/>
      <c r="D147" s="774"/>
      <c r="E147" s="774"/>
      <c r="F147" s="774"/>
      <c r="G147" s="779"/>
      <c r="H147" s="774"/>
      <c r="I147" s="774"/>
      <c r="J147" s="603"/>
      <c r="K147" s="583"/>
    </row>
    <row r="148" spans="1:11" ht="15.75">
      <c r="A148" s="5"/>
      <c r="B148" s="4"/>
      <c r="C148" s="603"/>
      <c r="D148" s="774"/>
      <c r="E148" s="774"/>
      <c r="F148" s="774"/>
      <c r="G148" s="779"/>
      <c r="H148" s="774"/>
      <c r="I148" s="774"/>
      <c r="J148" s="603"/>
      <c r="K148" s="583"/>
    </row>
    <row r="149" spans="1:11" ht="15.75">
      <c r="A149" s="5"/>
      <c r="B149" s="4"/>
      <c r="C149" s="603"/>
      <c r="D149" s="603"/>
      <c r="E149" s="603"/>
      <c r="F149" s="603"/>
      <c r="G149" s="603"/>
      <c r="H149" s="603"/>
      <c r="I149" s="603"/>
      <c r="J149" s="603"/>
      <c r="K149" s="573" t="s">
        <v>138</v>
      </c>
    </row>
    <row r="150" spans="1:11" ht="15.75">
      <c r="A150" s="5"/>
      <c r="B150" s="4"/>
      <c r="C150" s="603"/>
      <c r="D150" s="603"/>
      <c r="E150" s="603"/>
      <c r="F150" s="603"/>
      <c r="G150" s="603"/>
      <c r="H150" s="603"/>
      <c r="I150" s="603"/>
      <c r="J150" s="603"/>
      <c r="K150" s="573"/>
    </row>
    <row r="151" spans="1:11" ht="15.75">
      <c r="A151" s="5"/>
      <c r="B151" s="4" t="s">
        <v>1</v>
      </c>
      <c r="C151" s="603"/>
      <c r="D151" s="603" t="s">
        <v>2</v>
      </c>
      <c r="E151" s="603"/>
      <c r="F151" s="603"/>
      <c r="G151" s="603"/>
      <c r="H151" s="603"/>
      <c r="I151" s="759"/>
      <c r="J151" s="603"/>
      <c r="K151" s="594" t="str">
        <f>K3</f>
        <v>For the 12 months ended 12/31/2025</v>
      </c>
    </row>
    <row r="152" spans="1:11" ht="15.75">
      <c r="A152" s="5"/>
      <c r="B152" s="4"/>
      <c r="C152" s="603"/>
      <c r="D152" s="603" t="s">
        <v>4</v>
      </c>
      <c r="E152" s="603"/>
      <c r="F152" s="603"/>
      <c r="G152" s="603"/>
      <c r="H152" s="603"/>
      <c r="I152" s="603"/>
      <c r="J152" s="603"/>
      <c r="K152" s="603"/>
    </row>
    <row r="153" spans="1:11" ht="15.75">
      <c r="A153" s="5"/>
      <c r="B153" s="723"/>
      <c r="C153" s="603"/>
      <c r="D153" s="603"/>
      <c r="E153" s="603"/>
      <c r="F153" s="603"/>
      <c r="G153" s="603"/>
      <c r="H153" s="603"/>
      <c r="I153" s="603"/>
      <c r="J153" s="603"/>
      <c r="K153" s="603"/>
    </row>
    <row r="154" spans="1:11" ht="15.75">
      <c r="A154" s="851" t="str">
        <f>A6</f>
        <v>American Transmission Company LLC</v>
      </c>
      <c r="B154" s="851"/>
      <c r="C154" s="851"/>
      <c r="D154" s="851"/>
      <c r="E154" s="851"/>
      <c r="F154" s="851"/>
      <c r="G154" s="851"/>
      <c r="H154" s="851"/>
      <c r="I154" s="851"/>
      <c r="J154" s="851"/>
      <c r="K154" s="851"/>
    </row>
    <row r="155" spans="1:11" ht="15.75">
      <c r="A155" s="5"/>
      <c r="B155" s="5" t="s">
        <v>62</v>
      </c>
      <c r="C155" s="5" t="s">
        <v>63</v>
      </c>
      <c r="D155" s="5" t="s">
        <v>64</v>
      </c>
      <c r="E155" s="603" t="s">
        <v>3</v>
      </c>
      <c r="F155" s="603"/>
      <c r="G155" s="593" t="s">
        <v>65</v>
      </c>
      <c r="H155" s="603"/>
      <c r="I155" s="758" t="s">
        <v>66</v>
      </c>
      <c r="J155" s="603"/>
      <c r="K155" s="603"/>
    </row>
    <row r="156" spans="1:11" ht="15.75">
      <c r="A156" s="5" t="s">
        <v>8</v>
      </c>
      <c r="B156" s="4"/>
      <c r="C156" s="584" t="s">
        <v>67</v>
      </c>
      <c r="D156" s="603"/>
      <c r="E156" s="603"/>
      <c r="F156" s="603"/>
      <c r="G156" s="5"/>
      <c r="H156" s="603"/>
      <c r="I156" s="10" t="s">
        <v>68</v>
      </c>
      <c r="J156" s="603"/>
      <c r="K156" s="10"/>
    </row>
    <row r="157" spans="1:11" ht="16.5" thickBot="1">
      <c r="A157" s="6" t="s">
        <v>10</v>
      </c>
      <c r="B157" s="4"/>
      <c r="C157" s="592" t="s">
        <v>69</v>
      </c>
      <c r="D157" s="10" t="s">
        <v>70</v>
      </c>
      <c r="E157" s="751"/>
      <c r="F157" s="10" t="s">
        <v>71</v>
      </c>
      <c r="G157" s="723"/>
      <c r="H157" s="751"/>
      <c r="I157" s="5" t="s">
        <v>72</v>
      </c>
      <c r="J157" s="603"/>
      <c r="K157" s="10"/>
    </row>
    <row r="158" spans="1:11" ht="15.75">
      <c r="A158" s="5"/>
      <c r="B158" s="4" t="s">
        <v>139</v>
      </c>
      <c r="C158" s="603"/>
      <c r="D158" s="603"/>
      <c r="E158" s="603"/>
      <c r="F158" s="603"/>
      <c r="G158" s="603"/>
      <c r="H158" s="603"/>
      <c r="I158" s="603"/>
      <c r="J158" s="603"/>
      <c r="K158" s="603"/>
    </row>
    <row r="159" spans="1:11" ht="15.75">
      <c r="A159" s="5">
        <v>1</v>
      </c>
      <c r="B159" s="4" t="s">
        <v>140</v>
      </c>
      <c r="C159" s="603" t="s">
        <v>1049</v>
      </c>
      <c r="D159" s="606">
        <f>ROUND('Expense (pg. 3) '!C17,0)</f>
        <v>151178138</v>
      </c>
      <c r="E159" s="603"/>
      <c r="F159" s="603" t="s">
        <v>132</v>
      </c>
      <c r="G159" s="772">
        <f>I244</f>
        <v>0.88793625041208013</v>
      </c>
      <c r="H159" s="774"/>
      <c r="I159" s="770">
        <f t="shared" ref="I159:I167" si="0">+G159*D159</f>
        <v>134236549</v>
      </c>
      <c r="J159" s="4"/>
      <c r="K159" s="603"/>
    </row>
    <row r="160" spans="1:11" ht="15.75">
      <c r="A160" s="5" t="s">
        <v>141</v>
      </c>
      <c r="B160" s="4" t="s">
        <v>142</v>
      </c>
      <c r="C160" s="603"/>
      <c r="D160" s="606">
        <v>0</v>
      </c>
      <c r="E160" s="603"/>
      <c r="F160" s="750"/>
      <c r="G160" s="788">
        <v>1</v>
      </c>
      <c r="H160" s="774"/>
      <c r="I160" s="770">
        <f t="shared" si="0"/>
        <v>0</v>
      </c>
      <c r="J160" s="4"/>
      <c r="K160" s="603"/>
    </row>
    <row r="161" spans="1:11" ht="15.75">
      <c r="A161" s="5">
        <v>2</v>
      </c>
      <c r="B161" s="4" t="s">
        <v>143</v>
      </c>
      <c r="C161" s="603" t="s">
        <v>144</v>
      </c>
      <c r="D161" s="606">
        <v>0</v>
      </c>
      <c r="E161" s="603"/>
      <c r="F161" s="603" t="s">
        <v>3</v>
      </c>
      <c r="G161" s="788">
        <v>1</v>
      </c>
      <c r="H161" s="774"/>
      <c r="I161" s="770">
        <f t="shared" si="0"/>
        <v>0</v>
      </c>
      <c r="J161" s="4"/>
      <c r="K161" s="603"/>
    </row>
    <row r="162" spans="1:11" ht="15.75">
      <c r="A162" s="5">
        <v>3</v>
      </c>
      <c r="B162" s="4" t="s">
        <v>145</v>
      </c>
      <c r="C162" s="603" t="s">
        <v>146</v>
      </c>
      <c r="D162" s="606">
        <f>ROUND('Expense (pg. 3) '!D17,0)</f>
        <v>50359288</v>
      </c>
      <c r="E162" s="603"/>
      <c r="F162" s="603" t="s">
        <v>87</v>
      </c>
      <c r="G162" s="772">
        <f>+G99</f>
        <v>1</v>
      </c>
      <c r="H162" s="774"/>
      <c r="I162" s="770">
        <f t="shared" si="0"/>
        <v>50359288</v>
      </c>
      <c r="J162" s="603"/>
      <c r="K162" s="603" t="s">
        <v>3</v>
      </c>
    </row>
    <row r="163" spans="1:11" ht="15.75">
      <c r="A163" s="5">
        <v>4</v>
      </c>
      <c r="B163" s="4" t="s">
        <v>147</v>
      </c>
      <c r="C163" s="603"/>
      <c r="D163" s="748">
        <v>0</v>
      </c>
      <c r="E163" s="603"/>
      <c r="F163" s="603" t="s">
        <v>87</v>
      </c>
      <c r="G163" s="772">
        <f>+G162</f>
        <v>1</v>
      </c>
      <c r="H163" s="774"/>
      <c r="I163" s="770">
        <f t="shared" si="0"/>
        <v>0</v>
      </c>
      <c r="J163" s="603"/>
      <c r="K163" s="603"/>
    </row>
    <row r="164" spans="1:11" ht="15.75">
      <c r="A164" s="5">
        <v>5</v>
      </c>
      <c r="B164" s="4" t="s">
        <v>148</v>
      </c>
      <c r="C164" s="603"/>
      <c r="D164" s="606">
        <f>ROUND('Expense (pg. 3) '!E17,0)</f>
        <v>899811</v>
      </c>
      <c r="E164" s="603"/>
      <c r="F164" s="603" t="s">
        <v>87</v>
      </c>
      <c r="G164" s="772">
        <f>+G163</f>
        <v>1</v>
      </c>
      <c r="H164" s="774"/>
      <c r="I164" s="770">
        <f t="shared" si="0"/>
        <v>899811</v>
      </c>
      <c r="J164" s="603"/>
      <c r="K164" s="603"/>
    </row>
    <row r="165" spans="1:11" ht="15.75">
      <c r="A165" s="5" t="s">
        <v>149</v>
      </c>
      <c r="B165" s="4" t="s">
        <v>150</v>
      </c>
      <c r="C165" s="603"/>
      <c r="D165" s="606">
        <f>ROUND('Expense (pg. 3) '!F17,0)</f>
        <v>584811</v>
      </c>
      <c r="E165" s="603"/>
      <c r="F165" s="749" t="s">
        <v>132</v>
      </c>
      <c r="G165" s="772">
        <f>+G159</f>
        <v>0.88793625041208013</v>
      </c>
      <c r="H165" s="774"/>
      <c r="I165" s="770">
        <f t="shared" si="0"/>
        <v>519274.88653973897</v>
      </c>
      <c r="J165" s="603"/>
      <c r="K165" s="603"/>
    </row>
    <row r="166" spans="1:11" ht="15.75">
      <c r="A166" s="5">
        <v>6</v>
      </c>
      <c r="B166" s="4" t="s">
        <v>88</v>
      </c>
      <c r="C166" s="603" t="s">
        <v>89</v>
      </c>
      <c r="D166" s="606">
        <v>0</v>
      </c>
      <c r="E166" s="603"/>
      <c r="F166" s="603" t="s">
        <v>90</v>
      </c>
      <c r="G166" s="772">
        <f>+G100</f>
        <v>1</v>
      </c>
      <c r="H166" s="774"/>
      <c r="I166" s="770">
        <f t="shared" si="0"/>
        <v>0</v>
      </c>
      <c r="J166" s="603"/>
      <c r="K166" s="603"/>
    </row>
    <row r="167" spans="1:11" ht="16.5" thickBot="1">
      <c r="A167" s="5">
        <v>7</v>
      </c>
      <c r="B167" s="4" t="s">
        <v>151</v>
      </c>
      <c r="C167" s="603"/>
      <c r="D167" s="605">
        <v>0</v>
      </c>
      <c r="E167" s="603"/>
      <c r="F167" s="603" t="s">
        <v>3</v>
      </c>
      <c r="G167" s="788">
        <v>1</v>
      </c>
      <c r="H167" s="774"/>
      <c r="I167" s="775">
        <f t="shared" si="0"/>
        <v>0</v>
      </c>
      <c r="J167" s="603"/>
      <c r="K167" s="603"/>
    </row>
    <row r="168" spans="1:11" ht="15.75">
      <c r="A168" s="5">
        <v>8</v>
      </c>
      <c r="B168" s="4" t="s">
        <v>152</v>
      </c>
      <c r="C168" s="603"/>
      <c r="D168" s="604">
        <f>D159+D162+D165+D166+D167-D161-D163-D164-D160</f>
        <v>201222426</v>
      </c>
      <c r="E168" s="603"/>
      <c r="F168" s="603"/>
      <c r="G168" s="774"/>
      <c r="H168" s="774"/>
      <c r="I168" s="770">
        <f>+I159-I161+I162-I163-I164+I166+I167+I165-I160</f>
        <v>184215300.88653973</v>
      </c>
      <c r="J168" s="603"/>
      <c r="K168" s="603"/>
    </row>
    <row r="169" spans="1:11" ht="15.75">
      <c r="A169" s="5"/>
      <c r="B169" s="723"/>
      <c r="C169" s="603"/>
      <c r="D169" s="723"/>
      <c r="E169" s="603"/>
      <c r="F169" s="603"/>
      <c r="G169" s="603"/>
      <c r="H169" s="603"/>
      <c r="I169" s="723"/>
      <c r="J169" s="603"/>
      <c r="K169" s="603"/>
    </row>
    <row r="170" spans="1:11" ht="15.75">
      <c r="A170" s="5"/>
      <c r="B170" s="4" t="s">
        <v>153</v>
      </c>
      <c r="C170" s="603"/>
      <c r="D170" s="603"/>
      <c r="E170" s="603"/>
      <c r="F170" s="603"/>
      <c r="G170" s="603"/>
      <c r="H170" s="603"/>
      <c r="I170" s="603"/>
      <c r="J170" s="603"/>
      <c r="K170" s="603"/>
    </row>
    <row r="171" spans="1:11" ht="15.75">
      <c r="A171" s="5">
        <v>9</v>
      </c>
      <c r="B171" s="4" t="s">
        <v>79</v>
      </c>
      <c r="C171" s="590" t="s">
        <v>154</v>
      </c>
      <c r="D171" s="606">
        <f>ROUND('Expense (pg. 3) '!G17,0)</f>
        <v>217810642</v>
      </c>
      <c r="E171" s="603"/>
      <c r="F171" s="603" t="s">
        <v>19</v>
      </c>
      <c r="G171" s="772">
        <f>+G123</f>
        <v>1</v>
      </c>
      <c r="H171" s="774"/>
      <c r="I171" s="770">
        <f>+G171*D171</f>
        <v>217810642</v>
      </c>
      <c r="J171" s="603"/>
      <c r="K171" s="583"/>
    </row>
    <row r="172" spans="1:11" ht="15.75">
      <c r="A172" s="5" t="s">
        <v>1048</v>
      </c>
      <c r="B172" s="4" t="s">
        <v>1047</v>
      </c>
      <c r="C172" s="590" t="s">
        <v>1046</v>
      </c>
      <c r="D172" s="606">
        <f>-'Expense (pg. 3) '!I17</f>
        <v>-456891.75</v>
      </c>
      <c r="E172" s="603"/>
      <c r="F172" s="604" t="str">
        <f>F171</f>
        <v>TP</v>
      </c>
      <c r="G172" s="772">
        <f>G171</f>
        <v>1</v>
      </c>
      <c r="H172" s="774"/>
      <c r="I172" s="770">
        <f>+G172*D172</f>
        <v>-456891.75</v>
      </c>
      <c r="J172" s="603"/>
      <c r="K172" s="583"/>
    </row>
    <row r="173" spans="1:11" ht="15.75">
      <c r="A173" s="5">
        <v>10</v>
      </c>
      <c r="B173" s="591" t="s">
        <v>85</v>
      </c>
      <c r="C173" s="590" t="s">
        <v>155</v>
      </c>
      <c r="D173" s="606">
        <f>ROUND('Expense (pg. 3) '!H17,0)</f>
        <v>27762323</v>
      </c>
      <c r="E173" s="603"/>
      <c r="F173" s="603" t="s">
        <v>87</v>
      </c>
      <c r="G173" s="772">
        <f>+G162</f>
        <v>1</v>
      </c>
      <c r="H173" s="774"/>
      <c r="I173" s="770">
        <f>+G173*D173</f>
        <v>27762323</v>
      </c>
      <c r="J173" s="603"/>
      <c r="K173" s="583"/>
    </row>
    <row r="174" spans="1:11" ht="16.5" thickBot="1">
      <c r="A174" s="5">
        <v>11</v>
      </c>
      <c r="B174" s="4" t="s">
        <v>88</v>
      </c>
      <c r="C174" s="590" t="s">
        <v>156</v>
      </c>
      <c r="D174" s="605">
        <v>0</v>
      </c>
      <c r="E174" s="603"/>
      <c r="F174" s="603" t="s">
        <v>90</v>
      </c>
      <c r="G174" s="772">
        <f>+G166</f>
        <v>1</v>
      </c>
      <c r="H174" s="774"/>
      <c r="I174" s="775">
        <f>+G174*D174</f>
        <v>0</v>
      </c>
      <c r="J174" s="603"/>
      <c r="K174" s="583"/>
    </row>
    <row r="175" spans="1:11" ht="15.75">
      <c r="A175" s="5">
        <v>12</v>
      </c>
      <c r="B175" s="4" t="s">
        <v>157</v>
      </c>
      <c r="C175" s="603"/>
      <c r="D175" s="604">
        <f>SUM(D171:D174)</f>
        <v>245116073.25</v>
      </c>
      <c r="E175" s="603"/>
      <c r="F175" s="603"/>
      <c r="G175" s="774"/>
      <c r="H175" s="774"/>
      <c r="I175" s="770">
        <f>SUM(I171:I174)</f>
        <v>245116073.25</v>
      </c>
      <c r="J175" s="603"/>
      <c r="K175" s="603"/>
    </row>
    <row r="176" spans="1:11" ht="15.75">
      <c r="A176" s="5"/>
      <c r="B176" s="4"/>
      <c r="C176" s="603"/>
      <c r="D176" s="603"/>
      <c r="E176" s="603"/>
      <c r="F176" s="603"/>
      <c r="G176" s="774"/>
      <c r="H176" s="774"/>
      <c r="I176" s="774"/>
      <c r="J176" s="603"/>
      <c r="K176" s="603"/>
    </row>
    <row r="177" spans="1:11" ht="15.75">
      <c r="A177" s="5" t="s">
        <v>3</v>
      </c>
      <c r="B177" s="4" t="s">
        <v>158</v>
      </c>
      <c r="C177" s="723"/>
      <c r="D177" s="603"/>
      <c r="E177" s="603"/>
      <c r="F177" s="603"/>
      <c r="G177" s="774"/>
      <c r="H177" s="774"/>
      <c r="I177" s="774"/>
      <c r="J177" s="603"/>
      <c r="K177" s="603"/>
    </row>
    <row r="178" spans="1:11" ht="15.75">
      <c r="A178" s="5"/>
      <c r="B178" s="4" t="s">
        <v>159</v>
      </c>
      <c r="C178" s="723"/>
      <c r="D178" s="723"/>
      <c r="E178" s="603"/>
      <c r="F178" s="603"/>
      <c r="G178" s="759"/>
      <c r="H178" s="774"/>
      <c r="I178" s="759"/>
      <c r="J178" s="603"/>
      <c r="K178" s="583"/>
    </row>
    <row r="179" spans="1:11" ht="15.75">
      <c r="A179" s="5">
        <v>13</v>
      </c>
      <c r="B179" s="4" t="s">
        <v>160</v>
      </c>
      <c r="C179" s="603" t="s">
        <v>161</v>
      </c>
      <c r="D179" s="606">
        <f>ROUND('Expense (pg. 3) '!J17,0)</f>
        <v>5768027</v>
      </c>
      <c r="E179" s="603"/>
      <c r="F179" s="603" t="s">
        <v>87</v>
      </c>
      <c r="G179" s="771">
        <f>+G173</f>
        <v>1</v>
      </c>
      <c r="H179" s="774"/>
      <c r="I179" s="770">
        <f>+G179*D179</f>
        <v>5768027</v>
      </c>
      <c r="J179" s="603"/>
      <c r="K179" s="583"/>
    </row>
    <row r="180" spans="1:11" ht="15.75">
      <c r="A180" s="5">
        <v>14</v>
      </c>
      <c r="B180" s="4" t="s">
        <v>162</v>
      </c>
      <c r="C180" s="603" t="s">
        <v>161</v>
      </c>
      <c r="D180" s="606">
        <v>0</v>
      </c>
      <c r="E180" s="603"/>
      <c r="F180" s="603" t="s">
        <v>87</v>
      </c>
      <c r="G180" s="771">
        <f>+G179</f>
        <v>1</v>
      </c>
      <c r="H180" s="774"/>
      <c r="I180" s="770">
        <f>+G180*D180</f>
        <v>0</v>
      </c>
      <c r="J180" s="603"/>
      <c r="K180" s="583"/>
    </row>
    <row r="181" spans="1:11" ht="15.75">
      <c r="A181" s="5">
        <v>15</v>
      </c>
      <c r="B181" s="4" t="s">
        <v>163</v>
      </c>
      <c r="C181" s="603" t="s">
        <v>3</v>
      </c>
      <c r="D181" s="723"/>
      <c r="E181" s="603"/>
      <c r="F181" s="603"/>
      <c r="G181" s="759"/>
      <c r="H181" s="774"/>
      <c r="I181" s="759"/>
      <c r="J181" s="603"/>
      <c r="K181" s="583"/>
    </row>
    <row r="182" spans="1:11" ht="15.75">
      <c r="A182" s="5">
        <v>16</v>
      </c>
      <c r="B182" s="4" t="s">
        <v>164</v>
      </c>
      <c r="C182" s="603" t="s">
        <v>161</v>
      </c>
      <c r="D182" s="606">
        <f>ROUND('Expense (pg. 3) '!K17,0)</f>
        <v>20178268</v>
      </c>
      <c r="E182" s="603"/>
      <c r="F182" s="603" t="s">
        <v>135</v>
      </c>
      <c r="G182" s="771">
        <f>+G92</f>
        <v>1</v>
      </c>
      <c r="H182" s="774"/>
      <c r="I182" s="770">
        <f>+G182*D182</f>
        <v>20178268</v>
      </c>
      <c r="J182" s="603"/>
      <c r="K182" s="583"/>
    </row>
    <row r="183" spans="1:11" ht="15.75">
      <c r="A183" s="5">
        <v>17</v>
      </c>
      <c r="B183" s="4" t="s">
        <v>165</v>
      </c>
      <c r="C183" s="603" t="s">
        <v>161</v>
      </c>
      <c r="D183" s="606">
        <v>0</v>
      </c>
      <c r="E183" s="603"/>
      <c r="F183" s="603" t="s">
        <v>77</v>
      </c>
      <c r="G183" s="787" t="s">
        <v>114</v>
      </c>
      <c r="H183" s="774"/>
      <c r="I183" s="774">
        <v>0</v>
      </c>
      <c r="J183" s="603"/>
      <c r="K183" s="583"/>
    </row>
    <row r="184" spans="1:11" ht="15.75">
      <c r="A184" s="5">
        <v>18</v>
      </c>
      <c r="B184" s="4" t="s">
        <v>166</v>
      </c>
      <c r="C184" s="603" t="s">
        <v>161</v>
      </c>
      <c r="D184" s="606">
        <f>ROUND('Expense (pg. 3) '!L17,0)</f>
        <v>9189451</v>
      </c>
      <c r="E184" s="603"/>
      <c r="F184" s="603" t="s">
        <v>135</v>
      </c>
      <c r="G184" s="771">
        <f>+G182</f>
        <v>1</v>
      </c>
      <c r="H184" s="774"/>
      <c r="I184" s="770">
        <f>+G184*D184</f>
        <v>9189451</v>
      </c>
      <c r="J184" s="603"/>
      <c r="K184" s="583"/>
    </row>
    <row r="185" spans="1:11" ht="16.5" thickBot="1">
      <c r="A185" s="5">
        <v>19</v>
      </c>
      <c r="B185" s="4" t="s">
        <v>167</v>
      </c>
      <c r="C185" s="603"/>
      <c r="D185" s="605">
        <v>0</v>
      </c>
      <c r="E185" s="603"/>
      <c r="F185" s="603" t="s">
        <v>135</v>
      </c>
      <c r="G185" s="771">
        <f>+G182</f>
        <v>1</v>
      </c>
      <c r="H185" s="774"/>
      <c r="I185" s="775">
        <f>+G185*D185</f>
        <v>0</v>
      </c>
      <c r="J185" s="603"/>
      <c r="K185" s="583"/>
    </row>
    <row r="186" spans="1:11" ht="15.75">
      <c r="A186" s="5">
        <v>20</v>
      </c>
      <c r="B186" s="4" t="s">
        <v>168</v>
      </c>
      <c r="C186" s="603"/>
      <c r="D186" s="604">
        <f>SUM(D179:D185)</f>
        <v>35135746</v>
      </c>
      <c r="E186" s="603"/>
      <c r="F186" s="603"/>
      <c r="G186" s="784"/>
      <c r="H186" s="774"/>
      <c r="I186" s="770">
        <f>SUM(I179:I185)</f>
        <v>35135746</v>
      </c>
      <c r="J186" s="603"/>
      <c r="K186" s="603"/>
    </row>
    <row r="187" spans="1:11" ht="15.75">
      <c r="A187" s="5"/>
      <c r="B187" s="4"/>
      <c r="C187" s="603"/>
      <c r="D187" s="603"/>
      <c r="E187" s="603"/>
      <c r="F187" s="603"/>
      <c r="G187" s="746"/>
      <c r="H187" s="603"/>
      <c r="I187" s="603"/>
      <c r="J187" s="603"/>
      <c r="K187" s="603"/>
    </row>
    <row r="188" spans="1:11" ht="15.75">
      <c r="A188" s="5" t="s">
        <v>3</v>
      </c>
      <c r="B188" s="4" t="s">
        <v>169</v>
      </c>
      <c r="C188" s="603" t="s">
        <v>170</v>
      </c>
      <c r="D188" s="603"/>
      <c r="E188" s="603"/>
      <c r="F188" s="723"/>
      <c r="G188" s="12"/>
      <c r="H188" s="603"/>
      <c r="I188" s="723"/>
      <c r="J188" s="603"/>
      <c r="K188" s="723"/>
    </row>
    <row r="189" spans="1:11" ht="15.75">
      <c r="A189" s="5">
        <v>21</v>
      </c>
      <c r="B189" s="11" t="s">
        <v>171</v>
      </c>
      <c r="C189" s="603"/>
      <c r="D189" s="786">
        <f>IF(D316&gt;0,(1-((1-D317)*(1-D316))/(1-D317*D316*D318))*(1-D319),0)</f>
        <v>0.24354640234516059</v>
      </c>
      <c r="E189" s="603"/>
      <c r="F189" s="723"/>
      <c r="G189" s="12"/>
      <c r="H189" s="603"/>
      <c r="I189" s="723"/>
      <c r="J189" s="603"/>
      <c r="K189" s="723"/>
    </row>
    <row r="190" spans="1:11" ht="15.75">
      <c r="A190" s="5">
        <v>22</v>
      </c>
      <c r="B190" s="723" t="s">
        <v>1045</v>
      </c>
      <c r="C190" s="603"/>
      <c r="D190" s="786">
        <f>IF(I275&gt;0,(D189/(1-D189))*(1-I272/I275),0)</f>
        <v>0.22224286392077791</v>
      </c>
      <c r="E190" s="603"/>
      <c r="F190" s="723"/>
      <c r="G190" s="12"/>
      <c r="H190" s="603"/>
      <c r="I190" s="723"/>
      <c r="J190" s="603"/>
      <c r="K190" s="723"/>
    </row>
    <row r="191" spans="1:11" ht="15.75">
      <c r="A191" s="5"/>
      <c r="B191" s="4" t="s">
        <v>172</v>
      </c>
      <c r="C191" s="603"/>
      <c r="D191" s="603"/>
      <c r="E191" s="603"/>
      <c r="F191" s="723"/>
      <c r="G191" s="12"/>
      <c r="H191" s="603"/>
      <c r="I191" s="723"/>
      <c r="J191" s="603"/>
      <c r="K191" s="723"/>
    </row>
    <row r="192" spans="1:11" ht="15.75">
      <c r="A192" s="5"/>
      <c r="B192" s="4" t="s">
        <v>173</v>
      </c>
      <c r="C192" s="603"/>
      <c r="D192" s="603"/>
      <c r="E192" s="603"/>
      <c r="F192" s="723"/>
      <c r="G192" s="12"/>
      <c r="H192" s="603"/>
      <c r="I192" s="723"/>
      <c r="J192" s="603"/>
      <c r="K192" s="723"/>
    </row>
    <row r="193" spans="1:11" ht="15.75">
      <c r="A193" s="5">
        <v>23</v>
      </c>
      <c r="B193" s="11" t="s">
        <v>174</v>
      </c>
      <c r="C193" s="603"/>
      <c r="D193" s="785">
        <f>IF(D189&gt;0,1/(1-D189),0)</f>
        <v>1.3219581519609453</v>
      </c>
      <c r="E193" s="603"/>
      <c r="F193" s="723"/>
      <c r="G193" s="12"/>
      <c r="H193" s="603"/>
      <c r="I193" s="723"/>
      <c r="J193" s="603"/>
      <c r="K193" s="723"/>
    </row>
    <row r="194" spans="1:11" ht="15.75">
      <c r="A194" s="5">
        <v>24</v>
      </c>
      <c r="B194" s="4" t="s">
        <v>175</v>
      </c>
      <c r="C194" s="603"/>
      <c r="D194" s="748">
        <f>ROUND(-'Expense (pg. 3) '!C25,0)</f>
        <v>-38060</v>
      </c>
      <c r="E194" s="603"/>
      <c r="F194" s="723"/>
      <c r="G194" s="12"/>
      <c r="H194" s="603"/>
      <c r="I194" s="723"/>
      <c r="J194" s="603"/>
      <c r="K194" s="723"/>
    </row>
    <row r="195" spans="1:11" ht="15.75">
      <c r="A195" s="5" t="s">
        <v>176</v>
      </c>
      <c r="B195" s="4" t="s">
        <v>1044</v>
      </c>
      <c r="C195" s="603"/>
      <c r="D195" s="748">
        <f>ROUND(-'Expense (pg. 3) '!M17,0)</f>
        <v>-5188428</v>
      </c>
      <c r="E195" s="603"/>
      <c r="F195" s="723"/>
      <c r="G195" s="589"/>
      <c r="H195" s="603"/>
      <c r="I195" s="723"/>
      <c r="J195" s="603"/>
      <c r="K195" s="723"/>
    </row>
    <row r="196" spans="1:11" ht="15.75">
      <c r="A196" s="5" t="s">
        <v>177</v>
      </c>
      <c r="B196" s="4" t="s">
        <v>178</v>
      </c>
      <c r="C196" s="603"/>
      <c r="D196" s="748">
        <f>ROUND('Expense (pg. 3) '!N17,0)</f>
        <v>120451</v>
      </c>
      <c r="E196" s="603"/>
      <c r="F196" s="723"/>
      <c r="G196" s="12"/>
      <c r="H196" s="603"/>
      <c r="I196" s="723"/>
      <c r="J196" s="603"/>
      <c r="K196" s="723"/>
    </row>
    <row r="197" spans="1:11" ht="15.75">
      <c r="A197" s="5">
        <v>25</v>
      </c>
      <c r="B197" s="11" t="s">
        <v>179</v>
      </c>
      <c r="C197" s="588"/>
      <c r="D197" s="739">
        <f>D190*D203</f>
        <v>92918689.000090897</v>
      </c>
      <c r="E197" s="774"/>
      <c r="F197" s="774" t="s">
        <v>77</v>
      </c>
      <c r="G197" s="784"/>
      <c r="H197" s="774"/>
      <c r="I197" s="770">
        <f>D190*I203</f>
        <v>92823127.754554391</v>
      </c>
      <c r="J197" s="603"/>
      <c r="K197" s="587" t="s">
        <v>3</v>
      </c>
    </row>
    <row r="198" spans="1:11" ht="15.75">
      <c r="A198" s="5">
        <v>26</v>
      </c>
      <c r="B198" s="723" t="s">
        <v>180</v>
      </c>
      <c r="C198" s="588"/>
      <c r="D198" s="770">
        <f>D193*D194</f>
        <v>-50313.727263633577</v>
      </c>
      <c r="E198" s="774"/>
      <c r="F198" s="759" t="s">
        <v>117</v>
      </c>
      <c r="G198" s="771">
        <f>G113</f>
        <v>1</v>
      </c>
      <c r="H198" s="774"/>
      <c r="I198" s="770">
        <f>G198*D198</f>
        <v>-50313.727263633577</v>
      </c>
      <c r="J198" s="603"/>
      <c r="K198" s="587"/>
    </row>
    <row r="199" spans="1:11" ht="15.75">
      <c r="A199" s="5" t="s">
        <v>181</v>
      </c>
      <c r="B199" s="723" t="s">
        <v>1043</v>
      </c>
      <c r="C199" s="588"/>
      <c r="D199" s="770">
        <f>D193*D195</f>
        <v>-6858884.6904624235</v>
      </c>
      <c r="E199" s="774"/>
      <c r="F199" s="759" t="s">
        <v>117</v>
      </c>
      <c r="G199" s="771">
        <f>G198</f>
        <v>1</v>
      </c>
      <c r="H199" s="774"/>
      <c r="I199" s="770">
        <f>G199*D199</f>
        <v>-6858884.6904624235</v>
      </c>
      <c r="J199" s="603"/>
      <c r="K199" s="587"/>
    </row>
    <row r="200" spans="1:11" ht="16.5" thickBot="1">
      <c r="A200" s="5" t="s">
        <v>182</v>
      </c>
      <c r="B200" s="723" t="s">
        <v>183</v>
      </c>
      <c r="C200" s="588"/>
      <c r="D200" s="775">
        <f>D193*D196</f>
        <v>159231.18136184782</v>
      </c>
      <c r="E200" s="774"/>
      <c r="F200" s="759" t="s">
        <v>117</v>
      </c>
      <c r="G200" s="771">
        <f>G199</f>
        <v>1</v>
      </c>
      <c r="H200" s="774"/>
      <c r="I200" s="775">
        <f>G200*D200</f>
        <v>159231.18136184782</v>
      </c>
      <c r="J200" s="603"/>
      <c r="K200" s="587"/>
    </row>
    <row r="201" spans="1:11" ht="15.75">
      <c r="A201" s="5">
        <v>27</v>
      </c>
      <c r="B201" s="11" t="s">
        <v>184</v>
      </c>
      <c r="C201" s="723"/>
      <c r="D201" s="783">
        <f>SUM(D197:D200)</f>
        <v>86168721.763726696</v>
      </c>
      <c r="E201" s="774"/>
      <c r="F201" s="774" t="s">
        <v>3</v>
      </c>
      <c r="G201" s="784" t="s">
        <v>3</v>
      </c>
      <c r="H201" s="774"/>
      <c r="I201" s="783">
        <f>SUM(I197:I200)</f>
        <v>86073160.51819019</v>
      </c>
      <c r="J201" s="603"/>
      <c r="K201" s="603"/>
    </row>
    <row r="202" spans="1:11" ht="15.75">
      <c r="A202" s="5" t="s">
        <v>3</v>
      </c>
      <c r="B202" s="723"/>
      <c r="C202" s="747"/>
      <c r="D202" s="586"/>
      <c r="E202" s="603"/>
      <c r="F202" s="603"/>
      <c r="G202" s="746"/>
      <c r="H202" s="603"/>
      <c r="I202" s="586"/>
      <c r="J202" s="603"/>
      <c r="K202" s="603"/>
    </row>
    <row r="203" spans="1:11" ht="15.75">
      <c r="A203" s="5">
        <v>28</v>
      </c>
      <c r="B203" s="4" t="s">
        <v>185</v>
      </c>
      <c r="C203" s="583"/>
      <c r="D203" s="770">
        <f>+$I275*D131</f>
        <v>418095264.61652005</v>
      </c>
      <c r="E203" s="774"/>
      <c r="F203" s="774" t="s">
        <v>77</v>
      </c>
      <c r="G203" s="782"/>
      <c r="H203" s="774"/>
      <c r="I203" s="770">
        <f>+$I275*I131</f>
        <v>417665278.95196092</v>
      </c>
      <c r="J203" s="603"/>
      <c r="K203" s="723"/>
    </row>
    <row r="204" spans="1:11" ht="15.75">
      <c r="A204" s="5"/>
      <c r="B204" s="11" t="s">
        <v>186</v>
      </c>
      <c r="C204" s="723"/>
      <c r="D204" s="774"/>
      <c r="E204" s="774"/>
      <c r="F204" s="774"/>
      <c r="G204" s="782"/>
      <c r="H204" s="774"/>
      <c r="I204" s="774"/>
      <c r="J204" s="603"/>
      <c r="K204" s="583"/>
    </row>
    <row r="205" spans="1:11" ht="15.75">
      <c r="A205" s="5"/>
      <c r="B205" s="4"/>
      <c r="C205" s="723"/>
      <c r="D205" s="774"/>
      <c r="E205" s="774"/>
      <c r="F205" s="774"/>
      <c r="G205" s="782"/>
      <c r="H205" s="774"/>
      <c r="I205" s="774"/>
      <c r="J205" s="603"/>
      <c r="K205" s="583"/>
    </row>
    <row r="206" spans="1:11" ht="15.75">
      <c r="A206" s="5">
        <v>29</v>
      </c>
      <c r="B206" s="4" t="s">
        <v>187</v>
      </c>
      <c r="C206" s="603"/>
      <c r="D206" s="770">
        <f>+D203+D201+D186+D175+D168</f>
        <v>985738231.63024676</v>
      </c>
      <c r="E206" s="774"/>
      <c r="F206" s="774"/>
      <c r="G206" s="774"/>
      <c r="H206" s="774"/>
      <c r="I206" s="770">
        <f>+I203+I201+I186+I175+I168</f>
        <v>968205559.60669088</v>
      </c>
      <c r="J206" s="4"/>
      <c r="K206" s="4"/>
    </row>
    <row r="207" spans="1:11" ht="15.75">
      <c r="A207" s="5"/>
      <c r="B207" s="4"/>
      <c r="C207" s="603"/>
      <c r="D207" s="774"/>
      <c r="E207" s="774"/>
      <c r="F207" s="774"/>
      <c r="G207" s="774"/>
      <c r="H207" s="774"/>
      <c r="I207" s="774"/>
      <c r="J207" s="4"/>
      <c r="K207" s="4"/>
    </row>
    <row r="208" spans="1:11" ht="15.75">
      <c r="A208" s="762">
        <v>30</v>
      </c>
      <c r="B208" s="759" t="s">
        <v>188</v>
      </c>
      <c r="C208" s="774"/>
      <c r="D208" s="780"/>
      <c r="E208" s="780"/>
      <c r="F208" s="780"/>
      <c r="G208" s="780"/>
      <c r="H208" s="780"/>
      <c r="I208" s="780"/>
      <c r="J208" s="4"/>
      <c r="K208" s="4"/>
    </row>
    <row r="209" spans="1:11" ht="15.75" customHeight="1">
      <c r="A209" s="762"/>
      <c r="B209" s="852" t="s">
        <v>189</v>
      </c>
      <c r="C209" s="852"/>
      <c r="D209" s="760"/>
      <c r="E209" s="760"/>
      <c r="F209" s="760"/>
      <c r="G209" s="760"/>
      <c r="H209" s="760"/>
      <c r="I209" s="760"/>
      <c r="J209" s="4"/>
      <c r="K209" s="4"/>
    </row>
    <row r="210" spans="1:11" ht="15.75">
      <c r="A210" s="762"/>
      <c r="B210" s="759" t="s">
        <v>190</v>
      </c>
      <c r="C210" s="774"/>
      <c r="D210" s="745">
        <f>ROUND('ATC Att GG ER21-2601'!N127,0)</f>
        <v>102047463</v>
      </c>
      <c r="E210" s="774"/>
      <c r="F210" s="774"/>
      <c r="G210" s="774"/>
      <c r="H210" s="774"/>
      <c r="I210" s="770">
        <f>D210</f>
        <v>102047463</v>
      </c>
      <c r="J210" s="4"/>
      <c r="K210" s="4"/>
    </row>
    <row r="211" spans="1:11" ht="15.75">
      <c r="A211" s="5"/>
      <c r="B211" s="4"/>
      <c r="C211" s="603"/>
      <c r="D211" s="774"/>
      <c r="E211" s="774"/>
      <c r="F211" s="774"/>
      <c r="G211" s="774"/>
      <c r="H211" s="774"/>
      <c r="I211" s="774"/>
      <c r="J211" s="4"/>
      <c r="K211" s="4"/>
    </row>
    <row r="212" spans="1:11" ht="15.75">
      <c r="A212" s="762" t="s">
        <v>191</v>
      </c>
      <c r="B212" s="759" t="s">
        <v>192</v>
      </c>
      <c r="C212" s="774"/>
      <c r="D212" s="780"/>
      <c r="E212" s="780"/>
      <c r="F212" s="780"/>
      <c r="G212" s="780"/>
      <c r="H212" s="780"/>
      <c r="I212" s="780"/>
      <c r="J212" s="760"/>
      <c r="K212" s="760"/>
    </row>
    <row r="213" spans="1:11" ht="15.75" customHeight="1">
      <c r="A213" s="762"/>
      <c r="B213" s="852" t="s">
        <v>189</v>
      </c>
      <c r="C213" s="852"/>
      <c r="D213" s="760"/>
      <c r="E213" s="760"/>
      <c r="F213" s="760"/>
      <c r="G213" s="760"/>
      <c r="H213" s="760"/>
      <c r="I213" s="760"/>
      <c r="J213" s="760"/>
      <c r="K213" s="760"/>
    </row>
    <row r="214" spans="1:11" ht="16.5" thickBot="1">
      <c r="A214" s="762"/>
      <c r="B214" s="759" t="s">
        <v>193</v>
      </c>
      <c r="C214" s="774"/>
      <c r="D214" s="744">
        <f>ROUND('ATC Att MM ER21-2601'!R100,0)</f>
        <v>72382686</v>
      </c>
      <c r="E214" s="774"/>
      <c r="F214" s="774"/>
      <c r="G214" s="774"/>
      <c r="H214" s="774"/>
      <c r="I214" s="775">
        <f>D214</f>
        <v>72382686</v>
      </c>
      <c r="J214" s="760"/>
      <c r="K214" s="760"/>
    </row>
    <row r="215" spans="1:11" ht="16.5" thickBot="1">
      <c r="A215" s="762">
        <v>31</v>
      </c>
      <c r="B215" s="759" t="s">
        <v>194</v>
      </c>
      <c r="C215" s="780"/>
      <c r="D215" s="781">
        <f>+D206-D210-D214</f>
        <v>811308082.63024676</v>
      </c>
      <c r="E215" s="774"/>
      <c r="F215" s="774"/>
      <c r="G215" s="774"/>
      <c r="H215" s="774"/>
      <c r="I215" s="781">
        <f>+I206-I210-I214</f>
        <v>793775410.60669088</v>
      </c>
      <c r="J215" s="760"/>
      <c r="K215" s="760"/>
    </row>
    <row r="216" spans="1:11" ht="16.5" thickTop="1">
      <c r="A216" s="762"/>
      <c r="B216" s="759" t="s">
        <v>195</v>
      </c>
      <c r="C216" s="780"/>
      <c r="D216" s="780"/>
      <c r="E216" s="780"/>
      <c r="F216" s="780"/>
      <c r="G216" s="780"/>
      <c r="H216" s="780"/>
      <c r="I216" s="780"/>
      <c r="J216" s="760"/>
      <c r="K216" s="760"/>
    </row>
    <row r="217" spans="1:11" ht="15.75">
      <c r="A217" s="5"/>
      <c r="B217" s="4"/>
      <c r="C217" s="603"/>
      <c r="D217" s="774"/>
      <c r="E217" s="774"/>
      <c r="F217" s="774"/>
      <c r="G217" s="779"/>
      <c r="H217" s="774"/>
      <c r="I217" s="774"/>
      <c r="J217" s="603"/>
      <c r="K217" s="583"/>
    </row>
    <row r="218" spans="1:11" ht="15.75">
      <c r="A218" s="5"/>
      <c r="B218" s="4"/>
      <c r="C218" s="603"/>
      <c r="D218" s="774"/>
      <c r="E218" s="774"/>
      <c r="F218" s="774"/>
      <c r="G218" s="779"/>
      <c r="H218" s="774"/>
      <c r="I218" s="774"/>
      <c r="J218" s="603"/>
      <c r="K218" s="583"/>
    </row>
    <row r="219" spans="1:11" ht="15.75">
      <c r="A219" s="5"/>
      <c r="B219" s="4"/>
      <c r="C219" s="603"/>
      <c r="D219" s="774"/>
      <c r="E219" s="774"/>
      <c r="F219" s="774"/>
      <c r="G219" s="779"/>
      <c r="H219" s="774"/>
      <c r="I219" s="774"/>
      <c r="J219" s="603"/>
      <c r="K219" s="583"/>
    </row>
    <row r="220" spans="1:11" ht="15.75">
      <c r="A220" s="5"/>
      <c r="B220" s="723"/>
      <c r="C220" s="723"/>
      <c r="D220" s="723"/>
      <c r="E220" s="723"/>
      <c r="F220" s="723"/>
      <c r="G220" s="723"/>
      <c r="H220" s="723"/>
      <c r="I220" s="723"/>
      <c r="J220" s="603"/>
      <c r="K220" s="573" t="s">
        <v>196</v>
      </c>
    </row>
    <row r="221" spans="1:11" ht="15.75">
      <c r="A221" s="5"/>
      <c r="B221" s="723"/>
      <c r="C221" s="723"/>
      <c r="D221" s="723"/>
      <c r="E221" s="723"/>
      <c r="F221" s="723"/>
      <c r="G221" s="723"/>
      <c r="H221" s="723"/>
      <c r="I221" s="723"/>
      <c r="J221" s="603"/>
      <c r="K221" s="603"/>
    </row>
    <row r="222" spans="1:11" ht="15.75">
      <c r="A222" s="5"/>
      <c r="B222" s="4" t="s">
        <v>1</v>
      </c>
      <c r="C222" s="723"/>
      <c r="D222" s="723" t="s">
        <v>2</v>
      </c>
      <c r="E222" s="723"/>
      <c r="F222" s="723"/>
      <c r="G222" s="723"/>
      <c r="H222" s="723"/>
      <c r="I222" s="759"/>
      <c r="J222" s="603"/>
      <c r="K222" s="585" t="str">
        <f>K3</f>
        <v>For the 12 months ended 12/31/2025</v>
      </c>
    </row>
    <row r="223" spans="1:11" ht="15.75">
      <c r="A223" s="5"/>
      <c r="B223" s="4"/>
      <c r="C223" s="723"/>
      <c r="D223" s="723" t="s">
        <v>4</v>
      </c>
      <c r="E223" s="723"/>
      <c r="F223" s="723"/>
      <c r="G223" s="723"/>
      <c r="H223" s="723"/>
      <c r="I223" s="723"/>
      <c r="J223" s="603"/>
      <c r="K223" s="603"/>
    </row>
    <row r="224" spans="1:11" ht="15.75">
      <c r="A224" s="5"/>
      <c r="B224" s="723"/>
      <c r="C224" s="723"/>
      <c r="D224" s="723"/>
      <c r="E224" s="723"/>
      <c r="F224" s="723"/>
      <c r="G224" s="723"/>
      <c r="H224" s="723"/>
      <c r="I224" s="723"/>
      <c r="J224" s="603"/>
      <c r="K224" s="603"/>
    </row>
    <row r="225" spans="1:11" ht="15.75">
      <c r="A225" s="851" t="str">
        <f>A6</f>
        <v>American Transmission Company LLC</v>
      </c>
      <c r="B225" s="851"/>
      <c r="C225" s="851"/>
      <c r="D225" s="851"/>
      <c r="E225" s="851"/>
      <c r="F225" s="851"/>
      <c r="G225" s="851"/>
      <c r="H225" s="851"/>
      <c r="I225" s="851"/>
      <c r="J225" s="851"/>
      <c r="K225" s="851"/>
    </row>
    <row r="226" spans="1:11" ht="15.75">
      <c r="A226" s="5"/>
      <c r="B226" s="723"/>
      <c r="C226" s="4"/>
      <c r="D226" s="4"/>
      <c r="E226" s="4"/>
      <c r="F226" s="4"/>
      <c r="G226" s="4"/>
      <c r="H226" s="4"/>
      <c r="I226" s="4"/>
      <c r="J226" s="4"/>
      <c r="K226" s="4"/>
    </row>
    <row r="227" spans="1:11" ht="15.75">
      <c r="A227" s="5"/>
      <c r="B227" s="723"/>
      <c r="C227" s="743" t="s">
        <v>197</v>
      </c>
      <c r="D227" s="723"/>
      <c r="E227" s="4"/>
      <c r="F227" s="4"/>
      <c r="G227" s="4"/>
      <c r="H227" s="4"/>
      <c r="I227" s="4"/>
      <c r="J227" s="603"/>
      <c r="K227" s="603"/>
    </row>
    <row r="228" spans="1:11" ht="15.75">
      <c r="A228" s="5" t="s">
        <v>8</v>
      </c>
      <c r="B228" s="743"/>
      <c r="C228" s="4"/>
      <c r="D228" s="4"/>
      <c r="E228" s="4"/>
      <c r="F228" s="4"/>
      <c r="G228" s="4"/>
      <c r="H228" s="4"/>
      <c r="I228" s="4"/>
      <c r="J228" s="603"/>
      <c r="K228" s="603"/>
    </row>
    <row r="229" spans="1:11" ht="16.5" thickBot="1">
      <c r="A229" s="6" t="s">
        <v>10</v>
      </c>
      <c r="B229" s="4" t="s">
        <v>198</v>
      </c>
      <c r="C229" s="4"/>
      <c r="D229" s="4"/>
      <c r="E229" s="4"/>
      <c r="F229" s="4"/>
      <c r="G229" s="4"/>
      <c r="H229" s="723"/>
      <c r="I229" s="723"/>
      <c r="J229" s="603"/>
      <c r="K229" s="603"/>
    </row>
    <row r="230" spans="1:11" ht="15.75">
      <c r="A230" s="5">
        <v>1</v>
      </c>
      <c r="B230" s="4" t="s">
        <v>199</v>
      </c>
      <c r="C230" s="4"/>
      <c r="D230" s="603"/>
      <c r="E230" s="603"/>
      <c r="F230" s="603"/>
      <c r="G230" s="603"/>
      <c r="H230" s="603"/>
      <c r="I230" s="770">
        <f>D87</f>
        <v>8148265226</v>
      </c>
      <c r="J230" s="603"/>
      <c r="K230" s="603"/>
    </row>
    <row r="231" spans="1:11" ht="15.75">
      <c r="A231" s="5">
        <v>2</v>
      </c>
      <c r="B231" s="4" t="s">
        <v>200</v>
      </c>
      <c r="C231" s="723"/>
      <c r="D231" s="723"/>
      <c r="E231" s="723"/>
      <c r="F231" s="723"/>
      <c r="G231" s="723"/>
      <c r="H231" s="723"/>
      <c r="I231" s="606">
        <v>0</v>
      </c>
      <c r="J231" s="603"/>
      <c r="K231" s="603"/>
    </row>
    <row r="232" spans="1:11" ht="16.5" thickBot="1">
      <c r="A232" s="5">
        <v>3</v>
      </c>
      <c r="B232" s="575" t="s">
        <v>201</v>
      </c>
      <c r="C232" s="575"/>
      <c r="D232" s="759"/>
      <c r="E232" s="603"/>
      <c r="F232" s="603"/>
      <c r="G232" s="574"/>
      <c r="H232" s="603"/>
      <c r="I232" s="605">
        <v>0</v>
      </c>
      <c r="J232" s="603"/>
      <c r="K232" s="603"/>
    </row>
    <row r="233" spans="1:11" ht="15.75">
      <c r="A233" s="5">
        <v>4</v>
      </c>
      <c r="B233" s="4" t="s">
        <v>202</v>
      </c>
      <c r="C233" s="4"/>
      <c r="D233" s="603"/>
      <c r="E233" s="603"/>
      <c r="F233" s="603"/>
      <c r="G233" s="574"/>
      <c r="H233" s="603"/>
      <c r="I233" s="770">
        <f>I230-I231-I232</f>
        <v>8148265226</v>
      </c>
      <c r="J233" s="603"/>
      <c r="K233" s="603"/>
    </row>
    <row r="234" spans="1:11" ht="15.75">
      <c r="A234" s="5"/>
      <c r="B234" s="723"/>
      <c r="C234" s="4"/>
      <c r="D234" s="603"/>
      <c r="E234" s="603"/>
      <c r="F234" s="603"/>
      <c r="G234" s="574"/>
      <c r="H234" s="603"/>
      <c r="I234" s="723"/>
      <c r="J234" s="603"/>
      <c r="K234" s="603"/>
    </row>
    <row r="235" spans="1:11" ht="15.75">
      <c r="A235" s="5">
        <v>5</v>
      </c>
      <c r="B235" s="4" t="s">
        <v>203</v>
      </c>
      <c r="C235" s="608"/>
      <c r="D235" s="608"/>
      <c r="E235" s="608"/>
      <c r="F235" s="608"/>
      <c r="G235" s="758"/>
      <c r="H235" s="603" t="s">
        <v>204</v>
      </c>
      <c r="I235" s="778">
        <f>IF(I230&gt;0,I233/I230,0)</f>
        <v>1</v>
      </c>
      <c r="J235" s="603"/>
      <c r="K235" s="603"/>
    </row>
    <row r="236" spans="1:11" ht="15.75">
      <c r="A236" s="5"/>
      <c r="B236" s="723"/>
      <c r="C236" s="723"/>
      <c r="D236" s="723"/>
      <c r="E236" s="723"/>
      <c r="F236" s="723"/>
      <c r="G236" s="723"/>
      <c r="H236" s="723"/>
      <c r="I236" s="723"/>
      <c r="J236" s="603"/>
      <c r="K236" s="603"/>
    </row>
    <row r="237" spans="1:11" ht="15.75">
      <c r="A237" s="5"/>
      <c r="B237" s="4" t="s">
        <v>205</v>
      </c>
      <c r="C237" s="723"/>
      <c r="D237" s="723"/>
      <c r="E237" s="723"/>
      <c r="F237" s="723"/>
      <c r="G237" s="723"/>
      <c r="H237" s="723"/>
      <c r="I237" s="723"/>
      <c r="J237" s="603"/>
      <c r="K237" s="603"/>
    </row>
    <row r="238" spans="1:11" ht="15.75">
      <c r="A238" s="5">
        <v>6</v>
      </c>
      <c r="B238" s="723" t="s">
        <v>206</v>
      </c>
      <c r="C238" s="732"/>
      <c r="D238" s="4"/>
      <c r="E238" s="4"/>
      <c r="F238" s="4"/>
      <c r="G238" s="5"/>
      <c r="H238" s="4"/>
      <c r="I238" s="770">
        <f>D159</f>
        <v>151178138</v>
      </c>
      <c r="J238" s="603"/>
      <c r="K238" s="603"/>
    </row>
    <row r="239" spans="1:11" ht="16.5" thickBot="1">
      <c r="A239" s="5">
        <v>7</v>
      </c>
      <c r="B239" s="575" t="s">
        <v>207</v>
      </c>
      <c r="C239" s="575"/>
      <c r="D239" s="759"/>
      <c r="E239" s="603"/>
      <c r="F239" s="603"/>
      <c r="G239" s="603"/>
      <c r="H239" s="603"/>
      <c r="I239" s="605">
        <f>ROUND('Revenue (pg.4)'!J18,0)</f>
        <v>16941589</v>
      </c>
      <c r="J239" s="603"/>
      <c r="K239" s="603"/>
    </row>
    <row r="240" spans="1:11" ht="15.75">
      <c r="A240" s="5">
        <v>8</v>
      </c>
      <c r="B240" s="4" t="s">
        <v>208</v>
      </c>
      <c r="C240" s="608"/>
      <c r="D240" s="608"/>
      <c r="E240" s="608"/>
      <c r="F240" s="608"/>
      <c r="G240" s="758"/>
      <c r="H240" s="608"/>
      <c r="I240" s="770">
        <f>+I238-I239</f>
        <v>134236549</v>
      </c>
      <c r="J240" s="723"/>
      <c r="K240" s="723"/>
    </row>
    <row r="241" spans="1:11" ht="15.75">
      <c r="A241" s="5"/>
      <c r="B241" s="4"/>
      <c r="C241" s="4"/>
      <c r="D241" s="603"/>
      <c r="E241" s="603"/>
      <c r="F241" s="603"/>
      <c r="G241" s="603"/>
      <c r="H241" s="723"/>
      <c r="I241" s="723"/>
      <c r="J241" s="723"/>
      <c r="K241" s="723"/>
    </row>
    <row r="242" spans="1:11" ht="15.75">
      <c r="A242" s="5">
        <v>9</v>
      </c>
      <c r="B242" s="4" t="s">
        <v>209</v>
      </c>
      <c r="C242" s="4"/>
      <c r="D242" s="603"/>
      <c r="E242" s="603"/>
      <c r="F242" s="603"/>
      <c r="G242" s="603"/>
      <c r="H242" s="603"/>
      <c r="I242" s="772">
        <f>IF(I238&gt;0,I240/I238,0)</f>
        <v>0.88793625041208013</v>
      </c>
      <c r="J242" s="723"/>
      <c r="K242" s="723"/>
    </row>
    <row r="243" spans="1:11" ht="15.75">
      <c r="A243" s="5">
        <v>10</v>
      </c>
      <c r="B243" s="4" t="s">
        <v>210</v>
      </c>
      <c r="C243" s="4"/>
      <c r="D243" s="603"/>
      <c r="E243" s="603"/>
      <c r="F243" s="603"/>
      <c r="G243" s="603"/>
      <c r="H243" s="4" t="s">
        <v>19</v>
      </c>
      <c r="I243" s="772">
        <f>I235</f>
        <v>1</v>
      </c>
      <c r="J243" s="723"/>
      <c r="K243" s="723"/>
    </row>
    <row r="244" spans="1:11" ht="15.75">
      <c r="A244" s="5">
        <v>11</v>
      </c>
      <c r="B244" s="4" t="s">
        <v>211</v>
      </c>
      <c r="C244" s="4"/>
      <c r="D244" s="4"/>
      <c r="E244" s="4"/>
      <c r="F244" s="4"/>
      <c r="G244" s="4"/>
      <c r="H244" s="4" t="s">
        <v>212</v>
      </c>
      <c r="I244" s="771">
        <f>+I243*I242</f>
        <v>0.88793625041208013</v>
      </c>
      <c r="J244" s="723"/>
      <c r="K244" s="723"/>
    </row>
    <row r="245" spans="1:11" ht="15.75">
      <c r="A245" s="5"/>
      <c r="B245" s="723"/>
      <c r="C245" s="723"/>
      <c r="D245" s="723"/>
      <c r="E245" s="723"/>
      <c r="F245" s="723"/>
      <c r="G245" s="723"/>
      <c r="H245" s="723"/>
      <c r="I245" s="723"/>
      <c r="J245" s="723"/>
      <c r="K245" s="723"/>
    </row>
    <row r="246" spans="1:11" ht="15.75">
      <c r="A246" s="5" t="s">
        <v>3</v>
      </c>
      <c r="B246" s="4" t="s">
        <v>213</v>
      </c>
      <c r="C246" s="603"/>
      <c r="D246" s="603"/>
      <c r="E246" s="603"/>
      <c r="F246" s="603"/>
      <c r="G246" s="603"/>
      <c r="H246" s="603"/>
      <c r="I246" s="603"/>
      <c r="J246" s="603"/>
      <c r="K246" s="603"/>
    </row>
    <row r="247" spans="1:11" ht="16.5" thickBot="1">
      <c r="A247" s="5" t="s">
        <v>3</v>
      </c>
      <c r="B247" s="4"/>
      <c r="C247" s="740" t="s">
        <v>214</v>
      </c>
      <c r="D247" s="577" t="s">
        <v>215</v>
      </c>
      <c r="E247" s="577" t="s">
        <v>19</v>
      </c>
      <c r="F247" s="603"/>
      <c r="G247" s="577" t="s">
        <v>216</v>
      </c>
      <c r="H247" s="603"/>
      <c r="I247" s="603"/>
      <c r="J247" s="603"/>
      <c r="K247" s="603"/>
    </row>
    <row r="248" spans="1:11" ht="15.75">
      <c r="A248" s="5">
        <v>12</v>
      </c>
      <c r="B248" s="4" t="s">
        <v>75</v>
      </c>
      <c r="C248" s="603" t="s">
        <v>217</v>
      </c>
      <c r="D248" s="606">
        <v>0</v>
      </c>
      <c r="E248" s="742">
        <v>0</v>
      </c>
      <c r="F248" s="742"/>
      <c r="G248" s="770">
        <f>D248*E248</f>
        <v>0</v>
      </c>
      <c r="H248" s="774"/>
      <c r="I248" s="774"/>
      <c r="J248" s="603"/>
      <c r="K248" s="603"/>
    </row>
    <row r="249" spans="1:11" ht="15.75">
      <c r="A249" s="5">
        <v>13</v>
      </c>
      <c r="B249" s="4" t="s">
        <v>218</v>
      </c>
      <c r="C249" s="603" t="s">
        <v>219</v>
      </c>
      <c r="D249" s="606">
        <f>ROUND('Wages &amp; Salaries (pg. 4)'!B18,0)</f>
        <v>65526909</v>
      </c>
      <c r="E249" s="777">
        <f>+I235</f>
        <v>1</v>
      </c>
      <c r="F249" s="742"/>
      <c r="G249" s="770">
        <f>D249*E249</f>
        <v>65526909</v>
      </c>
      <c r="H249" s="774"/>
      <c r="I249" s="774"/>
      <c r="J249" s="603"/>
      <c r="K249" s="603"/>
    </row>
    <row r="250" spans="1:11" ht="15.75">
      <c r="A250" s="5">
        <v>14</v>
      </c>
      <c r="B250" s="4" t="s">
        <v>83</v>
      </c>
      <c r="C250" s="603" t="s">
        <v>220</v>
      </c>
      <c r="D250" s="606">
        <v>0</v>
      </c>
      <c r="E250" s="742">
        <v>0</v>
      </c>
      <c r="F250" s="742"/>
      <c r="G250" s="770">
        <f>D250*E250</f>
        <v>0</v>
      </c>
      <c r="H250" s="774"/>
      <c r="I250" s="776" t="s">
        <v>221</v>
      </c>
      <c r="J250" s="603"/>
      <c r="K250" s="603"/>
    </row>
    <row r="251" spans="1:11" ht="16.5" thickBot="1">
      <c r="A251" s="5">
        <v>15</v>
      </c>
      <c r="B251" s="4" t="s">
        <v>222</v>
      </c>
      <c r="C251" s="603" t="s">
        <v>223</v>
      </c>
      <c r="D251" s="605">
        <v>0</v>
      </c>
      <c r="E251" s="742">
        <v>0</v>
      </c>
      <c r="F251" s="742"/>
      <c r="G251" s="775">
        <f>D251*E251</f>
        <v>0</v>
      </c>
      <c r="H251" s="774"/>
      <c r="I251" s="773" t="s">
        <v>224</v>
      </c>
      <c r="J251" s="603"/>
      <c r="K251" s="603"/>
    </row>
    <row r="252" spans="1:11" ht="15.75">
      <c r="A252" s="5">
        <v>16</v>
      </c>
      <c r="B252" s="4" t="s">
        <v>225</v>
      </c>
      <c r="C252" s="603"/>
      <c r="D252" s="770">
        <f>SUM(D248:D251)</f>
        <v>65526909</v>
      </c>
      <c r="E252" s="603"/>
      <c r="F252" s="603"/>
      <c r="G252" s="770">
        <f>SUM(G248:G251)</f>
        <v>65526909</v>
      </c>
      <c r="H252" s="762" t="s">
        <v>226</v>
      </c>
      <c r="I252" s="772">
        <f>IF(G252&gt;0,G252/D252,0)</f>
        <v>1</v>
      </c>
      <c r="J252" s="574" t="s">
        <v>226</v>
      </c>
      <c r="K252" s="603" t="s">
        <v>227</v>
      </c>
    </row>
    <row r="253" spans="1:11" ht="15.75">
      <c r="A253" s="5" t="s">
        <v>3</v>
      </c>
      <c r="B253" s="4" t="s">
        <v>3</v>
      </c>
      <c r="C253" s="603" t="s">
        <v>3</v>
      </c>
      <c r="D253" s="723"/>
      <c r="E253" s="603"/>
      <c r="F253" s="603"/>
      <c r="G253" s="723"/>
      <c r="H253" s="723"/>
      <c r="I253" s="723"/>
      <c r="J253" s="723"/>
      <c r="K253" s="603"/>
    </row>
    <row r="254" spans="1:11" ht="15.75">
      <c r="A254" s="5"/>
      <c r="B254" s="4" t="s">
        <v>228</v>
      </c>
      <c r="C254" s="603"/>
      <c r="D254" s="584" t="s">
        <v>215</v>
      </c>
      <c r="E254" s="603"/>
      <c r="F254" s="603"/>
      <c r="G254" s="574" t="s">
        <v>229</v>
      </c>
      <c r="H254" s="12"/>
      <c r="I254" s="583" t="s">
        <v>221</v>
      </c>
      <c r="J254" s="603"/>
      <c r="K254" s="603"/>
    </row>
    <row r="255" spans="1:11" ht="15.75">
      <c r="A255" s="5">
        <v>17</v>
      </c>
      <c r="B255" s="4" t="s">
        <v>230</v>
      </c>
      <c r="C255" s="603" t="s">
        <v>231</v>
      </c>
      <c r="D255" s="606">
        <f>D108</f>
        <v>5676859535.1000004</v>
      </c>
      <c r="E255" s="603"/>
      <c r="F255" s="723"/>
      <c r="G255" s="5" t="s">
        <v>232</v>
      </c>
      <c r="H255" s="12"/>
      <c r="I255" s="5" t="s">
        <v>233</v>
      </c>
      <c r="J255" s="603"/>
      <c r="K255" s="5" t="s">
        <v>90</v>
      </c>
    </row>
    <row r="256" spans="1:11" ht="15.75">
      <c r="A256" s="5">
        <v>18</v>
      </c>
      <c r="B256" s="4" t="s">
        <v>234</v>
      </c>
      <c r="C256" s="603" t="s">
        <v>235</v>
      </c>
      <c r="D256" s="606">
        <v>0</v>
      </c>
      <c r="E256" s="603"/>
      <c r="F256" s="723"/>
      <c r="G256" s="771">
        <f>IF(D258&gt;0,D255/D258,0)</f>
        <v>1</v>
      </c>
      <c r="H256" s="574" t="s">
        <v>236</v>
      </c>
      <c r="I256" s="741">
        <f>I252</f>
        <v>1</v>
      </c>
      <c r="J256" s="12" t="s">
        <v>226</v>
      </c>
      <c r="K256" s="771">
        <f>I256*G256</f>
        <v>1</v>
      </c>
    </row>
    <row r="257" spans="1:11" ht="16.5" thickBot="1">
      <c r="A257" s="5">
        <v>19</v>
      </c>
      <c r="B257" s="575" t="s">
        <v>237</v>
      </c>
      <c r="C257" s="740" t="s">
        <v>238</v>
      </c>
      <c r="D257" s="605">
        <v>0</v>
      </c>
      <c r="E257" s="603"/>
      <c r="F257" s="603"/>
      <c r="G257" s="603" t="s">
        <v>3</v>
      </c>
      <c r="H257" s="603"/>
      <c r="I257" s="603"/>
      <c r="J257" s="603"/>
      <c r="K257" s="603"/>
    </row>
    <row r="258" spans="1:11" ht="15.75">
      <c r="A258" s="5">
        <v>20</v>
      </c>
      <c r="B258" s="4" t="s">
        <v>239</v>
      </c>
      <c r="C258" s="603"/>
      <c r="D258" s="770">
        <f>D255+D256+D257</f>
        <v>5676859535.1000004</v>
      </c>
      <c r="E258" s="603"/>
      <c r="F258" s="603"/>
      <c r="G258" s="603"/>
      <c r="H258" s="603"/>
      <c r="I258" s="603"/>
      <c r="J258" s="603"/>
      <c r="K258" s="603"/>
    </row>
    <row r="259" spans="1:11" ht="15.75">
      <c r="A259" s="5"/>
      <c r="B259" s="4"/>
      <c r="C259" s="603"/>
      <c r="D259" s="723"/>
      <c r="E259" s="603"/>
      <c r="F259" s="603"/>
      <c r="G259" s="603"/>
      <c r="H259" s="603"/>
      <c r="I259" s="603"/>
      <c r="J259" s="603"/>
      <c r="K259" s="603"/>
    </row>
    <row r="260" spans="1:11" ht="16.5" thickBot="1">
      <c r="A260" s="5"/>
      <c r="B260" s="4" t="s">
        <v>240</v>
      </c>
      <c r="C260" s="603"/>
      <c r="D260" s="603"/>
      <c r="E260" s="603"/>
      <c r="F260" s="603"/>
      <c r="G260" s="603"/>
      <c r="H260" s="603"/>
      <c r="I260" s="577" t="s">
        <v>215</v>
      </c>
      <c r="J260" s="603"/>
      <c r="K260" s="603"/>
    </row>
    <row r="261" spans="1:11" ht="15.75">
      <c r="A261" s="5">
        <v>21</v>
      </c>
      <c r="B261" s="4"/>
      <c r="C261" s="603" t="s">
        <v>241</v>
      </c>
      <c r="D261" s="603"/>
      <c r="E261" s="603"/>
      <c r="F261" s="603"/>
      <c r="G261" s="603"/>
      <c r="H261" s="603"/>
      <c r="I261" s="582" t="s">
        <v>242</v>
      </c>
      <c r="J261" s="603"/>
      <c r="K261" s="603"/>
    </row>
    <row r="262" spans="1:11" ht="15.75">
      <c r="A262" s="5"/>
      <c r="B262" s="4"/>
      <c r="C262" s="603"/>
      <c r="D262" s="603"/>
      <c r="E262" s="603"/>
      <c r="F262" s="603"/>
      <c r="G262" s="603"/>
      <c r="H262" s="603"/>
      <c r="I262" s="574"/>
      <c r="J262" s="603"/>
      <c r="K262" s="603"/>
    </row>
    <row r="263" spans="1:11" ht="15.75">
      <c r="A263" s="5">
        <v>22</v>
      </c>
      <c r="B263" s="4"/>
      <c r="C263" s="603" t="s">
        <v>243</v>
      </c>
      <c r="D263" s="603"/>
      <c r="E263" s="603"/>
      <c r="F263" s="603"/>
      <c r="G263" s="603"/>
      <c r="H263" s="603"/>
      <c r="I263" s="581" t="s">
        <v>242</v>
      </c>
      <c r="J263" s="603"/>
      <c r="K263" s="603"/>
    </row>
    <row r="264" spans="1:11" ht="15.75">
      <c r="A264" s="5"/>
      <c r="B264" s="4"/>
      <c r="C264" s="603"/>
      <c r="D264" s="603"/>
      <c r="E264" s="603"/>
      <c r="F264" s="603"/>
      <c r="G264" s="603"/>
      <c r="H264" s="603"/>
      <c r="I264" s="603"/>
      <c r="J264" s="603"/>
      <c r="K264" s="603"/>
    </row>
    <row r="265" spans="1:11" ht="15.75">
      <c r="A265" s="5"/>
      <c r="B265" s="4" t="s">
        <v>244</v>
      </c>
      <c r="C265" s="603"/>
      <c r="D265" s="603"/>
      <c r="E265" s="603"/>
      <c r="F265" s="603"/>
      <c r="G265" s="603"/>
      <c r="H265" s="603"/>
      <c r="I265" s="603"/>
      <c r="J265" s="603"/>
      <c r="K265" s="603"/>
    </row>
    <row r="266" spans="1:11" ht="15.75">
      <c r="A266" s="5">
        <v>23</v>
      </c>
      <c r="B266" s="4"/>
      <c r="C266" s="603" t="s">
        <v>245</v>
      </c>
      <c r="D266" s="4"/>
      <c r="E266" s="603"/>
      <c r="F266" s="603"/>
      <c r="G266" s="603"/>
      <c r="H266" s="603"/>
      <c r="I266" s="578" t="s">
        <v>242</v>
      </c>
      <c r="J266" s="603"/>
      <c r="K266" s="603"/>
    </row>
    <row r="267" spans="1:11" ht="15.75">
      <c r="A267" s="5">
        <v>24</v>
      </c>
      <c r="B267" s="4"/>
      <c r="C267" s="603" t="s">
        <v>246</v>
      </c>
      <c r="D267" s="603"/>
      <c r="E267" s="603"/>
      <c r="F267" s="603"/>
      <c r="G267" s="603"/>
      <c r="H267" s="603"/>
      <c r="I267" s="574" t="s">
        <v>242</v>
      </c>
      <c r="J267" s="603"/>
      <c r="K267" s="603"/>
    </row>
    <row r="268" spans="1:11" ht="16.5" thickBot="1">
      <c r="A268" s="5">
        <v>25</v>
      </c>
      <c r="B268" s="4"/>
      <c r="C268" s="603" t="s">
        <v>247</v>
      </c>
      <c r="D268" s="603"/>
      <c r="E268" s="603"/>
      <c r="F268" s="603"/>
      <c r="G268" s="603"/>
      <c r="H268" s="603"/>
      <c r="I268" s="580" t="s">
        <v>242</v>
      </c>
      <c r="J268" s="603"/>
      <c r="K268" s="603"/>
    </row>
    <row r="269" spans="1:11" ht="15.75">
      <c r="A269" s="5">
        <v>26</v>
      </c>
      <c r="B269" s="4"/>
      <c r="C269" s="603" t="s">
        <v>248</v>
      </c>
      <c r="D269" s="4" t="s">
        <v>249</v>
      </c>
      <c r="E269" s="4"/>
      <c r="F269" s="4"/>
      <c r="G269" s="4"/>
      <c r="H269" s="4"/>
      <c r="I269" s="574" t="s">
        <v>242</v>
      </c>
      <c r="J269" s="603"/>
      <c r="K269" s="603"/>
    </row>
    <row r="270" spans="1:11" ht="15.75">
      <c r="A270" s="5"/>
      <c r="B270" s="4"/>
      <c r="C270" s="603"/>
      <c r="D270" s="603"/>
      <c r="E270" s="603"/>
      <c r="F270" s="603"/>
      <c r="G270" s="574" t="s">
        <v>250</v>
      </c>
      <c r="H270" s="603"/>
      <c r="I270" s="603"/>
      <c r="J270" s="603"/>
      <c r="K270" s="603"/>
    </row>
    <row r="271" spans="1:11" ht="16.5" thickBot="1">
      <c r="A271" s="5"/>
      <c r="B271" s="4"/>
      <c r="C271" s="603"/>
      <c r="D271" s="6" t="s">
        <v>215</v>
      </c>
      <c r="E271" s="6" t="s">
        <v>251</v>
      </c>
      <c r="F271" s="603"/>
      <c r="G271" s="6" t="s">
        <v>252</v>
      </c>
      <c r="H271" s="603"/>
      <c r="I271" s="6" t="s">
        <v>253</v>
      </c>
      <c r="J271" s="603"/>
      <c r="K271" s="603"/>
    </row>
    <row r="272" spans="1:11" ht="15.75">
      <c r="A272" s="5">
        <v>27</v>
      </c>
      <c r="B272" s="4" t="s">
        <v>254</v>
      </c>
      <c r="C272" s="723"/>
      <c r="D272" s="579">
        <v>0</v>
      </c>
      <c r="E272" s="737">
        <v>0.5</v>
      </c>
      <c r="F272" s="600"/>
      <c r="G272" s="738">
        <f>'Wgt. Avg Debt Rate (pg.4)'!H62</f>
        <v>4.7021362136219928E-2</v>
      </c>
      <c r="H272" s="723"/>
      <c r="I272" s="734">
        <f>E272*G272</f>
        <v>2.3510681068109964E-2</v>
      </c>
      <c r="J272" s="733" t="s">
        <v>255</v>
      </c>
      <c r="K272" s="723"/>
    </row>
    <row r="273" spans="1:17" ht="15.75">
      <c r="A273" s="5">
        <v>28</v>
      </c>
      <c r="B273" s="4" t="s">
        <v>256</v>
      </c>
      <c r="C273" s="723"/>
      <c r="D273" s="578">
        <v>0</v>
      </c>
      <c r="E273" s="737">
        <v>0</v>
      </c>
      <c r="F273" s="600"/>
      <c r="G273" s="738">
        <v>0</v>
      </c>
      <c r="H273" s="723"/>
      <c r="I273" s="734">
        <f>E273*G273</f>
        <v>0</v>
      </c>
      <c r="J273" s="603"/>
      <c r="K273" s="723"/>
      <c r="L273" s="759"/>
      <c r="M273" s="892" t="s">
        <v>947</v>
      </c>
      <c r="N273" s="893"/>
      <c r="O273" s="893"/>
      <c r="P273" s="893"/>
      <c r="Q273" s="894"/>
    </row>
    <row r="274" spans="1:17" ht="16.5" thickBot="1">
      <c r="A274" s="5">
        <v>29</v>
      </c>
      <c r="B274" s="4" t="s">
        <v>257</v>
      </c>
      <c r="C274" s="723"/>
      <c r="D274" s="577">
        <v>0</v>
      </c>
      <c r="E274" s="737">
        <v>0.5</v>
      </c>
      <c r="F274" s="600"/>
      <c r="G274" s="891">
        <f>Q274+Q275</f>
        <v>0.1048</v>
      </c>
      <c r="H274" s="723"/>
      <c r="I274" s="736">
        <f>E274*G274</f>
        <v>5.2400000000000002E-2</v>
      </c>
      <c r="J274" s="603"/>
      <c r="K274" s="723"/>
      <c r="L274" s="759"/>
      <c r="M274" s="769" t="s">
        <v>1042</v>
      </c>
      <c r="N274" s="895"/>
      <c r="O274" s="895"/>
      <c r="P274" s="895"/>
      <c r="Q274" s="576">
        <v>9.98E-2</v>
      </c>
    </row>
    <row r="275" spans="1:17" ht="15.75">
      <c r="A275" s="5">
        <v>30</v>
      </c>
      <c r="B275" s="4" t="s">
        <v>258</v>
      </c>
      <c r="C275" s="723"/>
      <c r="D275" s="735">
        <f>SUM(D272:D274)</f>
        <v>0</v>
      </c>
      <c r="E275" s="603" t="s">
        <v>3</v>
      </c>
      <c r="F275" s="603"/>
      <c r="G275" s="603"/>
      <c r="H275" s="603"/>
      <c r="I275" s="734">
        <f>SUM(I272:I274)</f>
        <v>7.591068106810997E-2</v>
      </c>
      <c r="J275" s="733" t="s">
        <v>259</v>
      </c>
      <c r="K275" s="723"/>
      <c r="L275" s="759"/>
      <c r="M275" s="769" t="s">
        <v>1041</v>
      </c>
      <c r="N275" s="759"/>
      <c r="O275" s="759"/>
      <c r="P275" s="759"/>
      <c r="Q275" s="576">
        <v>5.0000000000000001E-3</v>
      </c>
    </row>
    <row r="276" spans="1:17" ht="15.75">
      <c r="A276" s="723"/>
      <c r="B276" s="723"/>
      <c r="C276" s="723"/>
      <c r="D276" s="723"/>
      <c r="E276" s="603"/>
      <c r="F276" s="603"/>
      <c r="G276" s="603"/>
      <c r="H276" s="603"/>
      <c r="I276" s="723"/>
      <c r="J276" s="723"/>
      <c r="K276" s="723"/>
      <c r="L276" s="759"/>
      <c r="M276" s="768"/>
      <c r="N276" s="767"/>
      <c r="O276" s="767"/>
      <c r="P276" s="767"/>
      <c r="Q276" s="766"/>
    </row>
    <row r="277" spans="1:17" ht="15.75">
      <c r="A277" s="5"/>
      <c r="B277" s="4" t="s">
        <v>260</v>
      </c>
      <c r="C277" s="4"/>
      <c r="D277" s="4"/>
      <c r="E277" s="4"/>
      <c r="F277" s="4"/>
      <c r="G277" s="4"/>
      <c r="H277" s="4"/>
      <c r="I277" s="4"/>
      <c r="J277" s="4"/>
      <c r="K277" s="4"/>
      <c r="L277" s="759"/>
      <c r="M277" s="759"/>
      <c r="N277" s="759"/>
      <c r="O277" s="759"/>
      <c r="P277" s="759"/>
      <c r="Q277" s="759"/>
    </row>
    <row r="278" spans="1:17" ht="16.5" thickBot="1">
      <c r="A278" s="5"/>
      <c r="B278" s="4"/>
      <c r="C278" s="4"/>
      <c r="D278" s="4"/>
      <c r="E278" s="4"/>
      <c r="F278" s="4"/>
      <c r="G278" s="4"/>
      <c r="H278" s="4"/>
      <c r="I278" s="6" t="s">
        <v>261</v>
      </c>
      <c r="J278" s="5"/>
      <c r="K278" s="723"/>
      <c r="L278" s="759"/>
      <c r="M278" s="759"/>
      <c r="N278" s="759"/>
      <c r="O278" s="759"/>
      <c r="P278" s="759"/>
      <c r="Q278" s="759"/>
    </row>
    <row r="279" spans="1:17" ht="15.75">
      <c r="A279" s="5"/>
      <c r="B279" s="4" t="s">
        <v>262</v>
      </c>
      <c r="C279" s="4"/>
      <c r="D279" s="4" t="s">
        <v>263</v>
      </c>
      <c r="E279" s="4" t="s">
        <v>264</v>
      </c>
      <c r="F279" s="4"/>
      <c r="G279" s="13" t="s">
        <v>3</v>
      </c>
      <c r="H279" s="732"/>
      <c r="I279" s="723"/>
      <c r="J279" s="723"/>
      <c r="K279" s="723"/>
      <c r="L279" s="760"/>
      <c r="M279" s="760"/>
      <c r="N279" s="760"/>
      <c r="O279" s="760"/>
      <c r="P279" s="760"/>
      <c r="Q279" s="760"/>
    </row>
    <row r="280" spans="1:17" ht="15.75">
      <c r="A280" s="5">
        <v>31</v>
      </c>
      <c r="B280" s="723" t="s">
        <v>265</v>
      </c>
      <c r="C280" s="4"/>
      <c r="D280" s="4"/>
      <c r="E280" s="723"/>
      <c r="F280" s="4"/>
      <c r="G280" s="723"/>
      <c r="H280" s="732"/>
      <c r="I280" s="731">
        <v>0</v>
      </c>
      <c r="J280" s="728"/>
      <c r="K280" s="723"/>
      <c r="L280" s="760"/>
      <c r="M280" s="760"/>
      <c r="N280" s="759"/>
      <c r="O280" s="759"/>
      <c r="P280" s="759"/>
      <c r="Q280" s="759"/>
    </row>
    <row r="281" spans="1:17" ht="16.5" thickBot="1">
      <c r="A281" s="5">
        <v>32</v>
      </c>
      <c r="B281" s="730" t="s">
        <v>266</v>
      </c>
      <c r="C281" s="575"/>
      <c r="D281" s="723"/>
      <c r="E281" s="4"/>
      <c r="F281" s="4"/>
      <c r="G281" s="4"/>
      <c r="H281" s="4"/>
      <c r="I281" s="14">
        <v>0</v>
      </c>
      <c r="J281" s="728"/>
      <c r="K281" s="723"/>
      <c r="L281" s="760"/>
      <c r="M281" s="760"/>
      <c r="N281" s="759"/>
      <c r="O281" s="759"/>
      <c r="P281" s="759"/>
      <c r="Q281" s="759"/>
    </row>
    <row r="282" spans="1:17" ht="15.75">
      <c r="A282" s="5">
        <v>33</v>
      </c>
      <c r="B282" s="723" t="s">
        <v>267</v>
      </c>
      <c r="C282" s="4"/>
      <c r="D282" s="723"/>
      <c r="E282" s="4"/>
      <c r="F282" s="4"/>
      <c r="G282" s="4"/>
      <c r="H282" s="4"/>
      <c r="I282" s="729">
        <f>I280-I281</f>
        <v>0</v>
      </c>
      <c r="J282" s="728"/>
      <c r="K282" s="723"/>
      <c r="L282" s="760"/>
      <c r="M282" s="760"/>
      <c r="N282" s="759"/>
      <c r="O282" s="759"/>
      <c r="P282" s="759"/>
      <c r="Q282" s="759"/>
    </row>
    <row r="283" spans="1:17" ht="15.75">
      <c r="A283" s="5"/>
      <c r="B283" s="723"/>
      <c r="C283" s="4"/>
      <c r="D283" s="723"/>
      <c r="E283" s="4"/>
      <c r="F283" s="4"/>
      <c r="G283" s="4"/>
      <c r="H283" s="4"/>
      <c r="I283" s="16"/>
      <c r="J283" s="723"/>
      <c r="K283" s="723"/>
      <c r="L283" s="760"/>
      <c r="M283" s="760"/>
      <c r="N283" s="759"/>
      <c r="O283" s="759"/>
      <c r="P283" s="759"/>
      <c r="Q283" s="759"/>
    </row>
    <row r="284" spans="1:17" ht="15.75">
      <c r="A284" s="5">
        <v>34</v>
      </c>
      <c r="B284" s="4" t="s">
        <v>268</v>
      </c>
      <c r="C284" s="4"/>
      <c r="D284" s="723"/>
      <c r="E284" s="4"/>
      <c r="F284" s="4"/>
      <c r="G284" s="15"/>
      <c r="H284" s="4"/>
      <c r="I284" s="726">
        <f>ROUND('Revenue (pg.4)'!H18,0)</f>
        <v>1600000</v>
      </c>
      <c r="J284" s="723"/>
      <c r="K284" s="727"/>
      <c r="L284" s="760"/>
      <c r="M284" s="760"/>
      <c r="N284" s="759"/>
      <c r="O284" s="759"/>
      <c r="P284" s="759"/>
      <c r="Q284" s="759"/>
    </row>
    <row r="285" spans="1:17" ht="15.75">
      <c r="A285" s="5"/>
      <c r="B285" s="723"/>
      <c r="C285" s="4"/>
      <c r="D285" s="4"/>
      <c r="E285" s="4"/>
      <c r="F285" s="4"/>
      <c r="G285" s="4"/>
      <c r="H285" s="4"/>
      <c r="I285" s="16"/>
      <c r="J285" s="723"/>
      <c r="K285" s="727"/>
      <c r="L285" s="760"/>
      <c r="M285" s="760"/>
      <c r="N285" s="759"/>
      <c r="O285" s="759"/>
      <c r="P285" s="759"/>
      <c r="Q285" s="759"/>
    </row>
    <row r="286" spans="1:17" ht="15.75">
      <c r="A286" s="723"/>
      <c r="B286" s="4" t="s">
        <v>269</v>
      </c>
      <c r="C286" s="4"/>
      <c r="D286" s="4" t="s">
        <v>270</v>
      </c>
      <c r="E286" s="4"/>
      <c r="F286" s="4"/>
      <c r="G286" s="4"/>
      <c r="H286" s="4"/>
      <c r="I286" s="16"/>
      <c r="J286" s="723"/>
      <c r="K286" s="727"/>
      <c r="L286" s="760"/>
      <c r="M286" s="760"/>
      <c r="N286" s="759"/>
      <c r="O286" s="759"/>
      <c r="P286" s="759"/>
      <c r="Q286" s="759"/>
    </row>
    <row r="287" spans="1:17" ht="15.75">
      <c r="A287" s="5">
        <v>35</v>
      </c>
      <c r="B287" s="4" t="s">
        <v>271</v>
      </c>
      <c r="C287" s="603"/>
      <c r="D287" s="603"/>
      <c r="E287" s="603"/>
      <c r="F287" s="603"/>
      <c r="G287" s="603"/>
      <c r="H287" s="603"/>
      <c r="I287" s="890">
        <f>I206-I284</f>
        <v>966605559.60669088</v>
      </c>
      <c r="J287" s="603"/>
      <c r="K287" s="727"/>
      <c r="L287" s="760"/>
      <c r="M287" s="760"/>
      <c r="N287" s="759"/>
      <c r="O287" s="759"/>
      <c r="P287" s="759"/>
      <c r="Q287" s="759"/>
    </row>
    <row r="288" spans="1:17" ht="15.75">
      <c r="A288" s="5">
        <v>36</v>
      </c>
      <c r="B288" s="4" t="s">
        <v>272</v>
      </c>
      <c r="C288" s="4"/>
      <c r="D288" s="4"/>
      <c r="E288" s="4"/>
      <c r="F288" s="4"/>
      <c r="G288" s="4"/>
      <c r="H288" s="4"/>
      <c r="I288" s="890">
        <f>I20</f>
        <v>782175410.60669088</v>
      </c>
      <c r="J288" s="723"/>
      <c r="K288" s="573"/>
      <c r="L288" s="760"/>
      <c r="M288" s="760"/>
      <c r="N288" s="759"/>
      <c r="O288" s="759"/>
      <c r="P288" s="759"/>
      <c r="Q288" s="759"/>
    </row>
    <row r="289" spans="1:11" ht="15.75">
      <c r="A289" s="762" t="s">
        <v>273</v>
      </c>
      <c r="B289" s="759" t="s">
        <v>274</v>
      </c>
      <c r="C289" s="759"/>
      <c r="D289" s="4"/>
      <c r="E289" s="4"/>
      <c r="F289" s="4"/>
      <c r="G289" s="4"/>
      <c r="H289" s="4"/>
      <c r="I289" s="726">
        <f>ROUND('ATC Att GG ER21-2601'!N127,0)</f>
        <v>102047463</v>
      </c>
      <c r="J289" s="723"/>
      <c r="K289" s="573"/>
    </row>
    <row r="290" spans="1:11" ht="16.5" thickBot="1">
      <c r="A290" s="762" t="s">
        <v>275</v>
      </c>
      <c r="B290" s="765" t="s">
        <v>276</v>
      </c>
      <c r="C290" s="765"/>
      <c r="D290" s="759"/>
      <c r="E290" s="759"/>
      <c r="F290" s="759"/>
      <c r="G290" s="759"/>
      <c r="H290" s="759"/>
      <c r="I290" s="725">
        <f>ROUND('ATC Att MM ER21-2601'!R100,0)</f>
        <v>72382686</v>
      </c>
      <c r="J290" s="759"/>
      <c r="K290" s="764"/>
    </row>
    <row r="291" spans="1:11" ht="15.75">
      <c r="A291" s="5">
        <v>37</v>
      </c>
      <c r="B291" s="759" t="s">
        <v>277</v>
      </c>
      <c r="C291" s="5"/>
      <c r="D291" s="603"/>
      <c r="E291" s="603"/>
      <c r="F291" s="603"/>
      <c r="G291" s="603"/>
      <c r="H291" s="4"/>
      <c r="I291" s="724">
        <v>10000000</v>
      </c>
      <c r="J291" s="603"/>
      <c r="K291" s="603"/>
    </row>
    <row r="292" spans="1:11" ht="15.75">
      <c r="A292" s="5"/>
      <c r="B292" s="723"/>
      <c r="C292" s="5"/>
      <c r="D292" s="603"/>
      <c r="E292" s="603"/>
      <c r="F292" s="603"/>
      <c r="G292" s="603"/>
      <c r="H292" s="4"/>
      <c r="I292" s="16"/>
      <c r="J292" s="603"/>
      <c r="K292" s="603"/>
    </row>
    <row r="293" spans="1:11" ht="15.75">
      <c r="A293" s="5"/>
      <c r="B293" s="723"/>
      <c r="C293" s="5"/>
      <c r="D293" s="603"/>
      <c r="E293" s="603"/>
      <c r="F293" s="603"/>
      <c r="G293" s="603"/>
      <c r="H293" s="4"/>
      <c r="I293" s="16"/>
      <c r="J293" s="603"/>
      <c r="K293" s="603"/>
    </row>
    <row r="294" spans="1:11" ht="15.75">
      <c r="A294" s="5"/>
      <c r="B294" s="4"/>
      <c r="C294" s="4"/>
      <c r="D294" s="603"/>
      <c r="E294" s="603"/>
      <c r="F294" s="603"/>
      <c r="G294" s="603"/>
      <c r="H294" s="4"/>
      <c r="I294" s="603"/>
      <c r="J294" s="4"/>
      <c r="K294" s="573" t="s">
        <v>278</v>
      </c>
    </row>
    <row r="295" spans="1:11" ht="15.75">
      <c r="A295" s="5"/>
      <c r="B295" s="4"/>
      <c r="C295" s="4"/>
      <c r="D295" s="603"/>
      <c r="E295" s="603"/>
      <c r="F295" s="603"/>
      <c r="G295" s="603"/>
      <c r="H295" s="4"/>
      <c r="I295" s="603"/>
      <c r="J295" s="4"/>
      <c r="K295" s="603"/>
    </row>
    <row r="296" spans="1:11" ht="15.75">
      <c r="A296" s="5"/>
      <c r="B296" s="723" t="s">
        <v>1</v>
      </c>
      <c r="C296" s="5"/>
      <c r="D296" s="603" t="s">
        <v>2</v>
      </c>
      <c r="E296" s="603"/>
      <c r="F296" s="603"/>
      <c r="G296" s="603"/>
      <c r="H296" s="4"/>
      <c r="I296" s="759"/>
      <c r="J296" s="723"/>
      <c r="K296" s="572" t="str">
        <f>K3</f>
        <v>For the 12 months ended 12/31/2025</v>
      </c>
    </row>
    <row r="297" spans="1:11" ht="15.75">
      <c r="A297" s="5"/>
      <c r="B297" s="723"/>
      <c r="C297" s="5"/>
      <c r="D297" s="603" t="s">
        <v>4</v>
      </c>
      <c r="E297" s="603"/>
      <c r="F297" s="603"/>
      <c r="G297" s="603"/>
      <c r="H297" s="4"/>
      <c r="I297" s="16"/>
      <c r="J297" s="723"/>
      <c r="K297" s="603"/>
    </row>
    <row r="298" spans="1:11" ht="15.75">
      <c r="A298" s="5"/>
      <c r="B298" s="723"/>
      <c r="C298" s="5"/>
      <c r="D298" s="603"/>
      <c r="E298" s="603"/>
      <c r="F298" s="603"/>
      <c r="G298" s="603"/>
      <c r="H298" s="4"/>
      <c r="I298" s="16"/>
      <c r="J298" s="723"/>
      <c r="K298" s="603"/>
    </row>
    <row r="299" spans="1:11" ht="15.75">
      <c r="A299" s="851" t="str">
        <f>A6</f>
        <v>American Transmission Company LLC</v>
      </c>
      <c r="B299" s="851"/>
      <c r="C299" s="851"/>
      <c r="D299" s="851"/>
      <c r="E299" s="851"/>
      <c r="F299" s="851"/>
      <c r="G299" s="851"/>
      <c r="H299" s="851"/>
      <c r="I299" s="851"/>
      <c r="J299" s="851"/>
      <c r="K299" s="851"/>
    </row>
    <row r="300" spans="1:11" ht="15.75">
      <c r="A300" s="5"/>
      <c r="B300" s="723"/>
      <c r="C300" s="5"/>
      <c r="D300" s="603"/>
      <c r="E300" s="603"/>
      <c r="F300" s="603"/>
      <c r="G300" s="603"/>
      <c r="H300" s="4"/>
      <c r="I300" s="16"/>
      <c r="J300" s="723"/>
      <c r="K300" s="603"/>
    </row>
    <row r="301" spans="1:11" ht="15.75">
      <c r="A301" s="5"/>
      <c r="B301" s="4" t="s">
        <v>279</v>
      </c>
      <c r="C301" s="5"/>
      <c r="D301" s="603"/>
      <c r="E301" s="603"/>
      <c r="F301" s="603"/>
      <c r="G301" s="603"/>
      <c r="H301" s="4"/>
      <c r="I301" s="603"/>
      <c r="J301" s="4"/>
      <c r="K301" s="603"/>
    </row>
    <row r="302" spans="1:11" ht="15.75">
      <c r="A302" s="5"/>
      <c r="B302" s="17" t="s">
        <v>280</v>
      </c>
      <c r="C302" s="5"/>
      <c r="D302" s="603"/>
      <c r="E302" s="603"/>
      <c r="F302" s="603"/>
      <c r="G302" s="603"/>
      <c r="H302" s="4"/>
      <c r="I302" s="603"/>
      <c r="J302" s="4"/>
      <c r="K302" s="603"/>
    </row>
    <row r="303" spans="1:11" ht="15.75">
      <c r="A303" s="5" t="s">
        <v>281</v>
      </c>
      <c r="B303" s="4"/>
      <c r="C303" s="4"/>
      <c r="D303" s="603"/>
      <c r="E303" s="603"/>
      <c r="F303" s="603"/>
      <c r="G303" s="603"/>
      <c r="H303" s="4"/>
      <c r="I303" s="603"/>
      <c r="J303" s="4"/>
      <c r="K303" s="603"/>
    </row>
    <row r="304" spans="1:11" ht="16.5" thickBot="1">
      <c r="A304" s="6" t="s">
        <v>282</v>
      </c>
      <c r="B304" s="854"/>
      <c r="C304" s="854"/>
      <c r="D304" s="571"/>
      <c r="E304" s="571"/>
      <c r="F304" s="571"/>
      <c r="G304" s="571"/>
      <c r="H304" s="757"/>
      <c r="I304" s="571"/>
      <c r="J304" s="757"/>
      <c r="K304" s="571"/>
    </row>
    <row r="305" spans="1:11" ht="15.75" customHeight="1">
      <c r="A305" s="18" t="s">
        <v>283</v>
      </c>
      <c r="B305" s="853" t="s">
        <v>284</v>
      </c>
      <c r="C305" s="853"/>
      <c r="D305" s="853"/>
      <c r="E305" s="853"/>
      <c r="F305" s="853"/>
      <c r="G305" s="853"/>
      <c r="H305" s="853"/>
      <c r="I305" s="853"/>
      <c r="J305" s="853"/>
      <c r="K305" s="853"/>
    </row>
    <row r="306" spans="1:11" ht="15.75" customHeight="1">
      <c r="A306" s="18" t="s">
        <v>285</v>
      </c>
      <c r="B306" s="853" t="s">
        <v>286</v>
      </c>
      <c r="C306" s="853"/>
      <c r="D306" s="853"/>
      <c r="E306" s="853"/>
      <c r="F306" s="853"/>
      <c r="G306" s="853"/>
      <c r="H306" s="853"/>
      <c r="I306" s="853"/>
      <c r="J306" s="853"/>
      <c r="K306" s="853"/>
    </row>
    <row r="307" spans="1:11" ht="15.75" customHeight="1">
      <c r="A307" s="18" t="s">
        <v>287</v>
      </c>
      <c r="B307" s="853" t="s">
        <v>288</v>
      </c>
      <c r="C307" s="853"/>
      <c r="D307" s="853"/>
      <c r="E307" s="853"/>
      <c r="F307" s="853"/>
      <c r="G307" s="853"/>
      <c r="H307" s="853"/>
      <c r="I307" s="853"/>
      <c r="J307" s="853"/>
      <c r="K307" s="853"/>
    </row>
    <row r="308" spans="1:11" ht="15.75" customHeight="1">
      <c r="A308" s="18" t="s">
        <v>289</v>
      </c>
      <c r="B308" s="853" t="s">
        <v>288</v>
      </c>
      <c r="C308" s="853"/>
      <c r="D308" s="853"/>
      <c r="E308" s="853"/>
      <c r="F308" s="853"/>
      <c r="G308" s="853"/>
      <c r="H308" s="853"/>
      <c r="I308" s="853"/>
      <c r="J308" s="853"/>
      <c r="K308" s="853"/>
    </row>
    <row r="309" spans="1:11" ht="15.75" customHeight="1">
      <c r="A309" s="18" t="s">
        <v>290</v>
      </c>
      <c r="B309" s="853" t="s">
        <v>291</v>
      </c>
      <c r="C309" s="853"/>
      <c r="D309" s="853"/>
      <c r="E309" s="853"/>
      <c r="F309" s="853"/>
      <c r="G309" s="853"/>
      <c r="H309" s="853"/>
      <c r="I309" s="853"/>
      <c r="J309" s="853"/>
      <c r="K309" s="853"/>
    </row>
    <row r="310" spans="1:11" ht="15.75" customHeight="1">
      <c r="A310" s="18" t="s">
        <v>292</v>
      </c>
      <c r="B310" s="853" t="s">
        <v>293</v>
      </c>
      <c r="C310" s="853"/>
      <c r="D310" s="853"/>
      <c r="E310" s="853"/>
      <c r="F310" s="853"/>
      <c r="G310" s="853"/>
      <c r="H310" s="853"/>
      <c r="I310" s="853"/>
      <c r="J310" s="853"/>
      <c r="K310" s="853"/>
    </row>
    <row r="311" spans="1:11" ht="15.75" customHeight="1">
      <c r="A311" s="18" t="s">
        <v>294</v>
      </c>
      <c r="B311" s="853" t="s">
        <v>295</v>
      </c>
      <c r="C311" s="853"/>
      <c r="D311" s="853"/>
      <c r="E311" s="853"/>
      <c r="F311" s="853"/>
      <c r="G311" s="853"/>
      <c r="H311" s="853"/>
      <c r="I311" s="853"/>
      <c r="J311" s="853"/>
      <c r="K311" s="853"/>
    </row>
    <row r="312" spans="1:11" ht="15.75" customHeight="1">
      <c r="A312" s="18" t="s">
        <v>296</v>
      </c>
      <c r="B312" s="853" t="s">
        <v>297</v>
      </c>
      <c r="C312" s="853"/>
      <c r="D312" s="853"/>
      <c r="E312" s="853"/>
      <c r="F312" s="853"/>
      <c r="G312" s="853"/>
      <c r="H312" s="853"/>
      <c r="I312" s="853"/>
      <c r="J312" s="853"/>
      <c r="K312" s="853"/>
    </row>
    <row r="313" spans="1:11" ht="15.75" customHeight="1">
      <c r="A313" s="18" t="s">
        <v>298</v>
      </c>
      <c r="B313" s="853" t="s">
        <v>299</v>
      </c>
      <c r="C313" s="853"/>
      <c r="D313" s="853"/>
      <c r="E313" s="853"/>
      <c r="F313" s="853"/>
      <c r="G313" s="853"/>
      <c r="H313" s="853"/>
      <c r="I313" s="853"/>
      <c r="J313" s="853"/>
      <c r="K313" s="853"/>
    </row>
    <row r="314" spans="1:11" ht="15.75" customHeight="1">
      <c r="A314" s="18" t="s">
        <v>300</v>
      </c>
      <c r="B314" s="853" t="s">
        <v>301</v>
      </c>
      <c r="C314" s="853"/>
      <c r="D314" s="853"/>
      <c r="E314" s="853"/>
      <c r="F314" s="853"/>
      <c r="G314" s="853"/>
      <c r="H314" s="853"/>
      <c r="I314" s="853"/>
      <c r="J314" s="853"/>
      <c r="K314" s="853"/>
    </row>
    <row r="315" spans="1:11" ht="15.75" customHeight="1">
      <c r="A315" s="18" t="s">
        <v>302</v>
      </c>
      <c r="B315" s="853" t="s">
        <v>1040</v>
      </c>
      <c r="C315" s="853"/>
      <c r="D315" s="853"/>
      <c r="E315" s="853"/>
      <c r="F315" s="853"/>
      <c r="G315" s="853"/>
      <c r="H315" s="853"/>
      <c r="I315" s="853"/>
      <c r="J315" s="853"/>
      <c r="K315" s="853"/>
    </row>
    <row r="316" spans="1:11" ht="15.75">
      <c r="A316" s="5" t="s">
        <v>3</v>
      </c>
      <c r="B316" s="4" t="s">
        <v>303</v>
      </c>
      <c r="C316" s="4" t="s">
        <v>304</v>
      </c>
      <c r="D316" s="19">
        <f>'SIT (pg. 5)'!C24</f>
        <v>0.21</v>
      </c>
      <c r="E316" s="4"/>
      <c r="F316" s="4"/>
      <c r="G316" s="4"/>
      <c r="H316" s="4"/>
      <c r="I316" s="4"/>
      <c r="J316" s="4"/>
      <c r="K316" s="4"/>
    </row>
    <row r="317" spans="1:11" ht="15.75">
      <c r="A317" s="5"/>
      <c r="B317" s="4"/>
      <c r="C317" s="4" t="s">
        <v>305</v>
      </c>
      <c r="D317" s="19">
        <f>'SIT (pg. 5)'!C35</f>
        <v>7.3803841954999991E-2</v>
      </c>
      <c r="E317" s="4" t="s">
        <v>306</v>
      </c>
      <c r="F317" s="4"/>
      <c r="G317" s="4"/>
      <c r="H317" s="4"/>
      <c r="I317" s="4"/>
      <c r="J317" s="4"/>
      <c r="K317" s="4"/>
    </row>
    <row r="318" spans="1:11" ht="15.75">
      <c r="A318" s="5"/>
      <c r="B318" s="4"/>
      <c r="C318" s="4" t="s">
        <v>307</v>
      </c>
      <c r="D318" s="19">
        <v>0</v>
      </c>
      <c r="E318" s="4" t="s">
        <v>308</v>
      </c>
      <c r="F318" s="4"/>
      <c r="G318" s="4"/>
      <c r="H318" s="4"/>
      <c r="I318" s="4"/>
      <c r="J318" s="4"/>
      <c r="K318" s="4"/>
    </row>
    <row r="319" spans="1:11" ht="15.75">
      <c r="A319" s="5"/>
      <c r="B319" s="4"/>
      <c r="C319" s="4" t="s">
        <v>309</v>
      </c>
      <c r="D319" s="896">
        <f>'TEP (pg. 5)'!D24</f>
        <v>9.227792831379325E-2</v>
      </c>
      <c r="E319" s="4" t="s">
        <v>310</v>
      </c>
      <c r="F319" s="4"/>
      <c r="G319" s="4"/>
      <c r="H319" s="4"/>
      <c r="I319" s="4"/>
      <c r="J319" s="4"/>
      <c r="K319" s="4"/>
    </row>
    <row r="320" spans="1:11" ht="15.75" customHeight="1">
      <c r="A320" s="18" t="s">
        <v>311</v>
      </c>
      <c r="B320" s="853" t="s">
        <v>1039</v>
      </c>
      <c r="C320" s="853"/>
      <c r="D320" s="853"/>
      <c r="E320" s="853"/>
      <c r="F320" s="853"/>
      <c r="G320" s="853"/>
      <c r="H320" s="853"/>
      <c r="I320" s="853"/>
      <c r="J320" s="853"/>
      <c r="K320" s="853"/>
    </row>
    <row r="321" spans="1:11" ht="15.75" customHeight="1">
      <c r="A321" s="18" t="s">
        <v>312</v>
      </c>
      <c r="B321" s="853" t="s">
        <v>313</v>
      </c>
      <c r="C321" s="853"/>
      <c r="D321" s="853"/>
      <c r="E321" s="853"/>
      <c r="F321" s="853"/>
      <c r="G321" s="853"/>
      <c r="H321" s="853"/>
      <c r="I321" s="853"/>
      <c r="J321" s="853"/>
      <c r="K321" s="853"/>
    </row>
    <row r="322" spans="1:11" ht="15.75" customHeight="1">
      <c r="A322" s="18" t="s">
        <v>314</v>
      </c>
      <c r="B322" s="853" t="s">
        <v>315</v>
      </c>
      <c r="C322" s="853"/>
      <c r="D322" s="853"/>
      <c r="E322" s="853"/>
      <c r="F322" s="853"/>
      <c r="G322" s="853"/>
      <c r="H322" s="853"/>
      <c r="I322" s="853"/>
      <c r="J322" s="853"/>
      <c r="K322" s="853"/>
    </row>
    <row r="323" spans="1:11" ht="15.75" customHeight="1">
      <c r="A323" s="18" t="s">
        <v>316</v>
      </c>
      <c r="B323" s="853" t="s">
        <v>317</v>
      </c>
      <c r="C323" s="853"/>
      <c r="D323" s="853"/>
      <c r="E323" s="853"/>
      <c r="F323" s="853"/>
      <c r="G323" s="853"/>
      <c r="H323" s="853"/>
      <c r="I323" s="853"/>
      <c r="J323" s="853"/>
      <c r="K323" s="853"/>
    </row>
    <row r="324" spans="1:11" ht="15.75" customHeight="1">
      <c r="A324" s="18" t="s">
        <v>318</v>
      </c>
      <c r="B324" s="857" t="s">
        <v>1038</v>
      </c>
      <c r="C324" s="853"/>
      <c r="D324" s="853"/>
      <c r="E324" s="853"/>
      <c r="F324" s="853"/>
      <c r="G324" s="853"/>
      <c r="H324" s="853"/>
      <c r="I324" s="853"/>
      <c r="J324" s="853"/>
      <c r="K324" s="853"/>
    </row>
    <row r="325" spans="1:11" ht="15.75" customHeight="1">
      <c r="A325" s="18" t="s">
        <v>319</v>
      </c>
      <c r="B325" s="853" t="s">
        <v>320</v>
      </c>
      <c r="C325" s="853"/>
      <c r="D325" s="853"/>
      <c r="E325" s="853"/>
      <c r="F325" s="853"/>
      <c r="G325" s="853"/>
      <c r="H325" s="853"/>
      <c r="I325" s="853"/>
      <c r="J325" s="853"/>
      <c r="K325" s="853"/>
    </row>
    <row r="326" spans="1:11" ht="15.75" customHeight="1">
      <c r="A326" s="18" t="s">
        <v>321</v>
      </c>
      <c r="B326" s="853" t="s">
        <v>322</v>
      </c>
      <c r="C326" s="853"/>
      <c r="D326" s="853"/>
      <c r="E326" s="853"/>
      <c r="F326" s="853"/>
      <c r="G326" s="853"/>
      <c r="H326" s="853"/>
      <c r="I326" s="853"/>
      <c r="J326" s="853"/>
      <c r="K326" s="853"/>
    </row>
    <row r="327" spans="1:11" ht="15.75" customHeight="1">
      <c r="A327" s="18" t="s">
        <v>323</v>
      </c>
      <c r="B327" s="853" t="s">
        <v>324</v>
      </c>
      <c r="C327" s="853"/>
      <c r="D327" s="853"/>
      <c r="E327" s="853"/>
      <c r="F327" s="853"/>
      <c r="G327" s="853"/>
      <c r="H327" s="853"/>
      <c r="I327" s="853"/>
      <c r="J327" s="853"/>
      <c r="K327" s="853"/>
    </row>
    <row r="328" spans="1:11" ht="15.75" customHeight="1">
      <c r="A328" s="722" t="s">
        <v>325</v>
      </c>
      <c r="B328" s="858" t="s">
        <v>326</v>
      </c>
      <c r="C328" s="853"/>
      <c r="D328" s="853"/>
      <c r="E328" s="853"/>
      <c r="F328" s="853"/>
      <c r="G328" s="853"/>
      <c r="H328" s="853"/>
      <c r="I328" s="853"/>
      <c r="J328" s="853"/>
      <c r="K328" s="853"/>
    </row>
    <row r="329" spans="1:11" ht="15.75" customHeight="1">
      <c r="A329" s="722" t="s">
        <v>327</v>
      </c>
      <c r="B329" s="853" t="s">
        <v>328</v>
      </c>
      <c r="C329" s="853"/>
      <c r="D329" s="853"/>
      <c r="E329" s="853"/>
      <c r="F329" s="853"/>
      <c r="G329" s="853"/>
      <c r="H329" s="853"/>
      <c r="I329" s="853"/>
      <c r="J329" s="853"/>
      <c r="K329" s="853"/>
    </row>
    <row r="330" spans="1:11" ht="15.75" customHeight="1">
      <c r="A330" s="763" t="s">
        <v>329</v>
      </c>
      <c r="B330" s="855" t="s">
        <v>330</v>
      </c>
      <c r="C330" s="856"/>
      <c r="D330" s="856"/>
      <c r="E330" s="856"/>
      <c r="F330" s="856"/>
      <c r="G330" s="856"/>
      <c r="H330" s="856"/>
      <c r="I330" s="856"/>
      <c r="J330" s="856"/>
      <c r="K330" s="856"/>
    </row>
    <row r="331" spans="1:11" ht="15.75" customHeight="1">
      <c r="A331" s="763" t="s">
        <v>331</v>
      </c>
      <c r="B331" s="856" t="s">
        <v>332</v>
      </c>
      <c r="C331" s="856"/>
      <c r="D331" s="856"/>
      <c r="E331" s="856"/>
      <c r="F331" s="856"/>
      <c r="G331" s="856"/>
      <c r="H331" s="856"/>
      <c r="I331" s="856"/>
      <c r="J331" s="856"/>
      <c r="K331" s="856"/>
    </row>
    <row r="332" spans="1:11" ht="15.75" customHeight="1">
      <c r="A332" s="763" t="s">
        <v>333</v>
      </c>
      <c r="B332" s="856" t="s">
        <v>1037</v>
      </c>
      <c r="C332" s="856"/>
      <c r="D332" s="856"/>
      <c r="E332" s="856"/>
      <c r="F332" s="856"/>
      <c r="G332" s="856"/>
      <c r="H332" s="856"/>
      <c r="I332" s="856"/>
      <c r="J332" s="856"/>
      <c r="K332" s="856"/>
    </row>
    <row r="333" spans="1:11" ht="15.75" customHeight="1">
      <c r="A333" s="763" t="s">
        <v>334</v>
      </c>
      <c r="B333" s="856" t="s">
        <v>1036</v>
      </c>
      <c r="C333" s="856"/>
      <c r="D333" s="856"/>
      <c r="E333" s="856"/>
      <c r="F333" s="856"/>
      <c r="G333" s="856"/>
      <c r="H333" s="856"/>
      <c r="I333" s="856"/>
      <c r="J333" s="856"/>
      <c r="K333" s="856"/>
    </row>
    <row r="334" spans="1:11" ht="15.75" customHeight="1">
      <c r="A334" s="761" t="s">
        <v>335</v>
      </c>
      <c r="B334" s="856" t="s">
        <v>1035</v>
      </c>
      <c r="C334" s="856"/>
      <c r="D334" s="856"/>
      <c r="E334" s="856"/>
      <c r="F334" s="856"/>
      <c r="G334" s="856"/>
      <c r="H334" s="856"/>
      <c r="I334" s="856"/>
      <c r="J334" s="856"/>
      <c r="K334" s="856"/>
    </row>
    <row r="335" spans="1:11" ht="15.75" customHeight="1">
      <c r="A335" s="763" t="s">
        <v>336</v>
      </c>
      <c r="B335" s="856" t="s">
        <v>1034</v>
      </c>
      <c r="C335" s="856"/>
      <c r="D335" s="856"/>
      <c r="E335" s="856"/>
      <c r="F335" s="856"/>
      <c r="G335" s="856"/>
      <c r="H335" s="856"/>
      <c r="I335" s="856"/>
      <c r="J335" s="856"/>
      <c r="K335" s="856"/>
    </row>
    <row r="336" spans="1:11" ht="15.75" customHeight="1">
      <c r="A336" s="763" t="s">
        <v>337</v>
      </c>
      <c r="B336" s="856" t="s">
        <v>1033</v>
      </c>
      <c r="C336" s="856"/>
      <c r="D336" s="856"/>
      <c r="E336" s="856"/>
      <c r="F336" s="856"/>
      <c r="G336" s="856"/>
      <c r="H336" s="856"/>
      <c r="I336" s="856"/>
      <c r="J336" s="856"/>
      <c r="K336" s="856"/>
    </row>
    <row r="337" spans="1:11" ht="15.75">
      <c r="A337" s="762" t="s">
        <v>338</v>
      </c>
      <c r="B337" s="759" t="s">
        <v>339</v>
      </c>
      <c r="C337" s="759"/>
      <c r="D337" s="759"/>
      <c r="E337" s="759"/>
      <c r="F337" s="759"/>
      <c r="G337" s="759"/>
      <c r="H337" s="4"/>
      <c r="I337" s="16"/>
      <c r="J337" s="603"/>
      <c r="K337" s="603"/>
    </row>
    <row r="338" spans="1:11" ht="15.75" customHeight="1">
      <c r="A338" s="761" t="s">
        <v>1032</v>
      </c>
      <c r="B338" s="859" t="s">
        <v>1031</v>
      </c>
      <c r="C338" s="859"/>
      <c r="D338" s="859"/>
      <c r="E338" s="859"/>
      <c r="F338" s="859"/>
      <c r="G338" s="859"/>
      <c r="H338" s="859"/>
      <c r="I338" s="859"/>
      <c r="J338" s="859"/>
      <c r="K338" s="859"/>
    </row>
    <row r="339" spans="1:11" ht="15.75">
      <c r="A339" s="762"/>
      <c r="B339" s="859"/>
      <c r="C339" s="859"/>
      <c r="D339" s="859"/>
      <c r="E339" s="859"/>
      <c r="F339" s="859"/>
      <c r="G339" s="859"/>
      <c r="H339" s="859"/>
      <c r="I339" s="859"/>
      <c r="J339" s="859"/>
      <c r="K339" s="859"/>
    </row>
    <row r="340" spans="1:11" ht="15.75">
      <c r="A340" s="762"/>
      <c r="B340" s="859"/>
      <c r="C340" s="859"/>
      <c r="D340" s="859"/>
      <c r="E340" s="859"/>
      <c r="F340" s="859"/>
      <c r="G340" s="859"/>
      <c r="H340" s="859"/>
      <c r="I340" s="859"/>
      <c r="J340" s="859"/>
      <c r="K340" s="859"/>
    </row>
    <row r="341" spans="1:11" ht="15.75" customHeight="1">
      <c r="A341" s="761" t="s">
        <v>1030</v>
      </c>
      <c r="B341" s="859" t="s">
        <v>1029</v>
      </c>
      <c r="C341" s="859"/>
      <c r="D341" s="859"/>
      <c r="E341" s="859"/>
      <c r="F341" s="859"/>
      <c r="G341" s="859"/>
      <c r="H341" s="859"/>
      <c r="I341" s="859"/>
      <c r="J341" s="859"/>
      <c r="K341" s="859"/>
    </row>
  </sheetData>
  <mergeCells count="38">
    <mergeCell ref="B338:K340"/>
    <mergeCell ref="B341:K341"/>
    <mergeCell ref="B331:K331"/>
    <mergeCell ref="B332:K332"/>
    <mergeCell ref="B333:K333"/>
    <mergeCell ref="B334:K334"/>
    <mergeCell ref="B335:K335"/>
    <mergeCell ref="B336:K336"/>
    <mergeCell ref="B312:K312"/>
    <mergeCell ref="B313:K313"/>
    <mergeCell ref="B330:K330"/>
    <mergeCell ref="B315:K315"/>
    <mergeCell ref="B320:K320"/>
    <mergeCell ref="B321:K321"/>
    <mergeCell ref="B322:K322"/>
    <mergeCell ref="B323:K323"/>
    <mergeCell ref="B324:K324"/>
    <mergeCell ref="B325:K325"/>
    <mergeCell ref="B314:K314"/>
    <mergeCell ref="B326:K326"/>
    <mergeCell ref="B327:K327"/>
    <mergeCell ref="B328:K328"/>
    <mergeCell ref="B329:K329"/>
    <mergeCell ref="B308:K308"/>
    <mergeCell ref="B309:K309"/>
    <mergeCell ref="B310:K310"/>
    <mergeCell ref="B311:K311"/>
    <mergeCell ref="A225:K225"/>
    <mergeCell ref="A299:K299"/>
    <mergeCell ref="B304:C304"/>
    <mergeCell ref="B305:K305"/>
    <mergeCell ref="B306:K306"/>
    <mergeCell ref="B307:K307"/>
    <mergeCell ref="A6:K6"/>
    <mergeCell ref="A80:K80"/>
    <mergeCell ref="A154:K154"/>
    <mergeCell ref="B209:C209"/>
    <mergeCell ref="B213:C213"/>
  </mergeCells>
  <pageMargins left="0.7" right="0.7" top="0.75" bottom="0.75" header="0.3" footer="0.3"/>
  <pageSetup scale="50" orientation="portrait" verticalDpi="597" r:id="rId1"/>
  <rowBreaks count="4" manualBreakCount="4">
    <brk id="74" max="10" man="1"/>
    <brk id="148" max="10" man="1"/>
    <brk id="219" max="10" man="1"/>
    <brk id="293" max="10" man="1"/>
  </rowBreaks>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B2:C19"/>
  <sheetViews>
    <sheetView showGridLines="0" zoomScaleNormal="100" zoomScaleSheetLayoutView="100" workbookViewId="0">
      <selection activeCell="C24" sqref="C24"/>
    </sheetView>
  </sheetViews>
  <sheetFormatPr defaultRowHeight="12.75"/>
  <cols>
    <col min="1" max="1" width="9.140625" style="56"/>
    <col min="2" max="2" width="30" style="56" bestFit="1" customWidth="1"/>
    <col min="3" max="3" width="21" style="56" customWidth="1"/>
    <col min="4" max="4" width="14" style="56" bestFit="1" customWidth="1"/>
    <col min="5" max="16384" width="9.140625" style="56"/>
  </cols>
  <sheetData>
    <row r="2" spans="2:3">
      <c r="B2" s="58" t="s">
        <v>416</v>
      </c>
      <c r="C2" s="55"/>
    </row>
    <row r="3" spans="2:3">
      <c r="B3" s="58" t="s">
        <v>417</v>
      </c>
      <c r="C3" s="55"/>
    </row>
    <row r="5" spans="2:3" ht="25.5">
      <c r="B5" s="55"/>
      <c r="C5" s="55" t="s">
        <v>418</v>
      </c>
    </row>
    <row r="6" spans="2:3">
      <c r="B6" s="23"/>
      <c r="C6" s="50"/>
    </row>
    <row r="7" spans="2:3">
      <c r="B7" s="681">
        <v>45658</v>
      </c>
      <c r="C7" s="650">
        <v>1573079</v>
      </c>
    </row>
    <row r="8" spans="2:3">
      <c r="B8" s="682">
        <v>45689</v>
      </c>
      <c r="C8" s="650">
        <v>1388827</v>
      </c>
    </row>
    <row r="9" spans="2:3">
      <c r="B9" s="682">
        <v>45717</v>
      </c>
      <c r="C9" s="650">
        <v>1415073</v>
      </c>
    </row>
    <row r="10" spans="2:3">
      <c r="B10" s="682">
        <v>45748</v>
      </c>
      <c r="C10" s="650">
        <v>1251600</v>
      </c>
    </row>
    <row r="11" spans="2:3">
      <c r="B11" s="682">
        <v>45778</v>
      </c>
      <c r="C11" s="650">
        <v>1157757</v>
      </c>
    </row>
    <row r="12" spans="2:3">
      <c r="B12" s="682">
        <v>45809</v>
      </c>
      <c r="C12" s="650">
        <v>1193042</v>
      </c>
    </row>
    <row r="13" spans="2:3">
      <c r="B13" s="682">
        <v>45839</v>
      </c>
      <c r="C13" s="650">
        <v>2788410</v>
      </c>
    </row>
    <row r="14" spans="2:3">
      <c r="B14" s="682">
        <v>45870</v>
      </c>
      <c r="C14" s="650">
        <v>2778139</v>
      </c>
    </row>
    <row r="15" spans="2:3">
      <c r="B15" s="682">
        <v>45901</v>
      </c>
      <c r="C15" s="650">
        <v>2814408</v>
      </c>
    </row>
    <row r="16" spans="2:3">
      <c r="B16" s="682">
        <v>45931</v>
      </c>
      <c r="C16" s="650">
        <v>2584978</v>
      </c>
    </row>
    <row r="17" spans="2:3">
      <c r="B17" s="682">
        <v>45962</v>
      </c>
      <c r="C17" s="650">
        <v>2577958</v>
      </c>
    </row>
    <row r="18" spans="2:3">
      <c r="B18" s="681">
        <v>45992</v>
      </c>
      <c r="C18" s="650">
        <v>2355445</v>
      </c>
    </row>
    <row r="19" spans="2:3" ht="15">
      <c r="B19" s="652" t="s">
        <v>15</v>
      </c>
      <c r="C19" s="653">
        <f>SUM(C7:C18)</f>
        <v>23878716</v>
      </c>
    </row>
  </sheetData>
  <pageMargins left="0.7" right="0.7" top="0.75" bottom="0.75" header="0.3" footer="0.3"/>
  <pageSetup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FFFF"/>
  </sheetPr>
  <dimension ref="A1:T141"/>
  <sheetViews>
    <sheetView showGridLines="0" tabSelected="1" topLeftCell="A79" zoomScale="70" zoomScaleNormal="70" zoomScaleSheetLayoutView="70" zoomScalePageLayoutView="70" workbookViewId="0">
      <selection activeCell="N127" sqref="N127"/>
    </sheetView>
  </sheetViews>
  <sheetFormatPr defaultRowHeight="15"/>
  <cols>
    <col min="1" max="1" width="10.85546875" style="80" bestFit="1" customWidth="1"/>
    <col min="2" max="2" width="7.7109375" style="79" customWidth="1"/>
    <col min="3" max="3" width="1.85546875" style="79" customWidth="1"/>
    <col min="4" max="4" width="100" style="79" customWidth="1"/>
    <col min="5" max="5" width="18.140625" style="79" customWidth="1"/>
    <col min="6" max="6" width="21.7109375" style="79" customWidth="1"/>
    <col min="7" max="8" width="18.140625" style="79" customWidth="1"/>
    <col min="9" max="9" width="17.85546875" style="79" customWidth="1"/>
    <col min="10" max="11" width="16.42578125" style="79" customWidth="1"/>
    <col min="12" max="13" width="17.42578125" style="79" customWidth="1"/>
    <col min="14" max="14" width="20.5703125" style="79" customWidth="1"/>
    <col min="15" max="15" width="16.42578125" style="79" customWidth="1"/>
    <col min="16" max="16" width="17.85546875" style="79" customWidth="1"/>
    <col min="17" max="17" width="12.28515625" style="79" customWidth="1"/>
    <col min="18" max="18" width="16.7109375" style="80" customWidth="1"/>
    <col min="19" max="19" width="9.140625" style="79"/>
    <col min="20" max="23" width="16" style="79" customWidth="1"/>
    <col min="24" max="24" width="15.42578125" style="79" customWidth="1"/>
    <col min="25" max="16384" width="9.140625" style="79"/>
  </cols>
  <sheetData>
    <row r="1" spans="2:16">
      <c r="P1" s="131"/>
    </row>
    <row r="2" spans="2:16">
      <c r="P2" s="131"/>
    </row>
    <row r="4" spans="2:16">
      <c r="P4" s="131" t="s">
        <v>514</v>
      </c>
    </row>
    <row r="5" spans="2:16" ht="15.75">
      <c r="D5" s="161" t="s">
        <v>563</v>
      </c>
      <c r="E5" s="161"/>
      <c r="F5" s="161"/>
      <c r="G5" s="161"/>
      <c r="H5" s="163" t="s">
        <v>562</v>
      </c>
      <c r="I5" s="161"/>
      <c r="J5" s="161"/>
      <c r="K5" s="161"/>
      <c r="L5" s="161"/>
      <c r="M5" s="161"/>
      <c r="N5" s="162"/>
      <c r="O5" s="159"/>
      <c r="P5" s="3" t="s">
        <v>1230</v>
      </c>
    </row>
    <row r="6" spans="2:16">
      <c r="D6" s="161"/>
      <c r="E6" s="161"/>
      <c r="F6" s="83" t="s">
        <v>3</v>
      </c>
      <c r="G6" s="83"/>
      <c r="H6" s="83" t="s">
        <v>513</v>
      </c>
      <c r="I6" s="83"/>
      <c r="J6" s="83"/>
      <c r="K6" s="83"/>
      <c r="L6" s="161"/>
      <c r="M6" s="161"/>
      <c r="O6" s="101"/>
      <c r="P6" s="161"/>
    </row>
    <row r="7" spans="2:16">
      <c r="D7" s="101"/>
      <c r="E7" s="101"/>
      <c r="F7" s="101"/>
      <c r="G7" s="101"/>
      <c r="H7" s="101"/>
      <c r="I7" s="101"/>
      <c r="J7" s="101"/>
      <c r="K7" s="101"/>
      <c r="L7" s="101"/>
      <c r="M7" s="101"/>
      <c r="O7" s="101"/>
      <c r="P7" s="101" t="s">
        <v>561</v>
      </c>
    </row>
    <row r="8" spans="2:16">
      <c r="B8" s="127"/>
      <c r="D8" s="101"/>
      <c r="E8" s="101"/>
      <c r="F8" s="101"/>
      <c r="G8" s="159"/>
      <c r="H8" s="160" t="s">
        <v>5</v>
      </c>
      <c r="I8" s="159"/>
      <c r="J8" s="101"/>
      <c r="K8" s="101"/>
      <c r="L8" s="101"/>
      <c r="M8" s="101"/>
      <c r="N8" s="101"/>
      <c r="O8" s="101"/>
      <c r="P8" s="101"/>
    </row>
    <row r="9" spans="2:16">
      <c r="B9" s="127"/>
      <c r="D9" s="101"/>
      <c r="E9" s="101"/>
      <c r="F9" s="101"/>
      <c r="G9" s="101"/>
      <c r="H9" s="158"/>
      <c r="I9" s="101"/>
      <c r="J9" s="101"/>
      <c r="K9" s="101"/>
      <c r="L9" s="101"/>
      <c r="M9" s="101"/>
      <c r="N9" s="101"/>
      <c r="O9" s="101"/>
      <c r="P9" s="101"/>
    </row>
    <row r="10" spans="2:16">
      <c r="B10" s="127"/>
      <c r="D10" s="101" t="s">
        <v>560</v>
      </c>
      <c r="E10" s="101"/>
      <c r="F10" s="101"/>
      <c r="G10" s="101"/>
      <c r="H10" s="158"/>
      <c r="I10" s="101"/>
      <c r="J10" s="101"/>
      <c r="K10" s="101"/>
      <c r="L10" s="101"/>
      <c r="M10" s="101"/>
      <c r="N10" s="101"/>
      <c r="O10" s="101"/>
      <c r="P10" s="101"/>
    </row>
    <row r="11" spans="2:16">
      <c r="B11" s="127"/>
      <c r="D11" s="101"/>
      <c r="E11" s="101"/>
      <c r="F11" s="101"/>
      <c r="G11" s="101"/>
      <c r="H11" s="158"/>
      <c r="N11" s="101"/>
      <c r="O11" s="101"/>
      <c r="P11" s="101"/>
    </row>
    <row r="12" spans="2:16">
      <c r="B12" s="127"/>
      <c r="D12" s="101"/>
      <c r="E12" s="101"/>
      <c r="F12" s="101"/>
      <c r="G12" s="101"/>
      <c r="H12" s="101"/>
      <c r="N12" s="83"/>
      <c r="O12" s="101"/>
      <c r="P12" s="101"/>
    </row>
    <row r="13" spans="2:16">
      <c r="D13" s="157" t="s">
        <v>62</v>
      </c>
      <c r="E13" s="157"/>
      <c r="F13" s="157" t="s">
        <v>63</v>
      </c>
      <c r="G13" s="157"/>
      <c r="H13" s="157" t="s">
        <v>64</v>
      </c>
      <c r="N13" s="102" t="s">
        <v>65</v>
      </c>
      <c r="O13" s="83"/>
      <c r="P13" s="102"/>
    </row>
    <row r="14" spans="2:16" ht="15.75">
      <c r="D14" s="101"/>
      <c r="E14" s="101"/>
      <c r="F14" s="141" t="s">
        <v>559</v>
      </c>
      <c r="G14" s="141"/>
      <c r="H14" s="83"/>
      <c r="O14" s="83"/>
    </row>
    <row r="15" spans="2:16" ht="15.75">
      <c r="B15" s="127" t="s">
        <v>8</v>
      </c>
      <c r="D15" s="101"/>
      <c r="E15" s="101"/>
      <c r="F15" s="156" t="s">
        <v>69</v>
      </c>
      <c r="G15" s="156"/>
      <c r="H15" s="155" t="s">
        <v>68</v>
      </c>
      <c r="N15" s="155" t="s">
        <v>16</v>
      </c>
      <c r="O15" s="83"/>
    </row>
    <row r="16" spans="2:16" ht="15.75">
      <c r="B16" s="127" t="s">
        <v>10</v>
      </c>
      <c r="D16" s="128"/>
      <c r="E16" s="128"/>
      <c r="F16" s="83"/>
      <c r="G16" s="83"/>
      <c r="H16" s="83"/>
      <c r="N16" s="83"/>
      <c r="O16" s="83"/>
      <c r="P16" s="83"/>
    </row>
    <row r="17" spans="2:16" ht="15.75">
      <c r="B17" s="154"/>
      <c r="D17" s="101"/>
      <c r="E17" s="101"/>
      <c r="F17" s="83"/>
      <c r="G17" s="83"/>
      <c r="H17" s="83"/>
      <c r="N17" s="83"/>
      <c r="O17" s="83"/>
      <c r="P17" s="83"/>
    </row>
    <row r="18" spans="2:16">
      <c r="B18" s="134">
        <v>1</v>
      </c>
      <c r="D18" s="101" t="s">
        <v>558</v>
      </c>
      <c r="E18" s="101"/>
      <c r="F18" s="144" t="s">
        <v>557</v>
      </c>
      <c r="G18" s="144"/>
      <c r="H18" s="148">
        <f>'ATC Att O ER22-1602'!I87+'ATC Att O ER22-1602'!I88</f>
        <v>8633519746</v>
      </c>
      <c r="O18" s="83"/>
      <c r="P18" s="83"/>
    </row>
    <row r="19" spans="2:16">
      <c r="B19" s="134">
        <v>2</v>
      </c>
      <c r="D19" s="101" t="s">
        <v>556</v>
      </c>
      <c r="E19" s="101"/>
      <c r="F19" s="144" t="s">
        <v>555</v>
      </c>
      <c r="G19" s="144"/>
      <c r="H19" s="148">
        <f>'ATC Att O ER22-1602'!I108+'ATC Att O ER22-1602'!I109</f>
        <v>6162114055.1000004</v>
      </c>
      <c r="O19" s="83"/>
      <c r="P19" s="83"/>
    </row>
    <row r="20" spans="2:16">
      <c r="B20" s="134"/>
      <c r="F20" s="144"/>
      <c r="G20" s="144"/>
      <c r="H20" s="104"/>
      <c r="O20" s="83"/>
      <c r="P20" s="83"/>
    </row>
    <row r="21" spans="2:16">
      <c r="B21" s="134"/>
      <c r="D21" s="101" t="s">
        <v>554</v>
      </c>
      <c r="E21" s="101"/>
      <c r="F21" s="144"/>
      <c r="G21" s="144"/>
      <c r="H21" s="83"/>
      <c r="N21" s="83"/>
      <c r="O21" s="83"/>
      <c r="P21" s="83"/>
    </row>
    <row r="22" spans="2:16">
      <c r="B22" s="134">
        <v>3</v>
      </c>
      <c r="D22" s="101" t="s">
        <v>553</v>
      </c>
      <c r="E22" s="101"/>
      <c r="F22" s="144" t="s">
        <v>552</v>
      </c>
      <c r="G22" s="144"/>
      <c r="H22" s="148">
        <f>'ATC Att O ER22-1602'!I168</f>
        <v>184215300.88653973</v>
      </c>
      <c r="N22" s="83"/>
      <c r="O22" s="83"/>
      <c r="P22" s="83"/>
    </row>
    <row r="23" spans="2:16">
      <c r="B23" s="134" t="s">
        <v>551</v>
      </c>
      <c r="D23" s="101" t="s">
        <v>550</v>
      </c>
      <c r="E23" s="101"/>
      <c r="F23" s="144" t="s">
        <v>549</v>
      </c>
      <c r="G23" s="144"/>
      <c r="H23" s="153">
        <f>'Precert Exp'!C19</f>
        <v>23878716</v>
      </c>
      <c r="N23" s="83"/>
      <c r="O23" s="83"/>
      <c r="P23" s="83"/>
    </row>
    <row r="24" spans="2:16">
      <c r="B24" s="134" t="s">
        <v>548</v>
      </c>
      <c r="D24" s="101" t="s">
        <v>547</v>
      </c>
      <c r="E24" s="101"/>
      <c r="F24" s="144" t="s">
        <v>546</v>
      </c>
      <c r="G24" s="144"/>
      <c r="H24" s="152">
        <f>+H22-H23</f>
        <v>160336584.88653973</v>
      </c>
      <c r="O24" s="83"/>
      <c r="P24" s="83"/>
    </row>
    <row r="25" spans="2:16" ht="15.75">
      <c r="B25" s="134">
        <v>4</v>
      </c>
      <c r="D25" s="101" t="s">
        <v>545</v>
      </c>
      <c r="E25" s="101"/>
      <c r="F25" s="144" t="s">
        <v>544</v>
      </c>
      <c r="G25" s="144"/>
      <c r="H25" s="85">
        <f>IF(H24=0,0,H24/H18)</f>
        <v>1.8571404201724949E-2</v>
      </c>
      <c r="N25" s="146">
        <f>H25</f>
        <v>1.8571404201724949E-2</v>
      </c>
      <c r="O25" s="83"/>
      <c r="P25" s="82"/>
    </row>
    <row r="26" spans="2:16" ht="15.75">
      <c r="B26" s="134"/>
      <c r="D26" s="101"/>
      <c r="E26" s="101"/>
      <c r="F26" s="144"/>
      <c r="G26" s="144"/>
      <c r="H26" s="85"/>
      <c r="N26" s="146"/>
      <c r="O26" s="83"/>
      <c r="P26" s="82"/>
    </row>
    <row r="27" spans="2:16" ht="30.75">
      <c r="B27" s="87"/>
      <c r="D27" s="798" t="s">
        <v>1081</v>
      </c>
      <c r="E27" s="101"/>
      <c r="F27" s="86"/>
      <c r="G27" s="86"/>
      <c r="H27" s="83"/>
      <c r="N27" s="83"/>
      <c r="O27" s="83"/>
      <c r="P27" s="82"/>
    </row>
    <row r="28" spans="2:16" ht="15.75">
      <c r="B28" s="87" t="s">
        <v>543</v>
      </c>
      <c r="D28" s="101" t="s">
        <v>542</v>
      </c>
      <c r="E28" s="101"/>
      <c r="F28" s="144" t="s">
        <v>541</v>
      </c>
      <c r="G28" s="144"/>
      <c r="H28" s="148">
        <f>'ATC Att O ER22-1602'!I173+'ATC Att O ER22-1602'!I174</f>
        <v>27762323</v>
      </c>
      <c r="O28" s="83"/>
      <c r="P28" s="82"/>
    </row>
    <row r="29" spans="2:16" ht="15.75">
      <c r="B29" s="87" t="s">
        <v>540</v>
      </c>
      <c r="D29" s="101" t="s">
        <v>539</v>
      </c>
      <c r="E29" s="101"/>
      <c r="F29" s="144" t="s">
        <v>538</v>
      </c>
      <c r="G29" s="144"/>
      <c r="H29" s="85">
        <f>IF(H28=0,0,H28/H18)</f>
        <v>3.2156436559796571E-3</v>
      </c>
      <c r="N29" s="146">
        <f>H29</f>
        <v>3.2156436559796571E-3</v>
      </c>
      <c r="O29" s="83"/>
      <c r="P29" s="82"/>
    </row>
    <row r="30" spans="2:16" ht="15.75">
      <c r="B30" s="134"/>
      <c r="D30" s="101"/>
      <c r="E30" s="101"/>
      <c r="F30" s="144"/>
      <c r="G30" s="144"/>
      <c r="H30" s="85"/>
      <c r="N30" s="146"/>
      <c r="O30" s="83"/>
      <c r="P30" s="82"/>
    </row>
    <row r="31" spans="2:16">
      <c r="B31" s="87"/>
      <c r="D31" s="101" t="s">
        <v>537</v>
      </c>
      <c r="E31" s="101"/>
      <c r="F31" s="86"/>
      <c r="G31" s="86"/>
      <c r="H31" s="83"/>
      <c r="N31" s="83"/>
      <c r="O31" s="83"/>
      <c r="P31" s="83"/>
    </row>
    <row r="32" spans="2:16" ht="15.75">
      <c r="B32" s="87" t="s">
        <v>536</v>
      </c>
      <c r="D32" s="101" t="s">
        <v>535</v>
      </c>
      <c r="E32" s="101"/>
      <c r="F32" s="144" t="s">
        <v>534</v>
      </c>
      <c r="G32" s="144"/>
      <c r="H32" s="148">
        <f>'ATC Att O ER22-1602'!I186</f>
        <v>35135746</v>
      </c>
      <c r="O32" s="83"/>
      <c r="P32" s="151"/>
    </row>
    <row r="33" spans="2:20" ht="15.75">
      <c r="B33" s="87" t="s">
        <v>533</v>
      </c>
      <c r="D33" s="101" t="s">
        <v>532</v>
      </c>
      <c r="E33" s="101"/>
      <c r="F33" s="144" t="s">
        <v>531</v>
      </c>
      <c r="G33" s="144"/>
      <c r="H33" s="85">
        <f>IF(H32=0,0,H32/H18)</f>
        <v>4.069689655401409E-3</v>
      </c>
      <c r="N33" s="146">
        <f>H33</f>
        <v>4.069689655401409E-3</v>
      </c>
      <c r="O33" s="83"/>
      <c r="P33" s="82"/>
      <c r="Q33" s="104"/>
      <c r="R33" s="150"/>
      <c r="S33" s="132"/>
      <c r="T33" s="103"/>
    </row>
    <row r="34" spans="2:20">
      <c r="B34" s="87"/>
      <c r="D34" s="101"/>
      <c r="E34" s="101"/>
      <c r="F34" s="144"/>
      <c r="G34" s="144"/>
      <c r="H34" s="83"/>
      <c r="N34" s="83"/>
      <c r="O34" s="83"/>
      <c r="S34" s="104"/>
      <c r="T34" s="103"/>
    </row>
    <row r="35" spans="2:20" ht="15.75">
      <c r="B35" s="143" t="s">
        <v>530</v>
      </c>
      <c r="C35" s="142"/>
      <c r="D35" s="128" t="s">
        <v>505</v>
      </c>
      <c r="E35" s="128"/>
      <c r="F35" s="141" t="s">
        <v>529</v>
      </c>
      <c r="G35" s="141"/>
      <c r="H35" s="140"/>
      <c r="N35" s="139">
        <f>N25+N29+N33</f>
        <v>2.5856737513106014E-2</v>
      </c>
      <c r="O35" s="83"/>
      <c r="S35" s="104"/>
      <c r="T35" s="103"/>
    </row>
    <row r="36" spans="2:20">
      <c r="B36" s="87"/>
      <c r="D36" s="101"/>
      <c r="E36" s="101"/>
      <c r="F36" s="144"/>
      <c r="G36" s="144"/>
      <c r="H36" s="83"/>
      <c r="N36" s="83"/>
      <c r="O36" s="83"/>
      <c r="P36" s="83"/>
      <c r="Q36" s="104"/>
      <c r="R36" s="149"/>
      <c r="S36" s="104"/>
      <c r="T36" s="103"/>
    </row>
    <row r="37" spans="2:20">
      <c r="B37" s="87"/>
      <c r="D37" s="83" t="s">
        <v>528</v>
      </c>
      <c r="E37" s="83"/>
      <c r="F37" s="144"/>
      <c r="G37" s="144"/>
      <c r="H37" s="83"/>
      <c r="N37" s="83"/>
      <c r="O37" s="83"/>
      <c r="S37" s="132"/>
      <c r="T37" s="104" t="s">
        <v>3</v>
      </c>
    </row>
    <row r="38" spans="2:20">
      <c r="B38" s="87" t="s">
        <v>527</v>
      </c>
      <c r="D38" s="83" t="s">
        <v>460</v>
      </c>
      <c r="E38" s="83"/>
      <c r="F38" s="144" t="s">
        <v>526</v>
      </c>
      <c r="G38" s="144"/>
      <c r="H38" s="148">
        <f>'ATC Att O ER22-1602'!I201</f>
        <v>86073160.51819019</v>
      </c>
      <c r="N38" s="83"/>
      <c r="O38" s="83"/>
      <c r="S38" s="132"/>
      <c r="T38" s="104"/>
    </row>
    <row r="39" spans="2:20" ht="15.75">
      <c r="B39" s="87" t="s">
        <v>525</v>
      </c>
      <c r="D39" s="83" t="s">
        <v>524</v>
      </c>
      <c r="E39" s="83"/>
      <c r="F39" s="144" t="s">
        <v>523</v>
      </c>
      <c r="G39" s="144"/>
      <c r="H39" s="85">
        <f>IF(H38=0,0,H38/H19)</f>
        <v>1.3968121938111932E-2</v>
      </c>
      <c r="N39" s="146">
        <f>H39</f>
        <v>1.3968121938111932E-2</v>
      </c>
      <c r="O39" s="83"/>
      <c r="Q39" s="104"/>
      <c r="R39" s="133"/>
      <c r="S39" s="132"/>
      <c r="T39" s="104"/>
    </row>
    <row r="40" spans="2:20">
      <c r="B40" s="87"/>
      <c r="D40" s="83"/>
      <c r="E40" s="83"/>
      <c r="F40" s="144"/>
      <c r="G40" s="144"/>
      <c r="H40" s="83"/>
      <c r="N40" s="83"/>
      <c r="O40" s="83"/>
      <c r="Q40" s="103"/>
      <c r="R40" s="133"/>
      <c r="S40" s="103"/>
      <c r="T40" s="103"/>
    </row>
    <row r="41" spans="2:20">
      <c r="B41" s="87"/>
      <c r="D41" s="101" t="s">
        <v>185</v>
      </c>
      <c r="E41" s="101"/>
      <c r="F41" s="138"/>
      <c r="G41" s="138"/>
      <c r="O41" s="83"/>
      <c r="Q41" s="104"/>
      <c r="R41" s="133"/>
      <c r="S41" s="104"/>
      <c r="T41" s="103"/>
    </row>
    <row r="42" spans="2:20">
      <c r="B42" s="87" t="s">
        <v>522</v>
      </c>
      <c r="D42" s="101" t="s">
        <v>521</v>
      </c>
      <c r="E42" s="101"/>
      <c r="F42" s="144" t="s">
        <v>520</v>
      </c>
      <c r="G42" s="144"/>
      <c r="H42" s="148">
        <f>'ATC Att O ER22-1602'!I203</f>
        <v>417665278.95196092</v>
      </c>
      <c r="N42" s="83"/>
      <c r="O42" s="83"/>
      <c r="Q42" s="104"/>
      <c r="R42" s="133"/>
      <c r="S42" s="104"/>
      <c r="T42" s="103"/>
    </row>
    <row r="43" spans="2:20" ht="15.75">
      <c r="B43" s="87" t="s">
        <v>519</v>
      </c>
      <c r="D43" s="83" t="s">
        <v>518</v>
      </c>
      <c r="E43" s="83"/>
      <c r="F43" s="144" t="s">
        <v>517</v>
      </c>
      <c r="G43" s="144"/>
      <c r="H43" s="147">
        <f>IF(H42=0,0,H42/H19)</f>
        <v>6.777954371134777E-2</v>
      </c>
      <c r="N43" s="146">
        <f>H43</f>
        <v>6.777954371134777E-2</v>
      </c>
      <c r="O43" s="83"/>
      <c r="R43" s="145"/>
      <c r="S43" s="132"/>
      <c r="T43" s="104"/>
    </row>
    <row r="44" spans="2:20">
      <c r="B44" s="87"/>
      <c r="D44" s="101"/>
      <c r="E44" s="101"/>
      <c r="F44" s="144"/>
      <c r="G44" s="144"/>
      <c r="H44" s="83"/>
      <c r="N44" s="83"/>
      <c r="O44" s="83"/>
      <c r="P44" s="138"/>
      <c r="Q44" s="104"/>
      <c r="R44" s="133"/>
      <c r="S44" s="104"/>
      <c r="T44" s="103"/>
    </row>
    <row r="45" spans="2:20" ht="15.75">
      <c r="B45" s="143" t="s">
        <v>516</v>
      </c>
      <c r="C45" s="142"/>
      <c r="D45" s="128" t="s">
        <v>502</v>
      </c>
      <c r="E45" s="128"/>
      <c r="F45" s="141" t="s">
        <v>515</v>
      </c>
      <c r="G45" s="141"/>
      <c r="H45" s="140"/>
      <c r="N45" s="139">
        <f>N39+N43</f>
        <v>8.1747665649459705E-2</v>
      </c>
      <c r="O45" s="83"/>
      <c r="P45" s="138"/>
      <c r="Q45" s="104"/>
      <c r="R45" s="133"/>
      <c r="S45" s="104"/>
      <c r="T45" s="103"/>
    </row>
    <row r="46" spans="2:20">
      <c r="O46" s="101"/>
      <c r="P46" s="101"/>
      <c r="Q46" s="104"/>
      <c r="R46" s="133"/>
      <c r="S46" s="104"/>
      <c r="T46" s="103"/>
    </row>
    <row r="47" spans="2:20">
      <c r="O47" s="101"/>
      <c r="P47" s="101"/>
      <c r="Q47" s="104"/>
      <c r="R47" s="133"/>
      <c r="S47" s="104"/>
      <c r="T47" s="103"/>
    </row>
    <row r="48" spans="2:20">
      <c r="O48" s="101"/>
      <c r="P48" s="101"/>
      <c r="Q48" s="104"/>
      <c r="R48" s="133"/>
      <c r="S48" s="104"/>
      <c r="T48" s="103"/>
    </row>
    <row r="49" spans="2:20">
      <c r="O49" s="101"/>
      <c r="P49" s="101"/>
      <c r="Q49" s="103"/>
      <c r="R49" s="105"/>
      <c r="S49" s="103"/>
      <c r="T49" s="103"/>
    </row>
    <row r="50" spans="2:20">
      <c r="O50" s="83"/>
      <c r="P50" s="83"/>
      <c r="Q50" s="104"/>
      <c r="R50" s="105"/>
      <c r="S50" s="104"/>
      <c r="T50" s="103"/>
    </row>
    <row r="51" spans="2:20" ht="15.75">
      <c r="O51" s="83"/>
      <c r="P51" s="82"/>
      <c r="Q51" s="104"/>
      <c r="R51" s="133"/>
      <c r="S51" s="134"/>
      <c r="T51" s="104"/>
    </row>
    <row r="52" spans="2:20" ht="15.75">
      <c r="O52" s="83"/>
      <c r="P52" s="82"/>
      <c r="Q52" s="104"/>
      <c r="R52" s="133"/>
      <c r="S52" s="134"/>
      <c r="T52" s="104"/>
    </row>
    <row r="53" spans="2:20" ht="15.75">
      <c r="O53" s="83"/>
      <c r="P53" s="82"/>
      <c r="Q53" s="104"/>
      <c r="R53" s="133"/>
      <c r="S53" s="134"/>
      <c r="T53" s="104"/>
    </row>
    <row r="54" spans="2:20" ht="15.75">
      <c r="B54" s="87"/>
      <c r="D54" s="84"/>
      <c r="E54" s="84"/>
      <c r="F54" s="86"/>
      <c r="G54" s="86"/>
      <c r="H54" s="83"/>
      <c r="I54" s="84"/>
      <c r="J54" s="84"/>
      <c r="K54" s="85"/>
      <c r="L54" s="84"/>
      <c r="M54" s="84"/>
      <c r="N54" s="83"/>
      <c r="O54" s="83"/>
      <c r="P54" s="82"/>
      <c r="Q54" s="104"/>
      <c r="R54" s="133"/>
      <c r="S54" s="134"/>
      <c r="T54" s="104"/>
    </row>
    <row r="55" spans="2:20" ht="15.75">
      <c r="B55" s="87"/>
      <c r="D55" s="84"/>
      <c r="E55" s="84"/>
      <c r="F55" s="86"/>
      <c r="G55" s="86"/>
      <c r="H55" s="83"/>
      <c r="I55" s="84"/>
      <c r="J55" s="84"/>
      <c r="K55" s="85"/>
      <c r="L55" s="84"/>
      <c r="M55" s="84"/>
      <c r="N55" s="83"/>
      <c r="O55" s="83"/>
      <c r="P55" s="82"/>
      <c r="Q55" s="104"/>
      <c r="R55" s="133"/>
      <c r="S55" s="134"/>
      <c r="T55" s="104"/>
    </row>
    <row r="56" spans="2:20" ht="15.75">
      <c r="B56" s="89"/>
      <c r="D56" s="87"/>
      <c r="E56" s="87"/>
      <c r="F56" s="86"/>
      <c r="G56" s="86"/>
      <c r="H56" s="83"/>
      <c r="I56" s="84"/>
      <c r="J56" s="84"/>
      <c r="K56" s="85"/>
      <c r="L56" s="84"/>
      <c r="M56" s="84"/>
      <c r="O56" s="83"/>
      <c r="P56" s="137"/>
      <c r="Q56" s="135"/>
      <c r="R56" s="133"/>
      <c r="S56" s="134"/>
      <c r="T56" s="104"/>
    </row>
    <row r="57" spans="2:20" ht="15.75">
      <c r="B57" s="89"/>
      <c r="D57" s="87"/>
      <c r="E57" s="87"/>
      <c r="F57" s="86"/>
      <c r="G57" s="86"/>
      <c r="H57" s="83"/>
      <c r="I57" s="84"/>
      <c r="J57" s="84"/>
      <c r="K57" s="85"/>
      <c r="L57" s="84"/>
      <c r="M57" s="84"/>
      <c r="O57" s="83"/>
      <c r="P57" s="82"/>
      <c r="Q57" s="135"/>
      <c r="R57" s="133"/>
      <c r="S57" s="134"/>
      <c r="T57" s="104"/>
    </row>
    <row r="58" spans="2:20" ht="15.75">
      <c r="B58" s="136"/>
      <c r="D58" s="87"/>
      <c r="E58" s="87"/>
      <c r="F58" s="86"/>
      <c r="G58" s="86"/>
      <c r="H58" s="83"/>
      <c r="I58" s="84"/>
      <c r="J58" s="84"/>
      <c r="K58" s="85"/>
      <c r="L58" s="84"/>
      <c r="M58" s="84"/>
      <c r="O58" s="83"/>
      <c r="P58" s="82"/>
      <c r="Q58" s="135"/>
      <c r="R58" s="133"/>
      <c r="S58" s="134"/>
      <c r="T58" s="104"/>
    </row>
    <row r="59" spans="2:20">
      <c r="B59" s="127"/>
      <c r="D59" s="84"/>
      <c r="E59" s="84"/>
      <c r="F59" s="84"/>
      <c r="G59" s="84"/>
      <c r="H59" s="83"/>
      <c r="I59" s="84"/>
      <c r="J59" s="84"/>
      <c r="K59" s="84"/>
      <c r="L59" s="84"/>
      <c r="M59" s="84"/>
      <c r="O59" s="83"/>
      <c r="P59" s="83"/>
      <c r="Q59" s="104"/>
      <c r="R59" s="133"/>
      <c r="S59" s="132"/>
      <c r="T59" s="104" t="s">
        <v>3</v>
      </c>
    </row>
    <row r="60" spans="2:20">
      <c r="P60" s="131"/>
    </row>
    <row r="61" spans="2:20">
      <c r="P61" s="131"/>
    </row>
    <row r="63" spans="2:20">
      <c r="B63" s="127"/>
      <c r="D63" s="84"/>
      <c r="E63" s="84"/>
      <c r="F63" s="84"/>
      <c r="G63" s="84"/>
      <c r="H63" s="83"/>
      <c r="I63" s="84"/>
      <c r="J63" s="84"/>
      <c r="K63" s="84"/>
      <c r="L63" s="84"/>
      <c r="M63" s="84"/>
      <c r="O63" s="83"/>
      <c r="P63" s="130" t="s">
        <v>514</v>
      </c>
      <c r="Q63" s="104"/>
      <c r="R63" s="105"/>
      <c r="S63" s="104"/>
      <c r="T63" s="103"/>
    </row>
    <row r="64" spans="2:20" ht="15.75">
      <c r="B64" s="127"/>
      <c r="D64" s="101" t="str">
        <f>D5</f>
        <v>Formula Rate calculation</v>
      </c>
      <c r="E64" s="101"/>
      <c r="F64" s="84"/>
      <c r="G64" s="84"/>
      <c r="H64" s="84" t="str">
        <f>H5</f>
        <v xml:space="preserve">     Rate Formula Template</v>
      </c>
      <c r="I64" s="84"/>
      <c r="J64" s="84"/>
      <c r="K64" s="84"/>
      <c r="L64" s="84"/>
      <c r="M64" s="84"/>
      <c r="O64" s="83"/>
      <c r="P64" s="129" t="str">
        <f>$P$5</f>
        <v>For the 12 months ended 12/31/2025</v>
      </c>
      <c r="Q64" s="104"/>
      <c r="R64" s="105"/>
      <c r="S64" s="104"/>
      <c r="T64" s="103"/>
    </row>
    <row r="65" spans="2:16" ht="15.75">
      <c r="B65" s="127"/>
      <c r="D65" s="101"/>
      <c r="E65" s="101"/>
      <c r="F65" s="84"/>
      <c r="G65" s="84"/>
      <c r="H65" s="84" t="s">
        <v>513</v>
      </c>
      <c r="I65" s="84"/>
      <c r="J65" s="84"/>
      <c r="K65" s="84"/>
      <c r="L65" s="84"/>
      <c r="M65" s="84"/>
      <c r="N65" s="83"/>
      <c r="O65" s="83"/>
      <c r="P65" s="88"/>
    </row>
    <row r="66" spans="2:16" ht="14.25" customHeight="1">
      <c r="B66" s="127"/>
      <c r="D66" s="84"/>
      <c r="E66" s="84"/>
      <c r="F66" s="84"/>
      <c r="G66" s="84"/>
      <c r="H66" s="84"/>
      <c r="I66" s="84"/>
      <c r="J66" s="84"/>
      <c r="K66" s="84"/>
      <c r="L66" s="84"/>
      <c r="M66" s="84"/>
      <c r="O66" s="83"/>
      <c r="P66" s="84" t="s">
        <v>512</v>
      </c>
    </row>
    <row r="67" spans="2:16">
      <c r="B67" s="127"/>
      <c r="F67" s="84"/>
      <c r="G67" s="84"/>
      <c r="H67" s="84" t="str">
        <f>H8</f>
        <v>American Transmission Company LLC</v>
      </c>
      <c r="I67" s="84"/>
      <c r="J67" s="84"/>
      <c r="K67" s="84"/>
      <c r="L67" s="84"/>
      <c r="M67" s="84"/>
      <c r="N67" s="84"/>
      <c r="O67" s="83"/>
      <c r="P67" s="83"/>
    </row>
    <row r="68" spans="2:16">
      <c r="B68" s="127"/>
      <c r="F68" s="101"/>
      <c r="G68" s="101"/>
      <c r="H68" s="101"/>
      <c r="I68" s="101"/>
      <c r="J68" s="101"/>
      <c r="K68" s="101"/>
      <c r="L68" s="101"/>
      <c r="M68" s="101"/>
      <c r="N68" s="101"/>
      <c r="O68" s="101"/>
      <c r="P68" s="101"/>
    </row>
    <row r="69" spans="2:16" ht="15.75">
      <c r="B69" s="127"/>
      <c r="D69" s="84"/>
      <c r="E69" s="84"/>
      <c r="F69" s="128" t="s">
        <v>511</v>
      </c>
      <c r="G69" s="128"/>
      <c r="I69" s="101"/>
      <c r="J69" s="101"/>
      <c r="K69" s="101"/>
      <c r="L69" s="101"/>
      <c r="M69" s="101"/>
      <c r="N69" s="101"/>
      <c r="O69" s="83"/>
      <c r="P69" s="83"/>
    </row>
    <row r="70" spans="2:16" ht="15.75">
      <c r="B70" s="127"/>
      <c r="D70" s="84"/>
      <c r="E70" s="84"/>
      <c r="F70" s="128"/>
      <c r="G70" s="128"/>
      <c r="I70" s="101"/>
      <c r="J70" s="101"/>
      <c r="K70" s="101"/>
      <c r="L70" s="101"/>
      <c r="M70" s="101"/>
      <c r="N70" s="101"/>
      <c r="O70" s="83"/>
      <c r="P70" s="83"/>
    </row>
    <row r="71" spans="2:16" ht="15.75">
      <c r="B71" s="127"/>
      <c r="D71" s="126">
        <v>-1</v>
      </c>
      <c r="E71" s="126">
        <v>-2</v>
      </c>
      <c r="F71" s="126">
        <v>-3</v>
      </c>
      <c r="G71" s="126">
        <v>-4</v>
      </c>
      <c r="H71" s="126">
        <v>-5</v>
      </c>
      <c r="I71" s="126">
        <v>-6</v>
      </c>
      <c r="J71" s="126">
        <v>-7</v>
      </c>
      <c r="K71" s="126">
        <v>-8</v>
      </c>
      <c r="L71" s="126">
        <v>-9</v>
      </c>
      <c r="M71" s="126" t="s">
        <v>510</v>
      </c>
      <c r="N71" s="126">
        <v>-10</v>
      </c>
      <c r="O71" s="126">
        <v>-11</v>
      </c>
      <c r="P71" s="126">
        <v>-12</v>
      </c>
    </row>
    <row r="72" spans="2:16" ht="63">
      <c r="B72" s="125" t="s">
        <v>509</v>
      </c>
      <c r="C72" s="124"/>
      <c r="D72" s="124" t="s">
        <v>508</v>
      </c>
      <c r="E72" s="123" t="s">
        <v>507</v>
      </c>
      <c r="F72" s="121" t="s">
        <v>506</v>
      </c>
      <c r="G72" s="121" t="s">
        <v>505</v>
      </c>
      <c r="H72" s="122" t="s">
        <v>504</v>
      </c>
      <c r="I72" s="121" t="s">
        <v>503</v>
      </c>
      <c r="J72" s="121" t="s">
        <v>502</v>
      </c>
      <c r="K72" s="122" t="s">
        <v>501</v>
      </c>
      <c r="L72" s="121" t="s">
        <v>500</v>
      </c>
      <c r="M72" s="120" t="s">
        <v>499</v>
      </c>
      <c r="N72" s="118" t="s">
        <v>498</v>
      </c>
      <c r="O72" s="119" t="s">
        <v>497</v>
      </c>
      <c r="P72" s="118" t="s">
        <v>496</v>
      </c>
    </row>
    <row r="73" spans="2:16" ht="46.5" customHeight="1">
      <c r="B73" s="117"/>
      <c r="C73" s="116"/>
      <c r="D73" s="116"/>
      <c r="E73" s="116"/>
      <c r="F73" s="114" t="s">
        <v>33</v>
      </c>
      <c r="G73" s="114" t="s">
        <v>495</v>
      </c>
      <c r="H73" s="115" t="s">
        <v>494</v>
      </c>
      <c r="I73" s="114" t="s">
        <v>35</v>
      </c>
      <c r="J73" s="114" t="s">
        <v>493</v>
      </c>
      <c r="K73" s="115" t="s">
        <v>492</v>
      </c>
      <c r="L73" s="114" t="s">
        <v>57</v>
      </c>
      <c r="M73" s="113" t="s">
        <v>491</v>
      </c>
      <c r="N73" s="112" t="s">
        <v>490</v>
      </c>
      <c r="O73" s="111" t="s">
        <v>489</v>
      </c>
      <c r="P73" s="110" t="s">
        <v>488</v>
      </c>
    </row>
    <row r="74" spans="2:16">
      <c r="B74" s="109"/>
      <c r="C74" s="101"/>
      <c r="D74" s="101"/>
      <c r="E74" s="101"/>
      <c r="F74" s="101"/>
      <c r="G74" s="101"/>
      <c r="H74" s="107"/>
      <c r="I74" s="101"/>
      <c r="J74" s="101"/>
      <c r="K74" s="107"/>
      <c r="L74" s="101"/>
      <c r="M74" s="108"/>
      <c r="N74" s="107"/>
      <c r="O74" s="83"/>
      <c r="P74" s="106"/>
    </row>
    <row r="75" spans="2:16">
      <c r="B75" s="693" t="s">
        <v>141</v>
      </c>
      <c r="C75" s="694"/>
      <c r="D75" s="695" t="s">
        <v>964</v>
      </c>
      <c r="E75" s="696">
        <v>345</v>
      </c>
      <c r="F75" s="697">
        <f>ROUND(SUMIF('GG Support Data'!$C$7:$AY$7,$E75,'GG Support Data'!$C$23:$AY$23),2)</f>
        <v>141497040.90000001</v>
      </c>
      <c r="G75" s="690">
        <f t="shared" ref="G75:G121" si="0">$N$35</f>
        <v>2.5856737513106014E-2</v>
      </c>
      <c r="H75" s="698">
        <f t="shared" ref="H75:H90" si="1">F75*G75</f>
        <v>3658651.845432526</v>
      </c>
      <c r="I75" s="697">
        <f>ROUND(SUMIF('GG Support Data'!$C$7:$AY$7,$E75,'GG Support Data'!$C$56:$AY$56),2)</f>
        <v>89477791.700000003</v>
      </c>
      <c r="J75" s="690">
        <f t="shared" ref="J75:J121" si="2">$N$45</f>
        <v>8.1747665649459705E-2</v>
      </c>
      <c r="K75" s="698">
        <f t="shared" ref="K75:K90" si="3">I75*J75</f>
        <v>7314600.5989436014</v>
      </c>
      <c r="L75" s="697">
        <f>ROUND(SUMIF('GG Support Data'!$C$7:$AY$7,$E75,'GG Support Data'!$C$61:$AY$61),2)</f>
        <v>3311030.76</v>
      </c>
      <c r="M75" s="697">
        <f>ROUND(SUMIF('GG Support Data'!$C$7:$AY$7,$E75,'GG Support Data'!$C$66:$AY$66),2)</f>
        <v>0</v>
      </c>
      <c r="N75" s="698">
        <f t="shared" ref="N75:N90" si="4">H75+K75+L75+M75</f>
        <v>14284283.204376128</v>
      </c>
      <c r="O75" s="699">
        <f>INDEX('GG True-up Template'!$A$44:$AG$96,MATCH(E75,'GG True-up Template'!$A$44:$A$96,0),MATCH("N",'GG True-up Template'!$A$44:$AG$44,0))</f>
        <v>-499029.53816808929</v>
      </c>
      <c r="P75" s="698">
        <f t="shared" ref="P75:P90" si="5">N75+O75</f>
        <v>13785253.666208038</v>
      </c>
    </row>
    <row r="76" spans="2:16">
      <c r="B76" s="693" t="s">
        <v>487</v>
      </c>
      <c r="C76" s="694"/>
      <c r="D76" s="695" t="s">
        <v>965</v>
      </c>
      <c r="E76" s="696">
        <v>1453</v>
      </c>
      <c r="F76" s="697">
        <f>ROUND(SUMIF('GG Support Data'!$C$7:$AY$7,$E76,'GG Support Data'!$C$23:$AY$23),2)</f>
        <v>8744623.3699999992</v>
      </c>
      <c r="G76" s="690">
        <f t="shared" si="0"/>
        <v>2.5856737513106014E-2</v>
      </c>
      <c r="H76" s="698">
        <f>F76*G76</f>
        <v>226107.43112906252</v>
      </c>
      <c r="I76" s="697">
        <f>ROUND(SUMIF('GG Support Data'!$C$7:$AY$7,$E76,'GG Support Data'!$C$56:$AY$56),2)</f>
        <v>4520606.4800000004</v>
      </c>
      <c r="J76" s="690">
        <f t="shared" si="2"/>
        <v>8.1747665649459705E-2</v>
      </c>
      <c r="K76" s="698">
        <f>I76*J76</f>
        <v>369549.027059821</v>
      </c>
      <c r="L76" s="697">
        <f>ROUND(SUMIF('GG Support Data'!$C$7:$AY$7,$E76,'GG Support Data'!$C$61:$AY$61),2)</f>
        <v>255343</v>
      </c>
      <c r="M76" s="697">
        <f>ROUND(SUMIF('GG Support Data'!$C$7:$AY$7,$E76,'GG Support Data'!$C$66:$AY$66),2)</f>
        <v>0</v>
      </c>
      <c r="N76" s="698">
        <f>H76+K76+L76+M76</f>
        <v>850999.45818888349</v>
      </c>
      <c r="O76" s="699">
        <f>INDEX('GG True-up Template'!$A$44:$AG$96,MATCH(E76,'GG True-up Template'!$A$44:$A$96,0),MATCH("N",'GG True-up Template'!$A$44:$AG$44,0))</f>
        <v>-30706.064302930601</v>
      </c>
      <c r="P76" s="698">
        <f>N76+O76</f>
        <v>820293.39388595289</v>
      </c>
    </row>
    <row r="77" spans="2:16">
      <c r="B77" s="693" t="s">
        <v>486</v>
      </c>
      <c r="C77" s="694"/>
      <c r="D77" s="695" t="s">
        <v>966</v>
      </c>
      <c r="E77" s="696">
        <v>352</v>
      </c>
      <c r="F77" s="697">
        <f>ROUND(SUMIF('GG Support Data'!$C$7:$AY$7,$E77,'GG Support Data'!$C$23:$AY$23),2)</f>
        <v>88185651.480000004</v>
      </c>
      <c r="G77" s="690">
        <f t="shared" si="0"/>
        <v>2.5856737513106014E-2</v>
      </c>
      <c r="H77" s="698">
        <f t="shared" si="1"/>
        <v>2280193.2427406088</v>
      </c>
      <c r="I77" s="697">
        <f>ROUND(SUMIF('GG Support Data'!$C$7:$AY$7,$E77,'GG Support Data'!$C$56:$AY$56),2)</f>
        <v>52683180.259999998</v>
      </c>
      <c r="J77" s="690">
        <f t="shared" si="2"/>
        <v>8.1747665649459705E-2</v>
      </c>
      <c r="K77" s="698">
        <f t="shared" si="3"/>
        <v>4306727.0052446956</v>
      </c>
      <c r="L77" s="697">
        <f>ROUND(SUMIF('GG Support Data'!$C$7:$AY$7,$E77,'GG Support Data'!$C$61:$AY$61),2)</f>
        <v>2065047.37</v>
      </c>
      <c r="M77" s="697">
        <f>ROUND(SUMIF('GG Support Data'!$C$7:$AY$7,$E77,'GG Support Data'!$C$66:$AY$66),2)</f>
        <v>0</v>
      </c>
      <c r="N77" s="698">
        <f t="shared" si="4"/>
        <v>8651967.6179853044</v>
      </c>
      <c r="O77" s="699">
        <f>INDEX('GG True-up Template'!$A$44:$AG$96,MATCH(E77,'GG True-up Template'!$A$44:$A$96,0),MATCH("N",'GG True-up Template'!$A$44:$AG$44,0))</f>
        <v>-305239.42517415812</v>
      </c>
      <c r="P77" s="698">
        <f t="shared" si="5"/>
        <v>8346728.1928111464</v>
      </c>
    </row>
    <row r="78" spans="2:16">
      <c r="B78" s="693" t="s">
        <v>485</v>
      </c>
      <c r="C78" s="694"/>
      <c r="D78" s="695" t="s">
        <v>972</v>
      </c>
      <c r="E78" s="696">
        <v>356</v>
      </c>
      <c r="F78" s="697">
        <f>ROUND(SUMIF('GG Support Data'!$C$7:$AY$7,$E78,'GG Support Data'!$C$23:$AY$23),2)</f>
        <v>140835822.94999999</v>
      </c>
      <c r="G78" s="690">
        <f t="shared" si="0"/>
        <v>2.5856737513106014E-2</v>
      </c>
      <c r="H78" s="698">
        <f t="shared" si="1"/>
        <v>3641554.9064604216</v>
      </c>
      <c r="I78" s="697">
        <f>ROUND(SUMIF('GG Support Data'!$C$7:$AY$7,$E78,'GG Support Data'!$C$56:$AY$56),2)</f>
        <v>100374086.77</v>
      </c>
      <c r="J78" s="690">
        <f t="shared" si="2"/>
        <v>8.1747665649459705E-2</v>
      </c>
      <c r="K78" s="698">
        <f t="shared" si="3"/>
        <v>8205347.2851438168</v>
      </c>
      <c r="L78" s="697">
        <f>ROUND(SUMIF('GG Support Data'!$C$7:$AY$7,$E78,'GG Support Data'!$C$61:$AY$61),2)</f>
        <v>3112471.69</v>
      </c>
      <c r="M78" s="697">
        <f>ROUND(SUMIF('GG Support Data'!$C$7:$AY$7,$E78,'GG Support Data'!$C$66:$AY$66),2)</f>
        <v>0</v>
      </c>
      <c r="N78" s="698">
        <f t="shared" si="4"/>
        <v>14959373.881604237</v>
      </c>
      <c r="O78" s="699">
        <f>INDEX('GG True-up Template'!$A$44:$AG$96,MATCH(E78,'GG True-up Template'!$A$44:$A$96,0),MATCH("N",'GG True-up Template'!$A$44:$AG$44,0))</f>
        <v>-527015.21368094475</v>
      </c>
      <c r="P78" s="698">
        <f t="shared" si="5"/>
        <v>14432358.667923292</v>
      </c>
    </row>
    <row r="79" spans="2:16">
      <c r="B79" s="693" t="s">
        <v>1017</v>
      </c>
      <c r="C79" s="694"/>
      <c r="D79" s="695" t="s">
        <v>973</v>
      </c>
      <c r="E79" s="696">
        <v>1616</v>
      </c>
      <c r="F79" s="697">
        <f>ROUND(SUMIF('GG Support Data'!$C$7:$AY$7,$E79,'GG Support Data'!$C$23:$AY$23),2)</f>
        <v>1250002.32</v>
      </c>
      <c r="G79" s="690">
        <f t="shared" si="0"/>
        <v>2.5856737513106014E-2</v>
      </c>
      <c r="H79" s="698">
        <f t="shared" si="1"/>
        <v>32320.98187901355</v>
      </c>
      <c r="I79" s="697">
        <f>ROUND(SUMIF('GG Support Data'!$C$7:$AY$7,$E79,'GG Support Data'!$C$56:$AY$56),2)</f>
        <v>1055788.79</v>
      </c>
      <c r="J79" s="690">
        <f t="shared" si="2"/>
        <v>8.1747665649459705E-2</v>
      </c>
      <c r="K79" s="698">
        <f t="shared" si="3"/>
        <v>86308.269001367633</v>
      </c>
      <c r="L79" s="697">
        <f>ROUND(SUMIF('GG Support Data'!$C$7:$AY$7,$E79,'GG Support Data'!$C$61:$AY$61),2)</f>
        <v>32375.06</v>
      </c>
      <c r="M79" s="697">
        <f>ROUND(SUMIF('GG Support Data'!$C$7:$AY$7,$E79,'GG Support Data'!$C$66:$AY$66),2)</f>
        <v>0</v>
      </c>
      <c r="N79" s="698">
        <f t="shared" si="4"/>
        <v>151004.31088038118</v>
      </c>
      <c r="O79" s="699">
        <f>INDEX('GG True-up Template'!$A$44:$AG$96,MATCH(E79,'GG True-up Template'!$A$44:$A$96,0),MATCH("N",'GG True-up Template'!$A$44:$AG$44,0))</f>
        <v>-4848.6422712468056</v>
      </c>
      <c r="P79" s="698">
        <f t="shared" si="5"/>
        <v>146155.66860913436</v>
      </c>
    </row>
    <row r="80" spans="2:16">
      <c r="B80" s="693" t="s">
        <v>1018</v>
      </c>
      <c r="C80" s="694"/>
      <c r="D80" s="695" t="s">
        <v>974</v>
      </c>
      <c r="E80" s="700" t="s">
        <v>988</v>
      </c>
      <c r="F80" s="697">
        <f>ROUND(SUMIF('GG Support Data'!$C$7:$AY$7,$E80,'GG Support Data'!$C$23:$AY$23),2)</f>
        <v>1964606.76</v>
      </c>
      <c r="G80" s="690">
        <f t="shared" si="0"/>
        <v>2.5856737513106014E-2</v>
      </c>
      <c r="H80" s="698">
        <f t="shared" si="1"/>
        <v>50798.32130979366</v>
      </c>
      <c r="I80" s="697">
        <f>ROUND(SUMIF('GG Support Data'!$C$7:$AY$7,$E80,'GG Support Data'!$C$56:$AY$56),2)</f>
        <v>1706784.25</v>
      </c>
      <c r="J80" s="690">
        <f t="shared" si="2"/>
        <v>8.1747665649459705E-2</v>
      </c>
      <c r="K80" s="698">
        <f t="shared" si="3"/>
        <v>139525.62820476384</v>
      </c>
      <c r="L80" s="697">
        <f>ROUND(SUMIF('GG Support Data'!$C$7:$AY$7,$E80,'GG Support Data'!$C$61:$AY$61),2)</f>
        <v>53633.760000000002</v>
      </c>
      <c r="M80" s="697">
        <f>ROUND(SUMIF('GG Support Data'!$C$7:$AY$7,$E80,'GG Support Data'!$C$66:$AY$66),2)</f>
        <v>0</v>
      </c>
      <c r="N80" s="698">
        <f t="shared" si="4"/>
        <v>243957.7095145575</v>
      </c>
      <c r="O80" s="699">
        <f>INDEX('GG True-up Template'!$A$44:$AG$96,MATCH(E80,'GG True-up Template'!$A$44:$A$96,0),MATCH("N",'GG True-up Template'!$A$44:$AG$44,0))</f>
        <v>-8132.3671556357676</v>
      </c>
      <c r="P80" s="698">
        <f t="shared" si="5"/>
        <v>235825.34235892174</v>
      </c>
    </row>
    <row r="81" spans="2:16">
      <c r="B81" s="693" t="s">
        <v>484</v>
      </c>
      <c r="C81" s="694"/>
      <c r="D81" s="695" t="s">
        <v>977</v>
      </c>
      <c r="E81" s="696">
        <v>1950</v>
      </c>
      <c r="F81" s="697">
        <f>ROUND(SUMIF('GG Support Data'!$C$7:$AY$7,$E81,'GG Support Data'!$C$23:$AY$23),2)</f>
        <v>14493691.1</v>
      </c>
      <c r="G81" s="690">
        <f t="shared" si="0"/>
        <v>2.5856737513106014E-2</v>
      </c>
      <c r="H81" s="698">
        <f t="shared" si="1"/>
        <v>374759.56636874075</v>
      </c>
      <c r="I81" s="697">
        <f>ROUND(SUMIF('GG Support Data'!$C$7:$AY$7,$E81,'GG Support Data'!$C$56:$AY$56),2)</f>
        <v>9368019.9700000007</v>
      </c>
      <c r="J81" s="690">
        <f t="shared" si="2"/>
        <v>8.1747665649459705E-2</v>
      </c>
      <c r="K81" s="698">
        <f t="shared" si="3"/>
        <v>765813.76430502161</v>
      </c>
      <c r="L81" s="697">
        <f>ROUND(SUMIF('GG Support Data'!$C$7:$AY$7,$E81,'GG Support Data'!$C$61:$AY$61),2)</f>
        <v>408722.09</v>
      </c>
      <c r="M81" s="697">
        <f>ROUND(SUMIF('GG Support Data'!$C$7:$AY$7,$E81,'GG Support Data'!$C$66:$AY$66),2)</f>
        <v>0</v>
      </c>
      <c r="N81" s="698">
        <f t="shared" si="4"/>
        <v>1549295.4206737624</v>
      </c>
      <c r="O81" s="699">
        <f>INDEX('GG True-up Template'!$A$44:$AG$96,MATCH(E81,'GG True-up Template'!$A$44:$A$96,0),MATCH("N",'GG True-up Template'!$A$44:$AG$44,0))</f>
        <v>-75217.567048142184</v>
      </c>
      <c r="P81" s="698">
        <f t="shared" si="5"/>
        <v>1474077.8536256202</v>
      </c>
    </row>
    <row r="82" spans="2:16">
      <c r="B82" s="693" t="s">
        <v>483</v>
      </c>
      <c r="C82" s="694"/>
      <c r="D82" s="695" t="s">
        <v>976</v>
      </c>
      <c r="E82" s="696">
        <v>2793</v>
      </c>
      <c r="F82" s="697">
        <f>ROUND(SUMIF('GG Support Data'!$C$7:$AY$7,$E82,'GG Support Data'!$C$23:$AY$23),2)</f>
        <v>8871.1299999999992</v>
      </c>
      <c r="G82" s="690">
        <f t="shared" si="0"/>
        <v>2.5856737513106014E-2</v>
      </c>
      <c r="H82" s="698">
        <f t="shared" si="1"/>
        <v>229.37847985464012</v>
      </c>
      <c r="I82" s="697">
        <f>ROUND(SUMIF('GG Support Data'!$C$7:$AY$7,$E82,'GG Support Data'!$C$56:$AY$56),2)</f>
        <v>187371.62</v>
      </c>
      <c r="J82" s="690">
        <f t="shared" si="2"/>
        <v>8.1747665649459705E-2</v>
      </c>
      <c r="K82" s="698">
        <f t="shared" si="3"/>
        <v>15317.192543957617</v>
      </c>
      <c r="L82" s="697">
        <f>ROUND(SUMIF('GG Support Data'!$C$7:$AY$7,$E82,'GG Support Data'!$C$61:$AY$61),2)</f>
        <v>449.77</v>
      </c>
      <c r="M82" s="697">
        <f>ROUND(SUMIF('GG Support Data'!$C$7:$AY$7,$E82,'GG Support Data'!$C$66:$AY$66),2)</f>
        <v>0</v>
      </c>
      <c r="N82" s="698">
        <f t="shared" si="4"/>
        <v>15996.341023812258</v>
      </c>
      <c r="O82" s="699">
        <f>INDEX('GG True-up Template'!$A$44:$AG$96,MATCH(E82,'GG True-up Template'!$A$44:$A$96,0),MATCH("N",'GG True-up Template'!$A$44:$AG$44,0))</f>
        <v>-983.18540623844001</v>
      </c>
      <c r="P82" s="698">
        <f t="shared" si="5"/>
        <v>15013.155617573819</v>
      </c>
    </row>
    <row r="83" spans="2:16">
      <c r="B83" s="693" t="s">
        <v>481</v>
      </c>
      <c r="C83" s="694"/>
      <c r="D83" s="695" t="s">
        <v>975</v>
      </c>
      <c r="E83" s="696">
        <v>2837</v>
      </c>
      <c r="F83" s="697">
        <f>ROUND(SUMIF('GG Support Data'!$C$7:$AY$7,$E83,'GG Support Data'!$C$23:$AY$23),2)</f>
        <v>520817.72</v>
      </c>
      <c r="G83" s="690">
        <f t="shared" si="0"/>
        <v>2.5856737513106014E-2</v>
      </c>
      <c r="H83" s="698">
        <f t="shared" si="1"/>
        <v>13466.647078214344</v>
      </c>
      <c r="I83" s="697">
        <f>ROUND(SUMIF('GG Support Data'!$C$7:$AY$7,$E83,'GG Support Data'!$C$56:$AY$56),2)</f>
        <v>458812.68</v>
      </c>
      <c r="J83" s="690">
        <f t="shared" si="2"/>
        <v>8.1747665649459705E-2</v>
      </c>
      <c r="K83" s="698">
        <f t="shared" si="3"/>
        <v>37506.865560372549</v>
      </c>
      <c r="L83" s="697">
        <f>ROUND(SUMIF('GG Support Data'!$C$7:$AY$7,$E83,'GG Support Data'!$C$61:$AY$61),2)</f>
        <v>14634.98</v>
      </c>
      <c r="M83" s="697">
        <f>ROUND(SUMIF('GG Support Data'!$C$7:$AY$7,$E83,'GG Support Data'!$C$66:$AY$66),2)</f>
        <v>0</v>
      </c>
      <c r="N83" s="698">
        <f t="shared" si="4"/>
        <v>65608.492638586889</v>
      </c>
      <c r="O83" s="699">
        <f>INDEX('GG True-up Template'!$A$44:$AG$96,MATCH(E83,'GG True-up Template'!$A$44:$A$96,0),MATCH("N",'GG True-up Template'!$A$44:$AG$44,0))</f>
        <v>-2103.5676251023906</v>
      </c>
      <c r="P83" s="698">
        <f t="shared" si="5"/>
        <v>63504.925013484499</v>
      </c>
    </row>
    <row r="84" spans="2:16">
      <c r="B84" s="693" t="s">
        <v>480</v>
      </c>
      <c r="C84" s="694"/>
      <c r="D84" s="695" t="s">
        <v>979</v>
      </c>
      <c r="E84" s="696">
        <v>2846</v>
      </c>
      <c r="F84" s="697">
        <f>ROUND(SUMIF('GG Support Data'!$C$7:$AY$7,$E84,'GG Support Data'!$C$23:$AY$23),2)</f>
        <v>120240494.92</v>
      </c>
      <c r="G84" s="690">
        <f t="shared" si="0"/>
        <v>2.5856737513106014E-2</v>
      </c>
      <c r="H84" s="698">
        <f t="shared" si="1"/>
        <v>3109026.9155923971</v>
      </c>
      <c r="I84" s="697">
        <f>ROUND(SUMIF('GG Support Data'!$C$7:$AY$7,$E84,'GG Support Data'!$C$56:$AY$56),2)</f>
        <v>75794846.650000006</v>
      </c>
      <c r="J84" s="690">
        <f t="shared" si="2"/>
        <v>8.1747665649459705E-2</v>
      </c>
      <c r="K84" s="698">
        <f t="shared" si="3"/>
        <v>6196051.7818962717</v>
      </c>
      <c r="L84" s="697">
        <f>ROUND(SUMIF('GG Support Data'!$C$7:$AY$7,$E84,'GG Support Data'!$C$61:$AY$61),2)</f>
        <v>4292585.67</v>
      </c>
      <c r="M84" s="697">
        <f>ROUND(SUMIF('GG Support Data'!$C$7:$AY$7,$E84,'GG Support Data'!$C$66:$AY$66),2)</f>
        <v>0</v>
      </c>
      <c r="N84" s="698">
        <f t="shared" si="4"/>
        <v>13597664.367488669</v>
      </c>
      <c r="O84" s="699">
        <f>INDEX('GG True-up Template'!$A$44:$AG$96,MATCH(E84,'GG True-up Template'!$A$44:$A$96,0),MATCH("N",'GG True-up Template'!$A$44:$AG$44,0))</f>
        <v>-511697.57157566096</v>
      </c>
      <c r="P84" s="698">
        <f t="shared" si="5"/>
        <v>13085966.795913009</v>
      </c>
    </row>
    <row r="85" spans="2:16">
      <c r="B85" s="693" t="s">
        <v>479</v>
      </c>
      <c r="C85" s="694"/>
      <c r="D85" s="695" t="s">
        <v>981</v>
      </c>
      <c r="E85" s="696">
        <v>3125</v>
      </c>
      <c r="F85" s="697">
        <f>ROUND(SUMIF('GG Support Data'!$C$7:$AY$7,$E85,'GG Support Data'!$C$23:$AY$23),2)</f>
        <v>26387166.550000001</v>
      </c>
      <c r="G85" s="690">
        <f t="shared" si="0"/>
        <v>2.5856737513106014E-2</v>
      </c>
      <c r="H85" s="698">
        <f t="shared" si="1"/>
        <v>682286.03919796122</v>
      </c>
      <c r="I85" s="697">
        <f>ROUND(SUMIF('GG Support Data'!$C$7:$AY$7,$E85,'GG Support Data'!$C$56:$AY$56),2)</f>
        <v>19133108.210000001</v>
      </c>
      <c r="J85" s="690">
        <f t="shared" si="2"/>
        <v>8.1747665649459705E-2</v>
      </c>
      <c r="K85" s="698">
        <f t="shared" si="3"/>
        <v>1564086.9327860125</v>
      </c>
      <c r="L85" s="697">
        <f>ROUND(SUMIF('GG Support Data'!$C$7:$AY$7,$E85,'GG Support Data'!$C$61:$AY$61),2)</f>
        <v>752034.25</v>
      </c>
      <c r="M85" s="697">
        <f>ROUND(SUMIF('GG Support Data'!$C$7:$AY$7,$E85,'GG Support Data'!$C$66:$AY$66),2)</f>
        <v>0</v>
      </c>
      <c r="N85" s="698">
        <f t="shared" si="4"/>
        <v>2998407.2219839739</v>
      </c>
      <c r="O85" s="699">
        <f>INDEX('GG True-up Template'!$A$44:$AG$96,MATCH(E85,'GG True-up Template'!$A$44:$A$96,0),MATCH("N",'GG True-up Template'!$A$44:$AG$44,0))</f>
        <v>-120550.27721742485</v>
      </c>
      <c r="P85" s="698">
        <f t="shared" si="5"/>
        <v>2877856.9447665489</v>
      </c>
    </row>
    <row r="86" spans="2:16">
      <c r="B86" s="693" t="s">
        <v>478</v>
      </c>
      <c r="C86" s="694"/>
      <c r="D86" s="695" t="s">
        <v>978</v>
      </c>
      <c r="E86" s="696">
        <v>3206</v>
      </c>
      <c r="F86" s="697">
        <f>ROUND(SUMIF('GG Support Data'!$C$7:$AY$7,$E86,'GG Support Data'!$C$23:$AY$23),2)</f>
        <v>26023325.859999999</v>
      </c>
      <c r="G86" s="690">
        <f t="shared" si="0"/>
        <v>2.5856737513106014E-2</v>
      </c>
      <c r="H86" s="698">
        <f t="shared" si="1"/>
        <v>672878.30598004384</v>
      </c>
      <c r="I86" s="697">
        <f>ROUND(SUMIF('GG Support Data'!$C$7:$AY$7,$E86,'GG Support Data'!$C$56:$AY$56),2)</f>
        <v>21065253.329999998</v>
      </c>
      <c r="J86" s="690">
        <f t="shared" si="2"/>
        <v>8.1747665649459705E-2</v>
      </c>
      <c r="K86" s="698">
        <f t="shared" si="3"/>
        <v>1722035.2860420076</v>
      </c>
      <c r="L86" s="697">
        <f>ROUND(SUMIF('GG Support Data'!$C$7:$AY$7,$E86,'GG Support Data'!$C$61:$AY$61),2)</f>
        <v>681811.14</v>
      </c>
      <c r="M86" s="697">
        <f>ROUND(SUMIF('GG Support Data'!$C$7:$AY$7,$E86,'GG Support Data'!$C$66:$AY$66),2)</f>
        <v>0</v>
      </c>
      <c r="N86" s="698">
        <f t="shared" si="4"/>
        <v>3076724.7320220517</v>
      </c>
      <c r="O86" s="699">
        <f>INDEX('GG True-up Template'!$A$44:$AG$96,MATCH(E86,'GG True-up Template'!$A$44:$A$96,0),MATCH("N",'GG True-up Template'!$A$44:$AG$44,0))</f>
        <v>-105241.71941810273</v>
      </c>
      <c r="P86" s="698">
        <f t="shared" si="5"/>
        <v>2971483.0126039488</v>
      </c>
    </row>
    <row r="87" spans="2:16">
      <c r="B87" s="693" t="s">
        <v>477</v>
      </c>
      <c r="C87" s="694"/>
      <c r="D87" s="695" t="s">
        <v>982</v>
      </c>
      <c r="E87" s="696">
        <v>3679</v>
      </c>
      <c r="F87" s="697">
        <f>ROUND(SUMIF('GG Support Data'!$C$7:$AY$7,$E87,'GG Support Data'!$C$23:$AY$23),2)</f>
        <v>226959546.66999999</v>
      </c>
      <c r="G87" s="690">
        <f t="shared" si="0"/>
        <v>2.5856737513106014E-2</v>
      </c>
      <c r="H87" s="698">
        <f t="shared" si="1"/>
        <v>5868433.4243397238</v>
      </c>
      <c r="I87" s="697">
        <f>ROUND(SUMIF('GG Support Data'!$C$7:$AY$7,$E87,'GG Support Data'!$C$56:$AY$56),2)</f>
        <v>184032059.37</v>
      </c>
      <c r="J87" s="690">
        <f t="shared" si="2"/>
        <v>8.1747665649459705E-2</v>
      </c>
      <c r="K87" s="698">
        <f t="shared" si="3"/>
        <v>15044191.258160278</v>
      </c>
      <c r="L87" s="697">
        <f>ROUND(SUMIF('GG Support Data'!$C$7:$AY$7,$E87,'GG Support Data'!$C$61:$AY$61),2)</f>
        <v>5518614.8200000003</v>
      </c>
      <c r="M87" s="697">
        <f>ROUND(SUMIF('GG Support Data'!$C$7:$AY$7,$E87,'GG Support Data'!$C$66:$AY$66),2)</f>
        <v>0</v>
      </c>
      <c r="N87" s="698">
        <f t="shared" si="4"/>
        <v>26431239.502500001</v>
      </c>
      <c r="O87" s="699">
        <f>INDEX('GG True-up Template'!$A$44:$AG$96,MATCH(E87,'GG True-up Template'!$A$44:$A$96,0),MATCH("N",'GG True-up Template'!$A$44:$AG$44,0))</f>
        <v>-1010097.9133156387</v>
      </c>
      <c r="P87" s="698">
        <f t="shared" si="5"/>
        <v>25421141.589184362</v>
      </c>
    </row>
    <row r="88" spans="2:16" ht="15" customHeight="1">
      <c r="B88" s="693" t="s">
        <v>476</v>
      </c>
      <c r="C88" s="694"/>
      <c r="D88" s="695" t="s">
        <v>983</v>
      </c>
      <c r="E88" s="696">
        <v>12284</v>
      </c>
      <c r="F88" s="697">
        <f>ROUND(SUMIF('GG Support Data'!$C$7:$AY$7,$E88,'GG Support Data'!$C$23:$AY$23),2)</f>
        <v>7445003.0599999996</v>
      </c>
      <c r="G88" s="690">
        <f t="shared" si="0"/>
        <v>2.5856737513106014E-2</v>
      </c>
      <c r="H88" s="698">
        <f t="shared" si="1"/>
        <v>192503.48990669104</v>
      </c>
      <c r="I88" s="697">
        <f>ROUND(SUMIF('GG Support Data'!$C$7:$AY$7,$E88,'GG Support Data'!$C$56:$AY$56),2)</f>
        <v>6697277.79</v>
      </c>
      <c r="J88" s="690">
        <f t="shared" si="2"/>
        <v>8.1747665649459705E-2</v>
      </c>
      <c r="K88" s="698">
        <f t="shared" si="3"/>
        <v>547486.82553847239</v>
      </c>
      <c r="L88" s="697">
        <f>ROUND(SUMIF('GG Support Data'!$C$7:$AY$7,$E88,'GG Support Data'!$C$61:$AY$61),2)</f>
        <v>193115.53</v>
      </c>
      <c r="M88" s="697">
        <f>ROUND(SUMIF('GG Support Data'!$C$7:$AY$7,$E88,'GG Support Data'!$C$66:$AY$66),2)</f>
        <v>0</v>
      </c>
      <c r="N88" s="698">
        <f t="shared" si="4"/>
        <v>933105.84544516343</v>
      </c>
      <c r="O88" s="699">
        <f>INDEX('GG True-up Template'!$A$44:$AG$96,MATCH(E88,'GG True-up Template'!$A$44:$A$96,0),MATCH("N",'GG True-up Template'!$A$44:$AG$44,0))</f>
        <v>-31229.206361693556</v>
      </c>
      <c r="P88" s="698">
        <f t="shared" si="5"/>
        <v>901876.63908346987</v>
      </c>
    </row>
    <row r="89" spans="2:16">
      <c r="B89" s="693" t="s">
        <v>475</v>
      </c>
      <c r="C89" s="694"/>
      <c r="D89" s="695" t="s">
        <v>984</v>
      </c>
      <c r="E89" s="696">
        <v>13103</v>
      </c>
      <c r="F89" s="697">
        <f>ROUND(SUMIF('GG Support Data'!$C$7:$AY$7,$E89,'GG Support Data'!$C$23:$AY$23),2)</f>
        <v>20293204.120000001</v>
      </c>
      <c r="G89" s="690">
        <f t="shared" si="0"/>
        <v>2.5856737513106014E-2</v>
      </c>
      <c r="H89" s="698">
        <f t="shared" si="1"/>
        <v>524716.05223072157</v>
      </c>
      <c r="I89" s="697">
        <f>ROUND(SUMIF('GG Support Data'!$C$7:$AY$7,$E89,'GG Support Data'!$C$56:$AY$56),2)</f>
        <v>18764741.640000001</v>
      </c>
      <c r="J89" s="690">
        <f t="shared" si="2"/>
        <v>8.1747665649459705E-2</v>
      </c>
      <c r="K89" s="698">
        <f t="shared" si="3"/>
        <v>1533973.8255852142</v>
      </c>
      <c r="L89" s="697">
        <f>ROUND(SUMIF('GG Support Data'!$C$7:$AY$7,$E89,'GG Support Data'!$C$61:$AY$61),2)</f>
        <v>529652.63</v>
      </c>
      <c r="M89" s="697">
        <f>ROUND(SUMIF('GG Support Data'!$C$7:$AY$7,$E89,'GG Support Data'!$C$66:$AY$66),2)</f>
        <v>0</v>
      </c>
      <c r="N89" s="698">
        <f t="shared" si="4"/>
        <v>2588342.5078159356</v>
      </c>
      <c r="O89" s="699">
        <f>INDEX('GG True-up Template'!$A$44:$AG$96,MATCH(E89,'GG True-up Template'!$A$44:$A$96,0),MATCH("N",'GG True-up Template'!$A$44:$AG$44,0))</f>
        <v>-90446.763646434978</v>
      </c>
      <c r="P89" s="698">
        <f t="shared" si="5"/>
        <v>2497895.7441695007</v>
      </c>
    </row>
    <row r="90" spans="2:16">
      <c r="B90" s="693" t="s">
        <v>474</v>
      </c>
      <c r="C90" s="694"/>
      <c r="D90" s="695" t="s">
        <v>1095</v>
      </c>
      <c r="E90" s="696">
        <v>13769</v>
      </c>
      <c r="F90" s="697">
        <f>ROUND(SUMIF('GG Support Data'!$C$7:$AY$7,$E90,'GG Support Data'!$C$23:$AY$23),2)</f>
        <v>8423892.3200000003</v>
      </c>
      <c r="G90" s="690">
        <f t="shared" si="0"/>
        <v>2.5856737513106014E-2</v>
      </c>
      <c r="H90" s="698">
        <f t="shared" si="1"/>
        <v>217814.37255690966</v>
      </c>
      <c r="I90" s="697">
        <f>ROUND(SUMIF('GG Support Data'!$C$7:$AY$7,$E90,'GG Support Data'!$C$56:$AY$56),2)</f>
        <v>7564507.0199999996</v>
      </c>
      <c r="J90" s="690">
        <f t="shared" si="2"/>
        <v>8.1747665649459705E-2</v>
      </c>
      <c r="K90" s="698">
        <f t="shared" si="3"/>
        <v>618380.7906739508</v>
      </c>
      <c r="L90" s="697">
        <f>ROUND(SUMIF('GG Support Data'!$C$7:$AY$7,$E90,'GG Support Data'!$C$61:$AY$61),2)</f>
        <v>242608.1</v>
      </c>
      <c r="M90" s="697">
        <f>ROUND(SUMIF('GG Support Data'!$C$7:$AY$7,$E90,'GG Support Data'!$C$66:$AY$66),2)</f>
        <v>0</v>
      </c>
      <c r="N90" s="698">
        <f t="shared" si="4"/>
        <v>1078803.2632308605</v>
      </c>
      <c r="O90" s="699">
        <f>INDEX('GG True-up Template'!$A$44:$AG$96,MATCH(E90,'GG True-up Template'!$A$44:$A$96,0),MATCH("N",'GG True-up Template'!$A$44:$AG$44,0))</f>
        <v>-36273.37473593188</v>
      </c>
      <c r="P90" s="698">
        <f t="shared" si="5"/>
        <v>1042529.8884949286</v>
      </c>
    </row>
    <row r="91" spans="2:16">
      <c r="B91" s="693" t="s">
        <v>887</v>
      </c>
      <c r="C91" s="694"/>
      <c r="D91" s="695" t="s">
        <v>1096</v>
      </c>
      <c r="E91" s="696">
        <v>13784</v>
      </c>
      <c r="F91" s="697">
        <f>ROUND(SUMIF('GG Support Data'!$C$7:$AY$7,$E91,'GG Support Data'!$C$23:$AY$23),2)</f>
        <v>6687277.9900000002</v>
      </c>
      <c r="G91" s="690">
        <f t="shared" si="0"/>
        <v>2.5856737513106014E-2</v>
      </c>
      <c r="H91" s="698">
        <f t="shared" ref="H91:H106" si="6">F91*G91</f>
        <v>172911.19166460118</v>
      </c>
      <c r="I91" s="697">
        <f>ROUND(SUMIF('GG Support Data'!$C$7:$AY$7,$E91,'GG Support Data'!$C$56:$AY$56),2)</f>
        <v>6040510.0300000003</v>
      </c>
      <c r="J91" s="690">
        <f t="shared" si="2"/>
        <v>8.1747665649459705E-2</v>
      </c>
      <c r="K91" s="698">
        <f t="shared" ref="K91:K106" si="7">I91*J91</f>
        <v>493797.59428464784</v>
      </c>
      <c r="L91" s="697">
        <f>ROUND(SUMIF('GG Support Data'!$C$7:$AY$7,$E91,'GG Support Data'!$C$61:$AY$61),2)</f>
        <v>188581.24</v>
      </c>
      <c r="M91" s="697">
        <f>ROUND(SUMIF('GG Support Data'!$C$7:$AY$7,$E91,'GG Support Data'!$C$66:$AY$66),2)</f>
        <v>0</v>
      </c>
      <c r="N91" s="698">
        <f t="shared" ref="N91:N106" si="8">H91+K91+L91+M91</f>
        <v>855290.02594924904</v>
      </c>
      <c r="O91" s="699">
        <f>INDEX('GG True-up Template'!$A$44:$AG$96,MATCH(E91,'GG True-up Template'!$A$44:$A$96,0),MATCH("N",'GG True-up Template'!$A$44:$AG$44,0))</f>
        <v>-28708.652685157209</v>
      </c>
      <c r="P91" s="698">
        <f t="shared" ref="P91:P106" si="9">N91+O91</f>
        <v>826581.37326409179</v>
      </c>
    </row>
    <row r="92" spans="2:16">
      <c r="B92" s="693" t="s">
        <v>888</v>
      </c>
      <c r="C92" s="694"/>
      <c r="D92" s="695" t="s">
        <v>1094</v>
      </c>
      <c r="E92" s="696">
        <v>14925</v>
      </c>
      <c r="F92" s="697">
        <f>ROUND(SUMIF('GG Support Data'!$C$7:$AY$7,$E92,'GG Support Data'!$C$23:$AY$23),2)</f>
        <v>2664959.21</v>
      </c>
      <c r="G92" s="690">
        <f t="shared" si="0"/>
        <v>2.5856737513106014E-2</v>
      </c>
      <c r="H92" s="698">
        <f t="shared" si="6"/>
        <v>68907.150776104361</v>
      </c>
      <c r="I92" s="697">
        <f>ROUND(SUMIF('GG Support Data'!$C$7:$AY$7,$E92,'GG Support Data'!$C$56:$AY$56),2)</f>
        <v>2485677.2400000002</v>
      </c>
      <c r="J92" s="690">
        <f t="shared" si="2"/>
        <v>8.1747665649459705E-2</v>
      </c>
      <c r="K92" s="698">
        <f t="shared" si="7"/>
        <v>203198.31192799183</v>
      </c>
      <c r="L92" s="697">
        <f>ROUND(SUMIF('GG Support Data'!$C$7:$AY$7,$E92,'GG Support Data'!$C$61:$AY$61),2)</f>
        <v>76217.83</v>
      </c>
      <c r="M92" s="697">
        <f>ROUND(SUMIF('GG Support Data'!$C$7:$AY$7,$E92,'GG Support Data'!$C$66:$AY$66),2)</f>
        <v>0</v>
      </c>
      <c r="N92" s="698">
        <f t="shared" si="8"/>
        <v>348323.29270409624</v>
      </c>
      <c r="O92" s="699">
        <f>INDEX('GG True-up Template'!$A$44:$AG$96,MATCH(E92,'GG True-up Template'!$A$44:$A$96,0),MATCH("N",'GG True-up Template'!$A$44:$AG$44,0))</f>
        <v>-14498.725861852614</v>
      </c>
      <c r="P92" s="698">
        <f t="shared" si="9"/>
        <v>333824.5668422436</v>
      </c>
    </row>
    <row r="93" spans="2:16">
      <c r="B93" s="693" t="s">
        <v>889</v>
      </c>
      <c r="C93" s="694"/>
      <c r="D93" s="695" t="s">
        <v>967</v>
      </c>
      <c r="E93" s="696">
        <v>16494</v>
      </c>
      <c r="F93" s="697">
        <f>ROUND(SUMIF('GG Support Data'!$C$7:$AY$7,$E93,'GG Support Data'!$C$23:$AY$23),2)</f>
        <v>216107.65</v>
      </c>
      <c r="G93" s="690">
        <f t="shared" si="0"/>
        <v>2.5856737513106014E-2</v>
      </c>
      <c r="H93" s="698">
        <f t="shared" si="6"/>
        <v>5587.8387806241844</v>
      </c>
      <c r="I93" s="697">
        <f>ROUND(SUMIF('GG Support Data'!$C$7:$AY$7,$E93,'GG Support Data'!$C$56:$AY$56),2)</f>
        <v>201188.05</v>
      </c>
      <c r="J93" s="690">
        <f t="shared" si="2"/>
        <v>8.1747665649459705E-2</v>
      </c>
      <c r="K93" s="698">
        <f t="shared" si="7"/>
        <v>16446.653444066782</v>
      </c>
      <c r="L93" s="697">
        <f>ROUND(SUMIF('GG Support Data'!$C$7:$AY$7,$E93,'GG Support Data'!$C$61:$AY$61),2)</f>
        <v>7023.5</v>
      </c>
      <c r="M93" s="697">
        <f>ROUND(SUMIF('GG Support Data'!$C$7:$AY$7,$E93,'GG Support Data'!$C$66:$AY$66),2)</f>
        <v>0</v>
      </c>
      <c r="N93" s="698">
        <f t="shared" si="8"/>
        <v>29057.992224690966</v>
      </c>
      <c r="O93" s="699">
        <f>INDEX('GG True-up Template'!$A$44:$AG$96,MATCH(E93,'GG True-up Template'!$A$44:$A$96,0),MATCH("N",'GG True-up Template'!$A$44:$AG$44,0))</f>
        <v>215.64842742656964</v>
      </c>
      <c r="P93" s="698">
        <f t="shared" si="9"/>
        <v>29273.640652117538</v>
      </c>
    </row>
    <row r="94" spans="2:16">
      <c r="B94" s="693" t="s">
        <v>890</v>
      </c>
      <c r="C94" s="694"/>
      <c r="D94" s="695" t="s">
        <v>968</v>
      </c>
      <c r="E94" s="696">
        <v>17064</v>
      </c>
      <c r="F94" s="697">
        <f>ROUND(SUMIF('GG Support Data'!$C$7:$AY$7,$E94,'GG Support Data'!$C$23:$AY$23),2)</f>
        <v>52197.69</v>
      </c>
      <c r="G94" s="690">
        <f t="shared" si="0"/>
        <v>2.5856737513106014E-2</v>
      </c>
      <c r="H94" s="698">
        <f t="shared" si="6"/>
        <v>1349.6619691204787</v>
      </c>
      <c r="I94" s="697">
        <f>ROUND(SUMIF('GG Support Data'!$C$7:$AY$7,$E94,'GG Support Data'!$C$56:$AY$56),2)</f>
        <v>48615.83</v>
      </c>
      <c r="J94" s="690">
        <f t="shared" si="2"/>
        <v>8.1747665649459705E-2</v>
      </c>
      <c r="K94" s="698">
        <f t="shared" si="7"/>
        <v>3974.2306161109727</v>
      </c>
      <c r="L94" s="697">
        <f>ROUND(SUMIF('GG Support Data'!$C$7:$AY$7,$E94,'GG Support Data'!$C$61:$AY$61),2)</f>
        <v>1696.42</v>
      </c>
      <c r="M94" s="697">
        <f>ROUND(SUMIF('GG Support Data'!$C$7:$AY$7,$E94,'GG Support Data'!$C$66:$AY$66),2)</f>
        <v>0</v>
      </c>
      <c r="N94" s="698">
        <f t="shared" si="8"/>
        <v>7020.3125852314515</v>
      </c>
      <c r="O94" s="699">
        <f>INDEX('GG True-up Template'!$A$44:$AG$96,MATCH(E94,'GG True-up Template'!$A$44:$A$96,0),MATCH("N",'GG True-up Template'!$A$44:$AG$44,0))</f>
        <v>-1344.2654124854214</v>
      </c>
      <c r="P94" s="698">
        <f t="shared" si="9"/>
        <v>5676.0471727460299</v>
      </c>
    </row>
    <row r="95" spans="2:16">
      <c r="B95" s="693" t="s">
        <v>955</v>
      </c>
      <c r="C95" s="694"/>
      <c r="D95" s="695" t="s">
        <v>969</v>
      </c>
      <c r="E95" s="696">
        <v>17525</v>
      </c>
      <c r="F95" s="697">
        <f>ROUND(SUMIF('GG Support Data'!$C$7:$AY$7,$E95,'GG Support Data'!$C$23:$AY$23),2)</f>
        <v>7276440.8300000001</v>
      </c>
      <c r="G95" s="690">
        <f t="shared" si="0"/>
        <v>2.5856737513106014E-2</v>
      </c>
      <c r="H95" s="698">
        <f t="shared" si="6"/>
        <v>188145.02057095725</v>
      </c>
      <c r="I95" s="697">
        <f>ROUND(SUMIF('GG Support Data'!$C$7:$AY$7,$E95,'GG Support Data'!$C$56:$AY$56),2)</f>
        <v>6913265.9400000004</v>
      </c>
      <c r="J95" s="690">
        <f t="shared" si="2"/>
        <v>8.1747665649459705E-2</v>
      </c>
      <c r="K95" s="698">
        <f t="shared" si="7"/>
        <v>565143.35260891775</v>
      </c>
      <c r="L95" s="697">
        <f>ROUND(SUMIF('GG Support Data'!$C$7:$AY$7,$E95,'GG Support Data'!$C$61:$AY$61),2)</f>
        <v>205195.63</v>
      </c>
      <c r="M95" s="697">
        <f>ROUND(SUMIF('GG Support Data'!$C$7:$AY$7,$E95,'GG Support Data'!$C$66:$AY$66),2)</f>
        <v>0</v>
      </c>
      <c r="N95" s="698">
        <f t="shared" si="8"/>
        <v>958484.00317987497</v>
      </c>
      <c r="O95" s="699">
        <f>INDEX('GG True-up Template'!$A$44:$AG$96,MATCH(E95,'GG True-up Template'!$A$44:$A$96,0),MATCH("N",'GG True-up Template'!$A$44:$AG$44,0))</f>
        <v>-161737.73073145436</v>
      </c>
      <c r="P95" s="698">
        <f t="shared" si="9"/>
        <v>796746.27244842064</v>
      </c>
    </row>
    <row r="96" spans="2:16">
      <c r="B96" s="693" t="s">
        <v>944</v>
      </c>
      <c r="C96" s="694"/>
      <c r="D96" s="695" t="s">
        <v>1085</v>
      </c>
      <c r="E96" s="696">
        <v>17526</v>
      </c>
      <c r="F96" s="697">
        <f>ROUND(SUMIF('GG Support Data'!$C$7:$AY$7,$E96,'GG Support Data'!$C$23:$AY$23),2)</f>
        <v>539931.55000000005</v>
      </c>
      <c r="G96" s="690">
        <f t="shared" si="0"/>
        <v>2.5856737513106014E-2</v>
      </c>
      <c r="H96" s="698">
        <f t="shared" si="6"/>
        <v>13960.868363394477</v>
      </c>
      <c r="I96" s="697">
        <f>ROUND(SUMIF('GG Support Data'!$C$7:$AY$7,$E96,'GG Support Data'!$C$56:$AY$56),2)</f>
        <v>469293.74</v>
      </c>
      <c r="J96" s="690">
        <f t="shared" si="2"/>
        <v>8.1747665649459705E-2</v>
      </c>
      <c r="K96" s="698">
        <f t="shared" si="7"/>
        <v>38363.667748904474</v>
      </c>
      <c r="L96" s="697">
        <f>ROUND(SUMIF('GG Support Data'!$C$7:$AY$7,$E96,'GG Support Data'!$C$61:$AY$61),2)</f>
        <v>18087.71</v>
      </c>
      <c r="M96" s="697">
        <f>ROUND(SUMIF('GG Support Data'!$C$7:$AY$7,$E96,'GG Support Data'!$C$66:$AY$66),2)</f>
        <v>0</v>
      </c>
      <c r="N96" s="698">
        <f t="shared" si="8"/>
        <v>70412.246112298948</v>
      </c>
      <c r="O96" s="699">
        <f>INDEX('GG True-up Template'!$A$44:$AG$96,MATCH(E96,'GG True-up Template'!$A$44:$A$96,0),MATCH("N",'GG True-up Template'!$A$44:$AG$44,0))</f>
        <v>-2408.9467117975737</v>
      </c>
      <c r="P96" s="698">
        <f t="shared" si="9"/>
        <v>68003.299400501375</v>
      </c>
    </row>
    <row r="97" spans="2:16">
      <c r="B97" s="693" t="s">
        <v>945</v>
      </c>
      <c r="C97" s="694"/>
      <c r="D97" s="695" t="s">
        <v>1010</v>
      </c>
      <c r="E97" s="696">
        <v>18665</v>
      </c>
      <c r="F97" s="697">
        <f>ROUND(SUMIF('GG Support Data'!$C$7:$AY$7,$E97,'GG Support Data'!$C$23:$AY$23),2)</f>
        <v>2495795.73</v>
      </c>
      <c r="G97" s="690">
        <f t="shared" si="0"/>
        <v>2.5856737513106014E-2</v>
      </c>
      <c r="H97" s="698">
        <f t="shared" si="6"/>
        <v>64533.135076940809</v>
      </c>
      <c r="I97" s="697">
        <f>ROUND(SUMIF('GG Support Data'!$C$7:$AY$7,$E97,'GG Support Data'!$C$56:$AY$56),2)</f>
        <v>2389549.1</v>
      </c>
      <c r="J97" s="690">
        <f t="shared" si="2"/>
        <v>8.1747665649459705E-2</v>
      </c>
      <c r="K97" s="698">
        <f t="shared" si="7"/>
        <v>195340.06087976735</v>
      </c>
      <c r="L97" s="697">
        <f>ROUND(SUMIF('GG Support Data'!$C$7:$AY$7,$E97,'GG Support Data'!$C$61:$AY$61),2)</f>
        <v>67885.64</v>
      </c>
      <c r="M97" s="697">
        <f>ROUND(SUMIF('GG Support Data'!$C$7:$AY$7,$E97,'GG Support Data'!$C$66:$AY$66),2)</f>
        <v>0</v>
      </c>
      <c r="N97" s="698">
        <f t="shared" si="8"/>
        <v>327758.83595670818</v>
      </c>
      <c r="O97" s="699">
        <f>INDEX('GG True-up Template'!$A$44:$AG$96,MATCH(E97,'GG True-up Template'!$A$44:$A$96,0),MATCH("N",'GG True-up Template'!$A$44:$AG$44,0))</f>
        <v>-102963.63522218913</v>
      </c>
      <c r="P97" s="698">
        <f t="shared" si="9"/>
        <v>224795.20073451905</v>
      </c>
    </row>
    <row r="98" spans="2:16">
      <c r="B98" s="693" t="s">
        <v>946</v>
      </c>
      <c r="C98" s="694"/>
      <c r="D98" s="695" t="s">
        <v>1086</v>
      </c>
      <c r="E98" s="696">
        <v>18849</v>
      </c>
      <c r="F98" s="697">
        <f>ROUND(SUMIF('GG Support Data'!$C$7:$AY$7,$E98,'GG Support Data'!$C$23:$AY$23),2)</f>
        <v>3367348.18</v>
      </c>
      <c r="G98" s="690">
        <f t="shared" si="0"/>
        <v>2.5856737513106014E-2</v>
      </c>
      <c r="H98" s="698">
        <f t="shared" si="6"/>
        <v>87068.638005495261</v>
      </c>
      <c r="I98" s="697">
        <f>ROUND(SUMIF('GG Support Data'!$C$7:$AY$7,$E98,'GG Support Data'!$C$56:$AY$56),2)</f>
        <v>3220292.67</v>
      </c>
      <c r="J98" s="690">
        <f t="shared" si="2"/>
        <v>8.1747665649459705E-2</v>
      </c>
      <c r="K98" s="698">
        <f t="shared" si="7"/>
        <v>263251.40848056588</v>
      </c>
      <c r="L98" s="697">
        <f>ROUND(SUMIF('GG Support Data'!$C$7:$AY$7,$E98,'GG Support Data'!$C$61:$AY$61),2)</f>
        <v>90581.67</v>
      </c>
      <c r="M98" s="697">
        <f>ROUND(SUMIF('GG Support Data'!$C$7:$AY$7,$E98,'GG Support Data'!$C$66:$AY$66),2)</f>
        <v>0</v>
      </c>
      <c r="N98" s="698">
        <f t="shared" si="8"/>
        <v>440901.71648606111</v>
      </c>
      <c r="O98" s="699">
        <f>INDEX('GG True-up Template'!$A$44:$AG$96,MATCH(E98,'GG True-up Template'!$A$44:$A$96,0),MATCH("N",'GG True-up Template'!$A$44:$AG$44,0))</f>
        <v>-132824.68305347872</v>
      </c>
      <c r="P98" s="698">
        <f t="shared" si="9"/>
        <v>308077.03343258239</v>
      </c>
    </row>
    <row r="99" spans="2:16">
      <c r="B99" s="693" t="s">
        <v>951</v>
      </c>
      <c r="C99" s="694"/>
      <c r="D99" s="695" t="s">
        <v>1133</v>
      </c>
      <c r="E99" s="696">
        <v>18925</v>
      </c>
      <c r="F99" s="697">
        <f>ROUND(SUMIF('GG Support Data'!$C$7:$AY$7,$E99,'GG Support Data'!$C$23:$AY$23),2)</f>
        <v>1635429.03</v>
      </c>
      <c r="G99" s="690">
        <f t="shared" si="0"/>
        <v>2.5856737513106014E-2</v>
      </c>
      <c r="H99" s="698">
        <f t="shared" ref="H99" si="10">F99*G99</f>
        <v>42286.859150023578</v>
      </c>
      <c r="I99" s="697">
        <f>ROUND(SUMIF('GG Support Data'!$C$7:$AY$7,$E99,'GG Support Data'!$C$56:$AY$56),2)</f>
        <v>1621091.77</v>
      </c>
      <c r="J99" s="690">
        <f t="shared" si="2"/>
        <v>8.1747665649459705E-2</v>
      </c>
      <c r="K99" s="698">
        <f t="shared" ref="K99" si="11">I99*J99</f>
        <v>132520.46800105085</v>
      </c>
      <c r="L99" s="697">
        <f>ROUND(SUMIF('GG Support Data'!$C$7:$AY$7,$E99,'GG Support Data'!$C$61:$AY$61),2)</f>
        <v>46596.1</v>
      </c>
      <c r="M99" s="697">
        <f>ROUND(SUMIF('GG Support Data'!$C$7:$AY$7,$E99,'GG Support Data'!$C$66:$AY$66),2)</f>
        <v>0</v>
      </c>
      <c r="N99" s="698">
        <f t="shared" ref="N99" si="12">H99+K99+L99+M99</f>
        <v>221403.42715107443</v>
      </c>
      <c r="O99" s="699">
        <f>INDEX('GG True-up Template'!$A$44:$AG$96,MATCH(E99,'GG True-up Template'!$A$44:$A$96,0),MATCH("N",'GG True-up Template'!$A$44:$AG$44,0))</f>
        <v>0</v>
      </c>
      <c r="P99" s="698">
        <f t="shared" ref="P99" si="13">N99+O99</f>
        <v>221403.42715107443</v>
      </c>
    </row>
    <row r="100" spans="2:16">
      <c r="B100" s="693" t="s">
        <v>952</v>
      </c>
      <c r="C100" s="694"/>
      <c r="D100" s="695" t="s">
        <v>1010</v>
      </c>
      <c r="E100" s="696">
        <v>18985</v>
      </c>
      <c r="F100" s="697">
        <f>ROUND(SUMIF('GG Support Data'!$C$7:$AY$7,$E100,'GG Support Data'!$C$23:$AY$23),2)</f>
        <v>13762469.449999999</v>
      </c>
      <c r="G100" s="690">
        <f t="shared" si="0"/>
        <v>2.5856737513106014E-2</v>
      </c>
      <c r="H100" s="698">
        <f t="shared" si="6"/>
        <v>355852.56010079046</v>
      </c>
      <c r="I100" s="697">
        <f>ROUND(SUMIF('GG Support Data'!$C$7:$AY$7,$E100,'GG Support Data'!$C$56:$AY$56),2)</f>
        <v>13581492.98</v>
      </c>
      <c r="J100" s="690">
        <f t="shared" si="2"/>
        <v>8.1747665649459705E-2</v>
      </c>
      <c r="K100" s="698">
        <f t="shared" si="7"/>
        <v>1110255.3471495241</v>
      </c>
      <c r="L100" s="697">
        <f>ROUND(SUMIF('GG Support Data'!$C$7:$AY$7,$E100,'GG Support Data'!$C$61:$AY$61),2)</f>
        <v>392115.69</v>
      </c>
      <c r="M100" s="697">
        <f>ROUND(SUMIF('GG Support Data'!$C$7:$AY$7,$E100,'GG Support Data'!$C$66:$AY$66),2)</f>
        <v>0</v>
      </c>
      <c r="N100" s="698">
        <f t="shared" si="8"/>
        <v>1858223.5972503144</v>
      </c>
      <c r="O100" s="699">
        <f>INDEX('GG True-up Template'!$A$44:$AG$96,MATCH(E100,'GG True-up Template'!$A$44:$A$96,0),MATCH("N",'GG True-up Template'!$A$44:$AG$44,0))</f>
        <v>0</v>
      </c>
      <c r="P100" s="698">
        <f t="shared" si="9"/>
        <v>1858223.5972503144</v>
      </c>
    </row>
    <row r="101" spans="2:16">
      <c r="B101" s="693" t="s">
        <v>953</v>
      </c>
      <c r="C101" s="694"/>
      <c r="D101" s="695" t="s">
        <v>1087</v>
      </c>
      <c r="E101" s="696">
        <v>19145</v>
      </c>
      <c r="F101" s="697">
        <f>ROUND(SUMIF('GG Support Data'!$C$7:$AY$7,$E101,'GG Support Data'!$C$23:$AY$23),2)</f>
        <v>6345349.0499999998</v>
      </c>
      <c r="G101" s="690">
        <f t="shared" si="0"/>
        <v>2.5856737513106014E-2</v>
      </c>
      <c r="H101" s="698">
        <f t="shared" ref="H101" si="14">F101*G101</f>
        <v>164070.02481488659</v>
      </c>
      <c r="I101" s="697">
        <f>ROUND(SUMIF('GG Support Data'!$C$7:$AY$7,$E101,'GG Support Data'!$C$56:$AY$56),2)</f>
        <v>6171563.1100000003</v>
      </c>
      <c r="J101" s="690">
        <f t="shared" si="2"/>
        <v>8.1747665649459705E-2</v>
      </c>
      <c r="K101" s="698">
        <f t="shared" ref="K101" si="15">I101*J101</f>
        <v>504510.87765081972</v>
      </c>
      <c r="L101" s="697">
        <f>ROUND(SUMIF('GG Support Data'!$C$7:$AY$7,$E101,'GG Support Data'!$C$61:$AY$61),2)</f>
        <v>166882.68</v>
      </c>
      <c r="M101" s="697">
        <f>ROUND(SUMIF('GG Support Data'!$C$7:$AY$7,$E101,'GG Support Data'!$C$66:$AY$66),2)</f>
        <v>0</v>
      </c>
      <c r="N101" s="698">
        <f t="shared" ref="N101" si="16">H101+K101+L101+M101</f>
        <v>835463.58246570639</v>
      </c>
      <c r="O101" s="699">
        <f>INDEX('GG True-up Template'!$A$44:$AG$96,MATCH(E101,'GG True-up Template'!$A$44:$A$96,0),MATCH("N",'GG True-up Template'!$A$44:$AG$44,0))</f>
        <v>-117929.74520771205</v>
      </c>
      <c r="P101" s="698">
        <f t="shared" ref="P101" si="17">N101+O101</f>
        <v>717533.83725799434</v>
      </c>
    </row>
    <row r="102" spans="2:16">
      <c r="B102" s="693" t="s">
        <v>1002</v>
      </c>
      <c r="C102" s="694"/>
      <c r="D102" s="695" t="s">
        <v>1172</v>
      </c>
      <c r="E102" s="696">
        <v>19146</v>
      </c>
      <c r="F102" s="697">
        <f>ROUND(SUMIF('GG Support Data'!$C$7:$AY$7,$E102,'GG Support Data'!$C$23:$AY$23),2)</f>
        <v>6403155.5899999999</v>
      </c>
      <c r="G102" s="690">
        <f t="shared" si="0"/>
        <v>2.5856737513106014E-2</v>
      </c>
      <c r="H102" s="698">
        <f t="shared" si="6"/>
        <v>165564.71334620746</v>
      </c>
      <c r="I102" s="697">
        <f>ROUND(SUMIF('GG Support Data'!$C$7:$AY$7,$E102,'GG Support Data'!$C$56:$AY$56),2)</f>
        <v>6318954.0899999999</v>
      </c>
      <c r="J102" s="690">
        <f t="shared" si="2"/>
        <v>8.1747665649459705E-2</v>
      </c>
      <c r="K102" s="698">
        <f t="shared" si="7"/>
        <v>516559.7462036059</v>
      </c>
      <c r="L102" s="697">
        <f>ROUND(SUMIF('GG Support Data'!$C$7:$AY$7,$E102,'GG Support Data'!$C$61:$AY$61),2)</f>
        <v>182436.57</v>
      </c>
      <c r="M102" s="697">
        <f>ROUND(SUMIF('GG Support Data'!$C$7:$AY$7,$E102,'GG Support Data'!$C$66:$AY$66),2)</f>
        <v>0</v>
      </c>
      <c r="N102" s="698">
        <f t="shared" si="8"/>
        <v>864561.02954981336</v>
      </c>
      <c r="O102" s="699">
        <f>INDEX('GG True-up Template'!$A$44:$AG$96,MATCH(E102,'GG True-up Template'!$A$44:$A$96,0),MATCH("N",'GG True-up Template'!$A$44:$AG$44,0))</f>
        <v>0</v>
      </c>
      <c r="P102" s="698">
        <f t="shared" si="9"/>
        <v>864561.02954981336</v>
      </c>
    </row>
    <row r="103" spans="2:16">
      <c r="B103" s="693" t="s">
        <v>1004</v>
      </c>
      <c r="C103" s="694"/>
      <c r="D103" s="695" t="s">
        <v>1028</v>
      </c>
      <c r="E103" s="696">
        <v>19246</v>
      </c>
      <c r="F103" s="697">
        <f>ROUND(SUMIF('GG Support Data'!$C$7:$AY$7,$E103,'GG Support Data'!$C$23:$AY$23),2)</f>
        <v>182733.29</v>
      </c>
      <c r="G103" s="690">
        <f t="shared" si="0"/>
        <v>2.5856737513106014E-2</v>
      </c>
      <c r="H103" s="698">
        <f t="shared" si="6"/>
        <v>4724.8867144362803</v>
      </c>
      <c r="I103" s="697">
        <f>ROUND(SUMIF('GG Support Data'!$C$7:$AY$7,$E103,'GG Support Data'!$C$56:$AY$56),2)</f>
        <v>174533.64</v>
      </c>
      <c r="J103" s="690">
        <f t="shared" si="2"/>
        <v>8.1747665649459705E-2</v>
      </c>
      <c r="K103" s="698">
        <f t="shared" si="7"/>
        <v>14267.717647303167</v>
      </c>
      <c r="L103" s="697">
        <f>ROUND(SUMIF('GG Support Data'!$C$7:$AY$7,$E103,'GG Support Data'!$C$61:$AY$61),2)</f>
        <v>5628.19</v>
      </c>
      <c r="M103" s="697">
        <f>ROUND(SUMIF('GG Support Data'!$C$7:$AY$7,$E103,'GG Support Data'!$C$66:$AY$66),2)</f>
        <v>0</v>
      </c>
      <c r="N103" s="698">
        <f t="shared" si="8"/>
        <v>24620.794361739445</v>
      </c>
      <c r="O103" s="699">
        <f>INDEX('GG True-up Template'!$A$44:$AG$96,MATCH(E103,'GG True-up Template'!$A$44:$A$96,0),MATCH("N",'GG True-up Template'!$A$44:$AG$44,0))</f>
        <v>-18351.892808985547</v>
      </c>
      <c r="P103" s="698">
        <f t="shared" si="9"/>
        <v>6268.9015527538977</v>
      </c>
    </row>
    <row r="104" spans="2:16">
      <c r="B104" s="693" t="s">
        <v>1005</v>
      </c>
      <c r="C104" s="694"/>
      <c r="D104" s="695" t="s">
        <v>1021</v>
      </c>
      <c r="E104" s="696">
        <v>19248</v>
      </c>
      <c r="F104" s="697">
        <f>ROUND(SUMIF('GG Support Data'!$C$7:$AY$7,$E104,'GG Support Data'!$C$23:$AY$23),2)</f>
        <v>108109.08</v>
      </c>
      <c r="G104" s="690">
        <f t="shared" si="0"/>
        <v>2.5856737513106014E-2</v>
      </c>
      <c r="H104" s="698">
        <f t="shared" si="6"/>
        <v>2795.348104343379</v>
      </c>
      <c r="I104" s="697">
        <f>ROUND(SUMIF('GG Support Data'!$C$7:$AY$7,$E104,'GG Support Data'!$C$56:$AY$56),2)</f>
        <v>104916.95</v>
      </c>
      <c r="J104" s="690">
        <f t="shared" si="2"/>
        <v>8.1747665649459705E-2</v>
      </c>
      <c r="K104" s="698">
        <f t="shared" si="7"/>
        <v>8576.7157495610809</v>
      </c>
      <c r="L104" s="697">
        <f>ROUND(SUMIF('GG Support Data'!$C$7:$AY$7,$E104,'GG Support Data'!$C$61:$AY$61),2)</f>
        <v>3005.43</v>
      </c>
      <c r="M104" s="697">
        <f>ROUND(SUMIF('GG Support Data'!$C$7:$AY$7,$E104,'GG Support Data'!$C$66:$AY$66),2)</f>
        <v>0</v>
      </c>
      <c r="N104" s="698">
        <f t="shared" si="8"/>
        <v>14377.49385390446</v>
      </c>
      <c r="O104" s="699">
        <f>INDEX('GG True-up Template'!$A$44:$AG$96,MATCH(E104,'GG True-up Template'!$A$44:$A$96,0),MATCH("N",'GG True-up Template'!$A$44:$AG$44,0))</f>
        <v>-2585.2410543350234</v>
      </c>
      <c r="P104" s="698">
        <f t="shared" si="9"/>
        <v>11792.252799569436</v>
      </c>
    </row>
    <row r="105" spans="2:16">
      <c r="B105" s="693" t="s">
        <v>1006</v>
      </c>
      <c r="C105" s="694"/>
      <c r="D105" s="695" t="s">
        <v>1088</v>
      </c>
      <c r="E105" s="696">
        <v>19265</v>
      </c>
      <c r="F105" s="697">
        <f>ROUND(SUMIF('GG Support Data'!$C$7:$AY$7,$E105,'GG Support Data'!$C$23:$AY$23),2)</f>
        <v>1375532.57</v>
      </c>
      <c r="G105" s="690">
        <f t="shared" si="0"/>
        <v>2.5856737513106014E-2</v>
      </c>
      <c r="H105" s="698">
        <f t="shared" si="6"/>
        <v>35566.784603218126</v>
      </c>
      <c r="I105" s="697">
        <f>ROUND(SUMIF('GG Support Data'!$C$7:$AY$7,$E105,'GG Support Data'!$C$56:$AY$56),2)</f>
        <v>1357444.31</v>
      </c>
      <c r="J105" s="690">
        <f t="shared" si="2"/>
        <v>8.1747665649459705E-2</v>
      </c>
      <c r="K105" s="698">
        <f t="shared" si="7"/>
        <v>110967.90359164153</v>
      </c>
      <c r="L105" s="697">
        <f>ROUND(SUMIF('GG Support Data'!$C$7:$AY$7,$E105,'GG Support Data'!$C$61:$AY$61),2)</f>
        <v>39191.22</v>
      </c>
      <c r="M105" s="697">
        <f>ROUND(SUMIF('GG Support Data'!$C$7:$AY$7,$E105,'GG Support Data'!$C$66:$AY$66),2)</f>
        <v>0</v>
      </c>
      <c r="N105" s="698">
        <f t="shared" si="8"/>
        <v>185725.90819485966</v>
      </c>
      <c r="O105" s="699">
        <f>INDEX('GG True-up Template'!$A$44:$AG$96,MATCH(E105,'GG True-up Template'!$A$44:$A$96,0),MATCH("N",'GG True-up Template'!$A$44:$AG$44,0))</f>
        <v>-180195.36271151519</v>
      </c>
      <c r="P105" s="698">
        <f t="shared" si="9"/>
        <v>5530.5454833444674</v>
      </c>
    </row>
    <row r="106" spans="2:16">
      <c r="B106" s="693" t="s">
        <v>1007</v>
      </c>
      <c r="C106" s="694"/>
      <c r="D106" s="695" t="s">
        <v>1020</v>
      </c>
      <c r="E106" s="696">
        <v>19267</v>
      </c>
      <c r="F106" s="697">
        <f>ROUND(SUMIF('GG Support Data'!$C$7:$AY$7,$E106,'GG Support Data'!$C$23:$AY$23),2)</f>
        <v>66596.289999999994</v>
      </c>
      <c r="G106" s="690">
        <f t="shared" si="0"/>
        <v>2.5856737513106014E-2</v>
      </c>
      <c r="H106" s="698">
        <f t="shared" si="6"/>
        <v>1721.9627898766867</v>
      </c>
      <c r="I106" s="697">
        <f>ROUND(SUMIF('GG Support Data'!$C$7:$AY$7,$E106,'GG Support Data'!$C$56:$AY$56),2)</f>
        <v>64082.47</v>
      </c>
      <c r="J106" s="690">
        <f t="shared" si="2"/>
        <v>8.1747665649459705E-2</v>
      </c>
      <c r="K106" s="698">
        <f t="shared" si="7"/>
        <v>5238.592331551532</v>
      </c>
      <c r="L106" s="697">
        <f>ROUND(SUMIF('GG Support Data'!$C$7:$AY$7,$E106,'GG Support Data'!$C$61:$AY$61),2)</f>
        <v>2049.25</v>
      </c>
      <c r="M106" s="697">
        <f>ROUND(SUMIF('GG Support Data'!$C$7:$AY$7,$E106,'GG Support Data'!$C$66:$AY$66),2)</f>
        <v>0</v>
      </c>
      <c r="N106" s="698">
        <f t="shared" si="8"/>
        <v>9009.8051214282186</v>
      </c>
      <c r="O106" s="699">
        <f>INDEX('GG True-up Template'!$A$44:$AG$96,MATCH(E106,'GG True-up Template'!$A$44:$A$96,0),MATCH("N",'GG True-up Template'!$A$44:$AG$44,0))</f>
        <v>-2047.0007852353747</v>
      </c>
      <c r="P106" s="698">
        <f t="shared" si="9"/>
        <v>6962.8043361928439</v>
      </c>
    </row>
    <row r="107" spans="2:16">
      <c r="B107" s="693" t="s">
        <v>1012</v>
      </c>
      <c r="C107" s="694"/>
      <c r="D107" s="695" t="s">
        <v>971</v>
      </c>
      <c r="E107" s="696">
        <v>19269</v>
      </c>
      <c r="F107" s="697">
        <f>ROUND(SUMIF('GG Support Data'!$C$7:$AY$7,$E107,'GG Support Data'!$C$23:$AY$23),2)</f>
        <v>237889.27</v>
      </c>
      <c r="G107" s="690">
        <f t="shared" si="0"/>
        <v>2.5856737513106014E-2</v>
      </c>
      <c r="H107" s="698">
        <f t="shared" ref="H107:H115" si="18">F107*G107</f>
        <v>6151.040411574405</v>
      </c>
      <c r="I107" s="697">
        <f>ROUND(SUMIF('GG Support Data'!$C$7:$AY$7,$E107,'GG Support Data'!$C$56:$AY$56),2)</f>
        <v>224070.12</v>
      </c>
      <c r="J107" s="690">
        <f t="shared" si="2"/>
        <v>8.1747665649459705E-2</v>
      </c>
      <c r="K107" s="698">
        <f t="shared" ref="K107:K115" si="19">I107*J107</f>
        <v>18317.209251794313</v>
      </c>
      <c r="L107" s="697">
        <f>ROUND(SUMIF('GG Support Data'!$C$7:$AY$7,$E107,'GG Support Data'!$C$61:$AY$61),2)</f>
        <v>8112.02</v>
      </c>
      <c r="M107" s="697">
        <f>ROUND(SUMIF('GG Support Data'!$C$7:$AY$7,$E107,'GG Support Data'!$C$66:$AY$66),2)</f>
        <v>0</v>
      </c>
      <c r="N107" s="698">
        <f t="shared" ref="N107:N115" si="20">H107+K107+L107+M107</f>
        <v>32580.269663368719</v>
      </c>
      <c r="O107" s="699">
        <f>INDEX('GG True-up Template'!$A$44:$AG$96,MATCH(E107,'GG True-up Template'!$A$44:$A$96,0),MATCH("N",'GG True-up Template'!$A$44:$AG$44,0))</f>
        <v>-10570.695151636593</v>
      </c>
      <c r="P107" s="698">
        <f t="shared" ref="P107:P115" si="21">N107+O107</f>
        <v>22009.574511732128</v>
      </c>
    </row>
    <row r="108" spans="2:16">
      <c r="B108" s="693" t="s">
        <v>1013</v>
      </c>
      <c r="C108" s="694"/>
      <c r="D108" s="695" t="s">
        <v>1089</v>
      </c>
      <c r="E108" s="696">
        <v>20625</v>
      </c>
      <c r="F108" s="697">
        <f>ROUND(SUMIF('GG Support Data'!$C$7:$AY$7,$E108,'GG Support Data'!$C$23:$AY$23),2)</f>
        <v>4543062.1500000004</v>
      </c>
      <c r="G108" s="690">
        <f t="shared" si="0"/>
        <v>2.5856737513106014E-2</v>
      </c>
      <c r="H108" s="698">
        <f t="shared" si="18"/>
        <v>117468.76551827707</v>
      </c>
      <c r="I108" s="697">
        <f>ROUND(SUMIF('GG Support Data'!$C$7:$AY$7,$E108,'GG Support Data'!$C$56:$AY$56),2)</f>
        <v>4331914.91</v>
      </c>
      <c r="J108" s="690">
        <f t="shared" si="2"/>
        <v>8.1747665649459705E-2</v>
      </c>
      <c r="K108" s="698">
        <f t="shared" si="19"/>
        <v>354123.93168458936</v>
      </c>
      <c r="L108" s="697">
        <f>ROUND(SUMIF('GG Support Data'!$C$7:$AY$7,$E108,'GG Support Data'!$C$61:$AY$61),2)</f>
        <v>131443.95000000001</v>
      </c>
      <c r="M108" s="697">
        <f>ROUND(SUMIF('GG Support Data'!$C$7:$AY$7,$E108,'GG Support Data'!$C$66:$AY$66),2)</f>
        <v>0</v>
      </c>
      <c r="N108" s="698">
        <f t="shared" si="20"/>
        <v>603036.64720286638</v>
      </c>
      <c r="O108" s="699">
        <f>INDEX('GG True-up Template'!$A$44:$AG$96,MATCH(E108,'GG True-up Template'!$A$44:$A$96,0),MATCH("N",'GG True-up Template'!$A$44:$AG$44,0))</f>
        <v>47872.847514363355</v>
      </c>
      <c r="P108" s="698">
        <f t="shared" si="21"/>
        <v>650909.49471722974</v>
      </c>
    </row>
    <row r="109" spans="2:16">
      <c r="B109" s="693" t="s">
        <v>1014</v>
      </c>
      <c r="C109" s="694"/>
      <c r="D109" s="695" t="s">
        <v>1092</v>
      </c>
      <c r="E109" s="696">
        <v>21648</v>
      </c>
      <c r="F109" s="697">
        <f>ROUND(SUMIF('GG Support Data'!$C$7:$AY$7,$E109,'GG Support Data'!$C$23:$AY$23),2)</f>
        <v>3286856.76</v>
      </c>
      <c r="G109" s="690">
        <f t="shared" si="0"/>
        <v>2.5856737513106014E-2</v>
      </c>
      <c r="H109" s="698">
        <f t="shared" si="18"/>
        <v>84987.39248649808</v>
      </c>
      <c r="I109" s="697">
        <f>ROUND(SUMIF('GG Support Data'!$C$7:$AY$7,$E109,'GG Support Data'!$C$56:$AY$56),2)</f>
        <v>3185937.32</v>
      </c>
      <c r="J109" s="690">
        <f t="shared" si="2"/>
        <v>8.1747665649459705E-2</v>
      </c>
      <c r="K109" s="698">
        <f t="shared" si="19"/>
        <v>260442.9388154957</v>
      </c>
      <c r="L109" s="697">
        <f>ROUND(SUMIF('GG Support Data'!$C$7:$AY$7,$E109,'GG Support Data'!$C$61:$AY$61),2)</f>
        <v>86444.33</v>
      </c>
      <c r="M109" s="697">
        <f>ROUND(SUMIF('GG Support Data'!$C$7:$AY$7,$E109,'GG Support Data'!$C$66:$AY$66),2)</f>
        <v>0</v>
      </c>
      <c r="N109" s="698">
        <f t="shared" si="20"/>
        <v>431874.66130199382</v>
      </c>
      <c r="O109" s="699">
        <f>INDEX('GG True-up Template'!$A$44:$AG$96,MATCH(E109,'GG True-up Template'!$A$44:$A$96,0),MATCH("N",'GG True-up Template'!$A$44:$AG$44,0))</f>
        <v>0</v>
      </c>
      <c r="P109" s="698">
        <f t="shared" si="21"/>
        <v>431874.66130199382</v>
      </c>
    </row>
    <row r="110" spans="2:16">
      <c r="B110" s="693" t="s">
        <v>1015</v>
      </c>
      <c r="C110" s="694"/>
      <c r="D110" s="695" t="s">
        <v>1082</v>
      </c>
      <c r="E110" s="696">
        <v>21812</v>
      </c>
      <c r="F110" s="697">
        <f>ROUND(SUMIF('GG Support Data'!$C$7:$AY$7,$E110,'GG Support Data'!$C$23:$AY$23),2)</f>
        <v>502255.58</v>
      </c>
      <c r="G110" s="690">
        <f t="shared" si="0"/>
        <v>2.5856737513106014E-2</v>
      </c>
      <c r="H110" s="698">
        <f t="shared" ref="H110" si="22">F110*G110</f>
        <v>12986.69069655282</v>
      </c>
      <c r="I110" s="697">
        <f>ROUND(SUMIF('GG Support Data'!$C$7:$AY$7,$E110,'GG Support Data'!$C$56:$AY$56),2)</f>
        <v>486616.13</v>
      </c>
      <c r="J110" s="690">
        <f t="shared" si="2"/>
        <v>8.1747665649459705E-2</v>
      </c>
      <c r="K110" s="698">
        <f t="shared" ref="K110" si="23">I110*J110</f>
        <v>39779.732694874016</v>
      </c>
      <c r="L110" s="697">
        <f>ROUND(SUMIF('GG Support Data'!$C$7:$AY$7,$E110,'GG Support Data'!$C$61:$AY$61),2)</f>
        <v>13050.06</v>
      </c>
      <c r="M110" s="697">
        <f>ROUND(SUMIF('GG Support Data'!$C$7:$AY$7,$E110,'GG Support Data'!$C$66:$AY$66),2)</f>
        <v>0</v>
      </c>
      <c r="N110" s="698">
        <f t="shared" ref="N110" si="24">H110+K110+L110+M110</f>
        <v>65816.483391426838</v>
      </c>
      <c r="O110" s="699">
        <f>INDEX('GG True-up Template'!$A$44:$AG$96,MATCH(E110,'GG True-up Template'!$A$44:$A$96,0),MATCH("N",'GG True-up Template'!$A$44:$AG$44,0))</f>
        <v>0</v>
      </c>
      <c r="P110" s="698">
        <f t="shared" ref="P110" si="25">N110+O110</f>
        <v>65816.483391426838</v>
      </c>
    </row>
    <row r="111" spans="2:16">
      <c r="B111" s="693" t="s">
        <v>1019</v>
      </c>
      <c r="C111" s="694"/>
      <c r="D111" s="695" t="s">
        <v>1083</v>
      </c>
      <c r="E111" s="696">
        <v>21814</v>
      </c>
      <c r="F111" s="697">
        <f>ROUND(SUMIF('GG Support Data'!$C$7:$AY$7,$E111,'GG Support Data'!$C$23:$AY$23),2)</f>
        <v>2833396.22</v>
      </c>
      <c r="G111" s="690">
        <f t="shared" si="0"/>
        <v>2.5856737513106014E-2</v>
      </c>
      <c r="H111" s="698">
        <f t="shared" si="18"/>
        <v>73262.38233116678</v>
      </c>
      <c r="I111" s="697">
        <f>ROUND(SUMIF('GG Support Data'!$C$7:$AY$7,$E111,'GG Support Data'!$C$56:$AY$56),2)</f>
        <v>2771297.62</v>
      </c>
      <c r="J111" s="690">
        <f t="shared" si="2"/>
        <v>8.1747665649459705E-2</v>
      </c>
      <c r="K111" s="698">
        <f t="shared" si="19"/>
        <v>226547.11125490346</v>
      </c>
      <c r="L111" s="697">
        <f>ROUND(SUMIF('GG Support Data'!$C$7:$AY$7,$E111,'GG Support Data'!$C$61:$AY$61),2)</f>
        <v>74518.320000000007</v>
      </c>
      <c r="M111" s="697">
        <f>ROUND(SUMIF('GG Support Data'!$C$7:$AY$7,$E111,'GG Support Data'!$C$66:$AY$66),2)</f>
        <v>0</v>
      </c>
      <c r="N111" s="698">
        <f t="shared" si="20"/>
        <v>374327.81358607026</v>
      </c>
      <c r="O111" s="699">
        <f>INDEX('GG True-up Template'!$A$44:$AG$96,MATCH(E111,'GG True-up Template'!$A$44:$A$96,0),MATCH("N",'GG True-up Template'!$A$44:$AG$44,0))</f>
        <v>0</v>
      </c>
      <c r="P111" s="698">
        <f t="shared" si="21"/>
        <v>374327.81358607026</v>
      </c>
    </row>
    <row r="112" spans="2:16">
      <c r="B112" s="693" t="s">
        <v>1016</v>
      </c>
      <c r="C112" s="694"/>
      <c r="D112" s="695" t="s">
        <v>1023</v>
      </c>
      <c r="E112" s="696">
        <v>22045</v>
      </c>
      <c r="F112" s="697">
        <f>ROUND(SUMIF('GG Support Data'!$C$7:$AY$7,$E112,'GG Support Data'!$C$23:$AY$23),2)</f>
        <v>22439.57</v>
      </c>
      <c r="G112" s="690">
        <f t="shared" si="0"/>
        <v>2.5856737513106014E-2</v>
      </c>
      <c r="H112" s="698">
        <f t="shared" si="18"/>
        <v>580.21407139696828</v>
      </c>
      <c r="I112" s="697">
        <f>ROUND(SUMIF('GG Support Data'!$C$7:$AY$7,$E112,'GG Support Data'!$C$56:$AY$56),2)</f>
        <v>21642.19</v>
      </c>
      <c r="J112" s="690">
        <f t="shared" si="2"/>
        <v>8.1747665649459705E-2</v>
      </c>
      <c r="K112" s="698">
        <f t="shared" si="19"/>
        <v>1769.1985120420802</v>
      </c>
      <c r="L112" s="697">
        <f>ROUND(SUMIF('GG Support Data'!$C$7:$AY$7,$E112,'GG Support Data'!$C$61:$AY$61),2)</f>
        <v>623.82000000000005</v>
      </c>
      <c r="M112" s="697">
        <f>ROUND(SUMIF('GG Support Data'!$C$7:$AY$7,$E112,'GG Support Data'!$C$66:$AY$66),2)</f>
        <v>0</v>
      </c>
      <c r="N112" s="698">
        <f t="shared" si="20"/>
        <v>2973.2325834390485</v>
      </c>
      <c r="O112" s="699">
        <f>INDEX('GG True-up Template'!$A$44:$AG$96,MATCH(E112,'GG True-up Template'!$A$44:$A$96,0),MATCH("N",'GG True-up Template'!$A$44:$AG$44,0))</f>
        <v>396.88153902886256</v>
      </c>
      <c r="P112" s="698">
        <f t="shared" si="21"/>
        <v>3370.1141224679113</v>
      </c>
    </row>
    <row r="113" spans="2:16">
      <c r="B113" s="693" t="s">
        <v>1077</v>
      </c>
      <c r="C113" s="694"/>
      <c r="D113" s="695" t="s">
        <v>1026</v>
      </c>
      <c r="E113" s="696">
        <v>22047</v>
      </c>
      <c r="F113" s="697">
        <f>ROUND(SUMIF('GG Support Data'!$C$7:$AY$7,$E113,'GG Support Data'!$C$23:$AY$23),2)</f>
        <v>637853.9</v>
      </c>
      <c r="G113" s="690">
        <f t="shared" si="0"/>
        <v>2.5856737513106014E-2</v>
      </c>
      <c r="H113" s="698">
        <f t="shared" si="18"/>
        <v>16492.820864010973</v>
      </c>
      <c r="I113" s="697">
        <f>ROUND(SUMIF('GG Support Data'!$C$7:$AY$7,$E113,'GG Support Data'!$C$56:$AY$56),2)</f>
        <v>613322.13</v>
      </c>
      <c r="J113" s="690">
        <f t="shared" si="2"/>
        <v>8.1747665649459705E-2</v>
      </c>
      <c r="K113" s="698">
        <f t="shared" si="19"/>
        <v>50137.652418654463</v>
      </c>
      <c r="L113" s="697">
        <f>ROUND(SUMIF('GG Support Data'!$C$7:$AY$7,$E113,'GG Support Data'!$C$61:$AY$61),2)</f>
        <v>22643.81</v>
      </c>
      <c r="M113" s="697">
        <f>ROUND(SUMIF('GG Support Data'!$C$7:$AY$7,$E113,'GG Support Data'!$C$66:$AY$66),2)</f>
        <v>0</v>
      </c>
      <c r="N113" s="698">
        <f t="shared" si="20"/>
        <v>89274.283282665434</v>
      </c>
      <c r="O113" s="699">
        <f>INDEX('GG True-up Template'!$A$44:$AG$96,MATCH(E113,'GG True-up Template'!$A$44:$A$96,0),MATCH("N",'GG True-up Template'!$A$44:$AG$44,0))</f>
        <v>0</v>
      </c>
      <c r="P113" s="698">
        <f t="shared" si="21"/>
        <v>89274.283282665434</v>
      </c>
    </row>
    <row r="114" spans="2:16">
      <c r="B114" s="693" t="s">
        <v>1078</v>
      </c>
      <c r="C114" s="694"/>
      <c r="D114" s="695" t="s">
        <v>1027</v>
      </c>
      <c r="E114" s="696">
        <v>22048</v>
      </c>
      <c r="F114" s="697">
        <f>ROUND(SUMIF('GG Support Data'!$C$7:$AY$7,$E114,'GG Support Data'!$C$23:$AY$23),2)</f>
        <v>42758.51</v>
      </c>
      <c r="G114" s="690">
        <f t="shared" si="0"/>
        <v>2.5856737513106014E-2</v>
      </c>
      <c r="H114" s="698">
        <f t="shared" si="18"/>
        <v>1105.5955695215187</v>
      </c>
      <c r="I114" s="697">
        <f>ROUND(SUMIF('GG Support Data'!$C$7:$AY$7,$E114,'GG Support Data'!$C$56:$AY$56),2)</f>
        <v>41432.550000000003</v>
      </c>
      <c r="J114" s="690">
        <f t="shared" si="2"/>
        <v>8.1747665649459705E-2</v>
      </c>
      <c r="K114" s="698">
        <f t="shared" si="19"/>
        <v>3387.0142444045218</v>
      </c>
      <c r="L114" s="697">
        <f>ROUND(SUMIF('GG Support Data'!$C$7:$AY$7,$E114,'GG Support Data'!$C$61:$AY$61),2)</f>
        <v>1188.69</v>
      </c>
      <c r="M114" s="697">
        <f>ROUND(SUMIF('GG Support Data'!$C$7:$AY$7,$E114,'GG Support Data'!$C$66:$AY$66),2)</f>
        <v>0</v>
      </c>
      <c r="N114" s="698">
        <f t="shared" si="20"/>
        <v>5681.2998139260399</v>
      </c>
      <c r="O114" s="699">
        <f>INDEX('GG True-up Template'!$A$44:$AG$96,MATCH(E114,'GG True-up Template'!$A$44:$A$96,0),MATCH("N",'GG True-up Template'!$A$44:$AG$44,0))</f>
        <v>80.194920485446289</v>
      </c>
      <c r="P114" s="698">
        <f t="shared" si="21"/>
        <v>5761.4947344114862</v>
      </c>
    </row>
    <row r="115" spans="2:16">
      <c r="B115" s="693" t="s">
        <v>1132</v>
      </c>
      <c r="C115" s="694"/>
      <c r="D115" s="695" t="s">
        <v>1084</v>
      </c>
      <c r="E115" s="696">
        <v>22085</v>
      </c>
      <c r="F115" s="697">
        <f>ROUND(SUMIF('GG Support Data'!$C$7:$AY$7,$E115,'GG Support Data'!$C$23:$AY$23),2)</f>
        <v>93.54</v>
      </c>
      <c r="G115" s="690">
        <f t="shared" si="0"/>
        <v>2.5856737513106014E-2</v>
      </c>
      <c r="H115" s="698">
        <f t="shared" si="18"/>
        <v>2.4186392269759365</v>
      </c>
      <c r="I115" s="697">
        <f>ROUND(SUMIF('GG Support Data'!$C$7:$AY$7,$E115,'GG Support Data'!$C$56:$AY$56),2)</f>
        <v>91.08</v>
      </c>
      <c r="J115" s="690">
        <f t="shared" si="2"/>
        <v>8.1747665649459705E-2</v>
      </c>
      <c r="K115" s="698">
        <f t="shared" si="19"/>
        <v>7.44557738735279</v>
      </c>
      <c r="L115" s="697">
        <f>ROUND(SUMIF('GG Support Data'!$C$7:$AY$7,$E115,'GG Support Data'!$C$61:$AY$61),2)</f>
        <v>2.46</v>
      </c>
      <c r="M115" s="697">
        <f>ROUND(SUMIF('GG Support Data'!$C$7:$AY$7,$E115,'GG Support Data'!$C$66:$AY$66),2)</f>
        <v>0</v>
      </c>
      <c r="N115" s="698">
        <f t="shared" si="20"/>
        <v>12.324216614328726</v>
      </c>
      <c r="O115" s="699">
        <f>INDEX('GG True-up Template'!$A$44:$AG$96,MATCH(E115,'GG True-up Template'!$A$44:$A$96,0),MATCH("N",'GG True-up Template'!$A$44:$AG$44,0))</f>
        <v>0</v>
      </c>
      <c r="P115" s="698">
        <f t="shared" si="21"/>
        <v>12.324216614328726</v>
      </c>
    </row>
    <row r="116" spans="2:16">
      <c r="B116" s="693" t="s">
        <v>1171</v>
      </c>
      <c r="C116" s="694"/>
      <c r="D116" s="695" t="s">
        <v>1090</v>
      </c>
      <c r="E116" s="696">
        <v>22145</v>
      </c>
      <c r="F116" s="697">
        <f>ROUND(SUMIF('GG Support Data'!$C$7:$AY$7,$E116,'GG Support Data'!$C$23:$AY$23),2)</f>
        <v>2953111.68</v>
      </c>
      <c r="G116" s="690">
        <f t="shared" si="0"/>
        <v>2.5856737513106014E-2</v>
      </c>
      <c r="H116" s="698">
        <f t="shared" ref="H116:H117" si="26">F116*G116</f>
        <v>76357.833556647529</v>
      </c>
      <c r="I116" s="697">
        <f>ROUND(SUMIF('GG Support Data'!$C$7:$AY$7,$E116,'GG Support Data'!$C$56:$AY$56),2)</f>
        <v>2857255.71</v>
      </c>
      <c r="J116" s="690">
        <f t="shared" si="2"/>
        <v>8.1747665649459705E-2</v>
      </c>
      <c r="K116" s="698">
        <f t="shared" ref="K116:K117" si="27">I116*J116</f>
        <v>233573.98445608959</v>
      </c>
      <c r="L116" s="697">
        <f>ROUND(SUMIF('GG Support Data'!$C$7:$AY$7,$E116,'GG Support Data'!$C$61:$AY$61),2)</f>
        <v>88475.49</v>
      </c>
      <c r="M116" s="697">
        <f>ROUND(SUMIF('GG Support Data'!$C$7:$AY$7,$E116,'GG Support Data'!$C$66:$AY$66),2)</f>
        <v>0</v>
      </c>
      <c r="N116" s="698">
        <f t="shared" ref="N116:N117" si="28">H116+K116+L116+M116</f>
        <v>398407.30801273708</v>
      </c>
      <c r="O116" s="699">
        <f>INDEX('GG True-up Template'!$A$44:$AG$96,MATCH(E116,'GG True-up Template'!$A$44:$A$96,0),MATCH("N",'GG True-up Template'!$A$44:$AG$44,0))</f>
        <v>0</v>
      </c>
      <c r="P116" s="698">
        <f t="shared" ref="P116:P117" si="29">N116+O116</f>
        <v>398407.30801273708</v>
      </c>
    </row>
    <row r="117" spans="2:16">
      <c r="B117" s="693" t="s">
        <v>1174</v>
      </c>
      <c r="C117" s="694"/>
      <c r="D117" s="695" t="s">
        <v>1091</v>
      </c>
      <c r="E117" s="696">
        <v>22146</v>
      </c>
      <c r="F117" s="697">
        <f>ROUND(SUMIF('GG Support Data'!$C$7:$AY$7,$E117,'GG Support Data'!$C$23:$AY$23),2)</f>
        <v>1294205.33</v>
      </c>
      <c r="G117" s="690">
        <f t="shared" si="0"/>
        <v>2.5856737513106014E-2</v>
      </c>
      <c r="H117" s="698">
        <f t="shared" si="26"/>
        <v>33463.927505872751</v>
      </c>
      <c r="I117" s="697">
        <f>ROUND(SUMIF('GG Support Data'!$C$7:$AY$7,$E117,'GG Support Data'!$C$56:$AY$56),2)</f>
        <v>1238826.4099999999</v>
      </c>
      <c r="J117" s="690">
        <f t="shared" si="2"/>
        <v>8.1747665649459705E-2</v>
      </c>
      <c r="K117" s="698">
        <f t="shared" si="27"/>
        <v>101271.16716240048</v>
      </c>
      <c r="L117" s="697">
        <f>ROUND(SUMIF('GG Support Data'!$C$7:$AY$7,$E117,'GG Support Data'!$C$61:$AY$61),2)</f>
        <v>49233.53</v>
      </c>
      <c r="M117" s="697">
        <f>ROUND(SUMIF('GG Support Data'!$C$7:$AY$7,$E117,'GG Support Data'!$C$66:$AY$66),2)</f>
        <v>0</v>
      </c>
      <c r="N117" s="698">
        <f t="shared" si="28"/>
        <v>183968.62466827323</v>
      </c>
      <c r="O117" s="699">
        <f>INDEX('GG True-up Template'!$A$44:$AG$96,MATCH(E117,'GG True-up Template'!$A$44:$A$96,0),MATCH("N",'GG True-up Template'!$A$44:$AG$44,0))</f>
        <v>0</v>
      </c>
      <c r="P117" s="698">
        <f t="shared" si="29"/>
        <v>183968.62466827323</v>
      </c>
    </row>
    <row r="118" spans="2:16">
      <c r="B118" s="693" t="s">
        <v>1175</v>
      </c>
      <c r="C118" s="694"/>
      <c r="D118" s="695" t="s">
        <v>1075</v>
      </c>
      <c r="E118" s="696">
        <v>22225</v>
      </c>
      <c r="F118" s="697">
        <f>ROUND(SUMIF('GG Support Data'!$C$7:$AY$7,$E118,'GG Support Data'!$C$23:$AY$23),2)</f>
        <v>2292730.9900000002</v>
      </c>
      <c r="G118" s="690">
        <f t="shared" si="0"/>
        <v>2.5856737513106014E-2</v>
      </c>
      <c r="H118" s="698">
        <f t="shared" ref="H118" si="30">F118*G118</f>
        <v>59282.543396593697</v>
      </c>
      <c r="I118" s="697">
        <f>ROUND(SUMIF('GG Support Data'!$C$7:$AY$7,$E118,'GG Support Data'!$C$56:$AY$56),2)</f>
        <v>2257556.6800000002</v>
      </c>
      <c r="J118" s="690">
        <f t="shared" si="2"/>
        <v>8.1747665649459705E-2</v>
      </c>
      <c r="K118" s="698">
        <f t="shared" ref="K118" si="31">I118*J118</f>
        <v>184549.98866134431</v>
      </c>
      <c r="L118" s="697">
        <f>ROUND(SUMIF('GG Support Data'!$C$7:$AY$7,$E118,'GG Support Data'!$C$61:$AY$61),2)</f>
        <v>60298.83</v>
      </c>
      <c r="M118" s="697">
        <f>ROUND(SUMIF('GG Support Data'!$C$7:$AY$7,$E118,'GG Support Data'!$C$66:$AY$66),2)</f>
        <v>0</v>
      </c>
      <c r="N118" s="698">
        <f t="shared" ref="N118" si="32">H118+K118+L118+M118</f>
        <v>304131.36205793801</v>
      </c>
      <c r="O118" s="699">
        <f>INDEX('GG True-up Template'!$A$44:$AG$96,MATCH(E118,'GG True-up Template'!$A$44:$A$96,0),MATCH("N",'GG True-up Template'!$A$44:$AG$44,0))</f>
        <v>0</v>
      </c>
      <c r="P118" s="698">
        <f t="shared" ref="P118" si="33">N118+O118</f>
        <v>304131.36205793801</v>
      </c>
    </row>
    <row r="119" spans="2:16">
      <c r="B119" s="693" t="s">
        <v>1176</v>
      </c>
      <c r="C119" s="694"/>
      <c r="D119" s="695" t="s">
        <v>1177</v>
      </c>
      <c r="E119" s="696">
        <v>24782</v>
      </c>
      <c r="F119" s="697">
        <f>ROUND(SUMIF('GG Support Data'!$C$7:$AY$7,$E119,'GG Support Data'!$C$23:$AY$23),2)</f>
        <v>4412148.95</v>
      </c>
      <c r="G119" s="690">
        <f t="shared" si="0"/>
        <v>2.5856737513106014E-2</v>
      </c>
      <c r="H119" s="698">
        <f t="shared" ref="H119" si="34">F119*G119</f>
        <v>114083.77726887632</v>
      </c>
      <c r="I119" s="697">
        <f>ROUND(SUMIF('GG Support Data'!$C$7:$AY$7,$E119,'GG Support Data'!$C$56:$AY$56),2)</f>
        <v>4272701.78</v>
      </c>
      <c r="J119" s="690">
        <f t="shared" si="2"/>
        <v>8.1747665649459705E-2</v>
      </c>
      <c r="K119" s="698">
        <f t="shared" ref="K119" si="35">I119*J119</f>
        <v>349283.39653129136</v>
      </c>
      <c r="L119" s="697">
        <f>ROUND(SUMIF('GG Support Data'!$C$7:$AY$7,$E119,'GG Support Data'!$C$61:$AY$61),2)</f>
        <v>119569.24</v>
      </c>
      <c r="M119" s="697">
        <f>ROUND(SUMIF('GG Support Data'!$C$7:$AY$7,$E119,'GG Support Data'!$C$66:$AY$66),2)</f>
        <v>0</v>
      </c>
      <c r="N119" s="698">
        <f t="shared" ref="N119" si="36">H119+K119+L119+M119</f>
        <v>582936.41380016773</v>
      </c>
      <c r="O119" s="699">
        <f>INDEX('GG True-up Template'!$A$44:$AG$96,MATCH(E119,'GG True-up Template'!$A$44:$A$96,0),MATCH("N",'GG True-up Template'!$A$44:$AG$44,0))</f>
        <v>0</v>
      </c>
      <c r="P119" s="698">
        <f t="shared" ref="P119" si="37">N119+O119</f>
        <v>582936.41380016773</v>
      </c>
    </row>
    <row r="120" spans="2:16">
      <c r="B120" s="693" t="s">
        <v>1178</v>
      </c>
      <c r="C120" s="694"/>
      <c r="D120" s="695" t="s">
        <v>1173</v>
      </c>
      <c r="E120" s="696">
        <v>25262</v>
      </c>
      <c r="F120" s="697">
        <f>ROUND(SUMIF('GG Support Data'!$C$7:$AY$7,$E120,'GG Support Data'!$C$23:$AY$23),2)</f>
        <v>3370694.64</v>
      </c>
      <c r="G120" s="690">
        <f t="shared" si="0"/>
        <v>2.5856737513106014E-2</v>
      </c>
      <c r="H120" s="698">
        <f t="shared" ref="H120" si="38">F120*G120</f>
        <v>87155.166543313375</v>
      </c>
      <c r="I120" s="697">
        <f>ROUND(SUMIF('GG Support Data'!$C$7:$AY$7,$E120,'GG Support Data'!$C$56:$AY$56),2)</f>
        <v>3264566.96</v>
      </c>
      <c r="J120" s="690">
        <f t="shared" si="2"/>
        <v>8.1747665649459705E-2</v>
      </c>
      <c r="K120" s="698">
        <f t="shared" ref="K120" si="39">I120*J120</f>
        <v>266870.72833635309</v>
      </c>
      <c r="L120" s="697">
        <f>ROUND(SUMIF('GG Support Data'!$C$7:$AY$7,$E120,'GG Support Data'!$C$61:$AY$61),2)</f>
        <v>91008.76</v>
      </c>
      <c r="M120" s="697">
        <f>ROUND(SUMIF('GG Support Data'!$C$7:$AY$7,$E120,'GG Support Data'!$C$66:$AY$66),2)</f>
        <v>0</v>
      </c>
      <c r="N120" s="698">
        <f t="shared" ref="N120" si="40">H120+K120+L120+M120</f>
        <v>445034.65487966646</v>
      </c>
      <c r="O120" s="699">
        <f>INDEX('GG True-up Template'!$A$44:$AG$96,MATCH(E120,'GG True-up Template'!$A$44:$A$96,0),MATCH("N",'GG True-up Template'!$A$44:$AG$44,0))</f>
        <v>0</v>
      </c>
      <c r="P120" s="698">
        <f t="shared" ref="P120" si="41">N120+O120</f>
        <v>445034.65487966646</v>
      </c>
    </row>
    <row r="121" spans="2:16">
      <c r="B121" s="693"/>
      <c r="C121" s="694"/>
      <c r="D121" s="695"/>
      <c r="E121" s="696"/>
      <c r="F121" s="697">
        <f>ROUND(SUMIF('GG Support Data'!$C$7:$AY$7,$E121,'GG Support Data'!$C$23:$AY$23),2)</f>
        <v>0</v>
      </c>
      <c r="G121" s="690">
        <f t="shared" si="0"/>
        <v>2.5856737513106014E-2</v>
      </c>
      <c r="H121" s="698">
        <f t="shared" ref="H121" si="42">F121*G121</f>
        <v>0</v>
      </c>
      <c r="I121" s="697">
        <f>ROUND(SUMIF('GG Support Data'!$C$7:$AY$7,$E121,'GG Support Data'!$C$56:$AY$56),2)</f>
        <v>0</v>
      </c>
      <c r="J121" s="690">
        <f t="shared" si="2"/>
        <v>8.1747665649459705E-2</v>
      </c>
      <c r="K121" s="698">
        <f t="shared" ref="K121" si="43">I121*J121</f>
        <v>0</v>
      </c>
      <c r="L121" s="697">
        <f>ROUND(SUMIF('GG Support Data'!$C$7:$AY$7,$E121,'GG Support Data'!$C$61:$AY$61),2)</f>
        <v>0</v>
      </c>
      <c r="M121" s="697">
        <f>ROUND(SUMIF('GG Support Data'!$C$7:$AY$7,$E121,'GG Support Data'!$C$66:$AY$66),2)</f>
        <v>0</v>
      </c>
      <c r="N121" s="698">
        <f t="shared" ref="N121" si="44">H121+K121+L121+M121</f>
        <v>0</v>
      </c>
      <c r="O121" s="699"/>
      <c r="P121" s="698"/>
    </row>
    <row r="122" spans="2:16">
      <c r="B122" s="693"/>
      <c r="C122" s="694"/>
      <c r="D122" s="695"/>
      <c r="E122" s="696"/>
      <c r="F122" s="697"/>
      <c r="G122" s="690"/>
      <c r="H122" s="698"/>
      <c r="I122" s="697"/>
      <c r="J122" s="690"/>
      <c r="K122" s="698"/>
      <c r="L122" s="697"/>
      <c r="M122" s="697"/>
      <c r="N122" s="698"/>
      <c r="O122" s="699"/>
      <c r="P122" s="698"/>
    </row>
    <row r="123" spans="2:16">
      <c r="B123" s="693"/>
      <c r="C123" s="694"/>
      <c r="D123" s="695"/>
      <c r="E123" s="696"/>
      <c r="F123" s="701"/>
      <c r="G123" s="690"/>
      <c r="H123" s="698"/>
      <c r="I123" s="701"/>
      <c r="J123" s="690"/>
      <c r="K123" s="698"/>
      <c r="L123" s="701"/>
      <c r="M123" s="701"/>
      <c r="N123" s="698"/>
      <c r="O123" s="702"/>
      <c r="P123" s="698"/>
    </row>
    <row r="124" spans="2:16">
      <c r="B124" s="703"/>
      <c r="C124" s="704"/>
      <c r="D124" s="705"/>
      <c r="E124" s="705"/>
      <c r="F124" s="705"/>
      <c r="G124" s="705"/>
      <c r="H124" s="706"/>
      <c r="I124" s="705"/>
      <c r="J124" s="705"/>
      <c r="K124" s="706"/>
      <c r="L124" s="705"/>
      <c r="M124" s="705"/>
      <c r="N124" s="706"/>
      <c r="O124" s="705"/>
      <c r="P124" s="706"/>
    </row>
    <row r="125" spans="2:16">
      <c r="B125" s="102" t="s">
        <v>473</v>
      </c>
      <c r="D125" s="101" t="s">
        <v>472</v>
      </c>
      <c r="E125" s="101"/>
      <c r="F125" s="86"/>
      <c r="G125" s="86"/>
      <c r="H125" s="83"/>
      <c r="I125" s="83"/>
      <c r="J125" s="83"/>
      <c r="K125" s="83"/>
      <c r="L125" s="83"/>
      <c r="M125" s="96"/>
      <c r="N125" s="96">
        <f>SUM(N75:N124)</f>
        <v>102047463.31898052</v>
      </c>
      <c r="O125" s="100">
        <f>SUM(O75:O124)</f>
        <v>-4086413.4020999055</v>
      </c>
      <c r="P125" s="96">
        <f>SUM(P75:P124)</f>
        <v>97961049.916880623</v>
      </c>
    </row>
    <row r="126" spans="2:16">
      <c r="B126" s="98"/>
      <c r="C126" s="81"/>
      <c r="D126" s="81"/>
      <c r="E126" s="81"/>
      <c r="F126" s="81"/>
      <c r="G126" s="81"/>
      <c r="H126" s="81"/>
      <c r="I126" s="81"/>
      <c r="J126" s="81"/>
      <c r="K126" s="81"/>
      <c r="L126" s="81"/>
      <c r="M126" s="81"/>
      <c r="N126" s="81"/>
      <c r="O126" s="81"/>
      <c r="P126" s="81"/>
    </row>
    <row r="127" spans="2:16">
      <c r="B127" s="97">
        <v>3</v>
      </c>
      <c r="C127" s="81"/>
      <c r="D127" s="84" t="s">
        <v>471</v>
      </c>
      <c r="E127" s="81"/>
      <c r="F127" s="81"/>
      <c r="G127" s="81"/>
      <c r="H127" s="81"/>
      <c r="I127" s="81"/>
      <c r="J127" s="81"/>
      <c r="K127" s="81"/>
      <c r="L127" s="81"/>
      <c r="M127" s="81"/>
      <c r="N127" s="96">
        <f>N125</f>
        <v>102047463.31898052</v>
      </c>
      <c r="O127" s="81"/>
      <c r="P127" s="81"/>
    </row>
    <row r="128" spans="2:16">
      <c r="B128" s="81"/>
      <c r="C128" s="81"/>
      <c r="D128" s="81"/>
      <c r="E128" s="81"/>
      <c r="F128" s="81"/>
      <c r="G128" s="81"/>
      <c r="H128" s="81"/>
      <c r="I128" s="81"/>
      <c r="J128" s="81"/>
      <c r="K128" s="81"/>
      <c r="L128" s="81"/>
      <c r="M128" s="81"/>
      <c r="N128" s="96"/>
      <c r="O128" s="81"/>
      <c r="P128" s="81"/>
    </row>
    <row r="129" spans="2:16">
      <c r="B129" s="81"/>
      <c r="C129" s="81"/>
      <c r="D129" s="81"/>
      <c r="E129" s="81"/>
      <c r="F129" s="81"/>
      <c r="G129" s="81"/>
      <c r="H129" s="81"/>
      <c r="I129" s="81"/>
      <c r="J129" s="81"/>
      <c r="K129" s="81"/>
      <c r="L129" s="81"/>
      <c r="M129" s="81"/>
      <c r="N129" s="81"/>
      <c r="O129" s="81"/>
      <c r="P129" s="81"/>
    </row>
    <row r="130" spans="2:16">
      <c r="B130" s="84" t="s">
        <v>281</v>
      </c>
      <c r="C130" s="81"/>
      <c r="D130" s="81"/>
      <c r="E130" s="81"/>
      <c r="F130" s="81"/>
      <c r="G130" s="81"/>
      <c r="H130" s="81"/>
      <c r="I130" s="81"/>
      <c r="J130" s="81"/>
      <c r="K130" s="81"/>
      <c r="L130" s="81"/>
      <c r="M130" s="81"/>
      <c r="N130" s="81"/>
      <c r="O130" s="81"/>
      <c r="P130" s="81"/>
    </row>
    <row r="131" spans="2:16" ht="15.75" thickBot="1">
      <c r="B131" s="95" t="s">
        <v>282</v>
      </c>
      <c r="C131" s="81"/>
      <c r="D131" s="81"/>
      <c r="E131" s="81"/>
      <c r="F131" s="81"/>
      <c r="G131" s="81"/>
      <c r="H131" s="81"/>
      <c r="I131" s="81"/>
      <c r="J131" s="81"/>
      <c r="K131" s="81"/>
      <c r="L131" s="81"/>
      <c r="M131" s="81"/>
      <c r="N131" s="81"/>
      <c r="O131" s="81"/>
      <c r="P131" s="81"/>
    </row>
    <row r="132" spans="2:16">
      <c r="B132" s="94" t="s">
        <v>283</v>
      </c>
      <c r="D132" s="863" t="s">
        <v>470</v>
      </c>
      <c r="E132" s="863"/>
      <c r="F132" s="863"/>
      <c r="G132" s="863"/>
      <c r="H132" s="863"/>
      <c r="I132" s="863"/>
      <c r="J132" s="863"/>
      <c r="K132" s="863"/>
      <c r="L132" s="863"/>
      <c r="M132" s="863"/>
      <c r="N132" s="863"/>
      <c r="O132" s="863"/>
      <c r="P132" s="863"/>
    </row>
    <row r="133" spans="2:16">
      <c r="B133" s="94" t="s">
        <v>285</v>
      </c>
      <c r="D133" s="863" t="s">
        <v>469</v>
      </c>
      <c r="E133" s="863"/>
      <c r="F133" s="863"/>
      <c r="G133" s="863"/>
      <c r="H133" s="863"/>
      <c r="I133" s="863"/>
      <c r="J133" s="863"/>
      <c r="K133" s="863"/>
      <c r="L133" s="863"/>
      <c r="M133" s="863"/>
      <c r="N133" s="863"/>
      <c r="O133" s="863"/>
      <c r="P133" s="863"/>
    </row>
    <row r="134" spans="2:16" ht="33" customHeight="1">
      <c r="B134" s="94" t="s">
        <v>287</v>
      </c>
      <c r="D134" s="863" t="s">
        <v>468</v>
      </c>
      <c r="E134" s="863"/>
      <c r="F134" s="863"/>
      <c r="G134" s="863"/>
      <c r="H134" s="863"/>
      <c r="I134" s="863"/>
      <c r="J134" s="863"/>
      <c r="K134" s="863"/>
      <c r="L134" s="863"/>
      <c r="M134" s="863"/>
      <c r="N134" s="863"/>
      <c r="O134" s="863"/>
      <c r="P134" s="863"/>
    </row>
    <row r="135" spans="2:16">
      <c r="B135" s="94" t="s">
        <v>289</v>
      </c>
      <c r="D135" s="864" t="s">
        <v>467</v>
      </c>
      <c r="E135" s="864"/>
      <c r="F135" s="864"/>
      <c r="G135" s="864"/>
      <c r="H135" s="864"/>
      <c r="I135" s="864"/>
      <c r="J135" s="864"/>
      <c r="K135" s="864"/>
      <c r="L135" s="864"/>
      <c r="M135" s="864"/>
      <c r="N135" s="864"/>
      <c r="O135" s="864"/>
      <c r="P135" s="864"/>
    </row>
    <row r="136" spans="2:16">
      <c r="B136" s="93" t="s">
        <v>290</v>
      </c>
      <c r="D136" s="861" t="s">
        <v>466</v>
      </c>
      <c r="E136" s="861"/>
      <c r="F136" s="861"/>
      <c r="G136" s="861"/>
      <c r="H136" s="861"/>
      <c r="I136" s="861"/>
      <c r="J136" s="861"/>
      <c r="K136" s="861"/>
      <c r="L136" s="861"/>
      <c r="M136" s="861"/>
      <c r="N136" s="861"/>
      <c r="O136" s="861"/>
      <c r="P136" s="861"/>
    </row>
    <row r="137" spans="2:16">
      <c r="B137" s="93" t="s">
        <v>292</v>
      </c>
      <c r="D137" s="861" t="s">
        <v>465</v>
      </c>
      <c r="E137" s="861"/>
      <c r="F137" s="861"/>
      <c r="G137" s="861"/>
      <c r="H137" s="861"/>
      <c r="I137" s="861"/>
      <c r="J137" s="861"/>
      <c r="K137" s="861"/>
      <c r="L137" s="861"/>
      <c r="M137" s="861"/>
      <c r="N137" s="861"/>
      <c r="O137" s="861"/>
      <c r="P137" s="861"/>
    </row>
    <row r="138" spans="2:16">
      <c r="B138" s="93" t="s">
        <v>294</v>
      </c>
      <c r="D138" s="861" t="s">
        <v>464</v>
      </c>
      <c r="E138" s="861"/>
      <c r="F138" s="861"/>
      <c r="G138" s="861"/>
      <c r="H138" s="861"/>
      <c r="I138" s="861"/>
      <c r="J138" s="861"/>
      <c r="K138" s="861"/>
      <c r="L138" s="861"/>
      <c r="M138" s="861"/>
      <c r="N138" s="861"/>
      <c r="O138" s="861"/>
      <c r="P138" s="861"/>
    </row>
    <row r="139" spans="2:16">
      <c r="B139" s="93" t="s">
        <v>296</v>
      </c>
      <c r="D139" s="861" t="s">
        <v>1058</v>
      </c>
      <c r="E139" s="861"/>
      <c r="F139" s="861"/>
      <c r="G139" s="861"/>
      <c r="H139" s="861"/>
      <c r="I139" s="861"/>
      <c r="J139" s="861"/>
      <c r="K139" s="861"/>
      <c r="L139" s="861"/>
      <c r="M139" s="861"/>
      <c r="N139" s="861"/>
      <c r="O139" s="861"/>
      <c r="P139" s="861"/>
    </row>
    <row r="140" spans="2:16">
      <c r="B140" s="92" t="s">
        <v>298</v>
      </c>
      <c r="C140" s="90"/>
      <c r="D140" s="862" t="s">
        <v>463</v>
      </c>
      <c r="E140" s="862"/>
      <c r="F140" s="862"/>
      <c r="G140" s="862"/>
      <c r="H140" s="862"/>
      <c r="I140" s="862"/>
      <c r="J140" s="862"/>
      <c r="K140" s="862"/>
      <c r="L140" s="862"/>
      <c r="M140" s="862"/>
      <c r="N140" s="862"/>
      <c r="O140" s="862"/>
      <c r="P140" s="862"/>
    </row>
    <row r="141" spans="2:16">
      <c r="B141" s="92" t="s">
        <v>300</v>
      </c>
      <c r="C141" s="91"/>
      <c r="D141" s="862" t="s">
        <v>462</v>
      </c>
      <c r="E141" s="862"/>
      <c r="F141" s="862"/>
      <c r="G141" s="862"/>
      <c r="H141" s="862"/>
      <c r="I141" s="862"/>
      <c r="J141" s="862"/>
      <c r="K141" s="862"/>
      <c r="L141" s="862"/>
      <c r="M141" s="862"/>
      <c r="N141" s="862"/>
      <c r="O141" s="862"/>
      <c r="P141" s="862"/>
    </row>
  </sheetData>
  <sortState xmlns:xlrd2="http://schemas.microsoft.com/office/spreadsheetml/2017/richdata2" ref="D81:E121">
    <sortCondition ref="E81:E121"/>
  </sortState>
  <mergeCells count="10">
    <mergeCell ref="D138:P138"/>
    <mergeCell ref="D139:P139"/>
    <mergeCell ref="D140:P140"/>
    <mergeCell ref="D141:P141"/>
    <mergeCell ref="D132:P132"/>
    <mergeCell ref="D133:P133"/>
    <mergeCell ref="D134:P134"/>
    <mergeCell ref="D135:P135"/>
    <mergeCell ref="D136:P136"/>
    <mergeCell ref="D137:P137"/>
  </mergeCells>
  <pageMargins left="0.7" right="0.7" top="0.75" bottom="0.75" header="0.3" footer="0.3"/>
  <pageSetup scale="36" fitToHeight="2" orientation="landscape" verticalDpi="300" r:id="rId1"/>
  <rowBreaks count="1" manualBreakCount="1">
    <brk id="62" min="1" max="15" man="1"/>
  </rowBreaks>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B1:AY136"/>
  <sheetViews>
    <sheetView showGridLines="0" zoomScale="85" zoomScaleNormal="85" zoomScaleSheetLayoutView="100" workbookViewId="0">
      <pane xSplit="3" ySplit="9" topLeftCell="D35" activePane="bottomRight" state="frozen"/>
      <selection activeCell="C6" sqref="C6"/>
      <selection pane="topRight" activeCell="C6" sqref="C6"/>
      <selection pane="bottomLeft" activeCell="C6" sqref="C6"/>
      <selection pane="bottomRight" activeCell="M141" sqref="M141"/>
    </sheetView>
  </sheetViews>
  <sheetFormatPr defaultRowHeight="12.75" outlineLevelRow="1"/>
  <cols>
    <col min="1" max="1" width="9.140625" style="164"/>
    <col min="2" max="2" width="21.28515625" style="164" customWidth="1"/>
    <col min="3" max="3" width="32.85546875" style="164" customWidth="1"/>
    <col min="4" max="49" width="13.85546875" style="164" customWidth="1"/>
    <col min="50" max="50" width="3.42578125" style="164" customWidth="1"/>
    <col min="51" max="52" width="13.85546875" style="164" customWidth="1"/>
    <col min="53" max="16384" width="9.140625" style="164"/>
  </cols>
  <sheetData>
    <row r="1" spans="2:49" s="218" customFormat="1" ht="18">
      <c r="B1" s="220" t="s">
        <v>586</v>
      </c>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row>
    <row r="2" spans="2:49">
      <c r="B2" s="169"/>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row>
    <row r="3" spans="2:49">
      <c r="B3" s="217" t="s">
        <v>585</v>
      </c>
      <c r="C3" s="673">
        <v>2025</v>
      </c>
      <c r="D3" s="215"/>
      <c r="E3" s="215"/>
      <c r="F3" s="215"/>
      <c r="G3" s="190"/>
      <c r="H3" s="215"/>
      <c r="I3" s="215"/>
      <c r="J3" s="215"/>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row>
    <row r="4" spans="2:49">
      <c r="B4" s="169"/>
      <c r="C4" s="215"/>
      <c r="D4" s="215"/>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row>
    <row r="5" spans="2:49">
      <c r="B5" s="217" t="s">
        <v>584</v>
      </c>
      <c r="C5" s="216" t="s">
        <v>581</v>
      </c>
      <c r="D5" s="215"/>
      <c r="E5" s="215"/>
      <c r="F5" s="215"/>
      <c r="G5" s="190"/>
      <c r="H5" s="215"/>
      <c r="I5" s="215"/>
      <c r="J5" s="215"/>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row>
    <row r="6" spans="2:49">
      <c r="B6" s="169"/>
      <c r="C6" s="215"/>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row>
    <row r="7" spans="2:49" s="612" customFormat="1">
      <c r="B7" s="213"/>
      <c r="C7" s="611" t="s">
        <v>583</v>
      </c>
      <c r="D7" s="610">
        <v>345</v>
      </c>
      <c r="E7" s="610">
        <v>352</v>
      </c>
      <c r="F7" s="610">
        <v>356</v>
      </c>
      <c r="G7" s="610">
        <v>1453</v>
      </c>
      <c r="H7" s="610">
        <v>1616</v>
      </c>
      <c r="I7" s="679" t="s">
        <v>988</v>
      </c>
      <c r="J7" s="610">
        <v>2793</v>
      </c>
      <c r="K7" s="610">
        <v>2837</v>
      </c>
      <c r="L7" s="610">
        <v>1950</v>
      </c>
      <c r="M7" s="610">
        <v>2846</v>
      </c>
      <c r="N7" s="610">
        <v>3206</v>
      </c>
      <c r="O7" s="610">
        <v>3125</v>
      </c>
      <c r="P7" s="610">
        <v>3679</v>
      </c>
      <c r="Q7" s="610">
        <v>12284</v>
      </c>
      <c r="R7" s="610">
        <v>13103</v>
      </c>
      <c r="S7" s="610">
        <v>13769</v>
      </c>
      <c r="T7" s="610">
        <v>13784</v>
      </c>
      <c r="U7" s="610">
        <v>14925</v>
      </c>
      <c r="V7" s="610">
        <v>16494</v>
      </c>
      <c r="W7" s="610">
        <v>17064</v>
      </c>
      <c r="X7" s="610">
        <v>17525</v>
      </c>
      <c r="Y7" s="610">
        <v>17526</v>
      </c>
      <c r="Z7" s="610">
        <v>18665</v>
      </c>
      <c r="AA7" s="610">
        <v>18849</v>
      </c>
      <c r="AB7" s="610">
        <v>19145</v>
      </c>
      <c r="AC7" s="610">
        <v>19267</v>
      </c>
      <c r="AD7" s="610">
        <v>19246</v>
      </c>
      <c r="AE7" s="610">
        <v>19248</v>
      </c>
      <c r="AF7" s="610">
        <v>19265</v>
      </c>
      <c r="AG7" s="610">
        <v>19269</v>
      </c>
      <c r="AH7" s="610">
        <v>20625</v>
      </c>
      <c r="AI7" s="610">
        <v>22045</v>
      </c>
      <c r="AJ7" s="610">
        <v>22047</v>
      </c>
      <c r="AK7" s="610">
        <v>22048</v>
      </c>
      <c r="AL7" s="610">
        <v>22145</v>
      </c>
      <c r="AM7" s="610">
        <v>22146</v>
      </c>
      <c r="AN7" s="610">
        <v>21648</v>
      </c>
      <c r="AO7" s="610">
        <v>21812</v>
      </c>
      <c r="AP7" s="610">
        <v>21814</v>
      </c>
      <c r="AQ7" s="610">
        <v>22085</v>
      </c>
      <c r="AR7" s="610">
        <v>22225</v>
      </c>
      <c r="AS7" s="610">
        <v>18925</v>
      </c>
      <c r="AT7" s="610">
        <v>18985</v>
      </c>
      <c r="AU7" s="610">
        <v>19146</v>
      </c>
      <c r="AV7" s="610">
        <v>25262</v>
      </c>
      <c r="AW7" s="610">
        <v>24782</v>
      </c>
    </row>
    <row r="8" spans="2:49">
      <c r="B8" s="213"/>
      <c r="C8" s="212" t="s">
        <v>582</v>
      </c>
      <c r="D8" s="211" t="s">
        <v>581</v>
      </c>
      <c r="E8" s="211" t="s">
        <v>581</v>
      </c>
      <c r="F8" s="211" t="s">
        <v>581</v>
      </c>
      <c r="G8" s="211" t="s">
        <v>581</v>
      </c>
      <c r="H8" s="211" t="s">
        <v>581</v>
      </c>
      <c r="I8" s="211" t="s">
        <v>581</v>
      </c>
      <c r="J8" s="211" t="s">
        <v>581</v>
      </c>
      <c r="K8" s="211" t="s">
        <v>581</v>
      </c>
      <c r="L8" s="211" t="s">
        <v>581</v>
      </c>
      <c r="M8" s="211" t="s">
        <v>581</v>
      </c>
      <c r="N8" s="211" t="s">
        <v>581</v>
      </c>
      <c r="O8" s="211" t="s">
        <v>581</v>
      </c>
      <c r="P8" s="211" t="s">
        <v>581</v>
      </c>
      <c r="Q8" s="211" t="s">
        <v>581</v>
      </c>
      <c r="R8" s="211" t="s">
        <v>581</v>
      </c>
      <c r="S8" s="211" t="s">
        <v>581</v>
      </c>
      <c r="T8" s="211" t="s">
        <v>581</v>
      </c>
      <c r="U8" s="211" t="s">
        <v>581</v>
      </c>
      <c r="V8" s="211" t="s">
        <v>581</v>
      </c>
      <c r="W8" s="211" t="s">
        <v>581</v>
      </c>
      <c r="X8" s="211" t="s">
        <v>581</v>
      </c>
      <c r="Y8" s="211" t="s">
        <v>581</v>
      </c>
      <c r="Z8" s="211" t="s">
        <v>581</v>
      </c>
      <c r="AA8" s="211" t="s">
        <v>581</v>
      </c>
      <c r="AB8" s="211" t="s">
        <v>581</v>
      </c>
      <c r="AC8" s="211" t="s">
        <v>581</v>
      </c>
      <c r="AD8" s="211" t="s">
        <v>581</v>
      </c>
      <c r="AE8" s="211" t="s">
        <v>581</v>
      </c>
      <c r="AF8" s="211" t="s">
        <v>581</v>
      </c>
      <c r="AG8" s="211" t="s">
        <v>581</v>
      </c>
      <c r="AH8" s="211" t="s">
        <v>581</v>
      </c>
      <c r="AI8" s="211" t="s">
        <v>581</v>
      </c>
      <c r="AJ8" s="211" t="s">
        <v>581</v>
      </c>
      <c r="AK8" s="211" t="s">
        <v>581</v>
      </c>
      <c r="AL8" s="211" t="s">
        <v>581</v>
      </c>
      <c r="AM8" s="211" t="s">
        <v>581</v>
      </c>
      <c r="AN8" s="211" t="s">
        <v>581</v>
      </c>
      <c r="AO8" s="211" t="s">
        <v>581</v>
      </c>
      <c r="AP8" s="211" t="s">
        <v>581</v>
      </c>
      <c r="AQ8" s="211" t="s">
        <v>581</v>
      </c>
      <c r="AR8" s="211" t="s">
        <v>581</v>
      </c>
      <c r="AS8" s="211" t="s">
        <v>581</v>
      </c>
      <c r="AT8" s="211" t="s">
        <v>581</v>
      </c>
      <c r="AU8" s="211" t="s">
        <v>581</v>
      </c>
      <c r="AV8" s="211" t="s">
        <v>581</v>
      </c>
      <c r="AW8" s="211" t="s">
        <v>581</v>
      </c>
    </row>
    <row r="9" spans="2:49" ht="15" customHeight="1">
      <c r="B9" s="213"/>
      <c r="C9" s="212" t="s">
        <v>580</v>
      </c>
      <c r="D9" s="211" t="s">
        <v>579</v>
      </c>
      <c r="E9" s="211" t="s">
        <v>579</v>
      </c>
      <c r="F9" s="211" t="s">
        <v>579</v>
      </c>
      <c r="G9" s="211" t="s">
        <v>579</v>
      </c>
      <c r="H9" s="211" t="s">
        <v>948</v>
      </c>
      <c r="I9" s="211" t="s">
        <v>948</v>
      </c>
      <c r="J9" s="211" t="s">
        <v>948</v>
      </c>
      <c r="K9" s="211" t="s">
        <v>948</v>
      </c>
      <c r="L9" s="211" t="s">
        <v>579</v>
      </c>
      <c r="M9" s="211" t="s">
        <v>579</v>
      </c>
      <c r="N9" s="211" t="s">
        <v>579</v>
      </c>
      <c r="O9" s="211" t="s">
        <v>579</v>
      </c>
      <c r="P9" s="211" t="s">
        <v>579</v>
      </c>
      <c r="Q9" s="211" t="s">
        <v>948</v>
      </c>
      <c r="R9" s="211" t="s">
        <v>948</v>
      </c>
      <c r="S9" s="211" t="s">
        <v>948</v>
      </c>
      <c r="T9" s="211" t="s">
        <v>948</v>
      </c>
      <c r="U9" s="211" t="s">
        <v>948</v>
      </c>
      <c r="V9" s="211" t="s">
        <v>948</v>
      </c>
      <c r="W9" s="211" t="s">
        <v>948</v>
      </c>
      <c r="X9" s="211" t="s">
        <v>948</v>
      </c>
      <c r="Y9" s="211" t="s">
        <v>948</v>
      </c>
      <c r="Z9" s="211" t="s">
        <v>948</v>
      </c>
      <c r="AA9" s="211" t="s">
        <v>948</v>
      </c>
      <c r="AB9" s="211" t="s">
        <v>948</v>
      </c>
      <c r="AC9" s="211" t="s">
        <v>948</v>
      </c>
      <c r="AD9" s="211" t="s">
        <v>948</v>
      </c>
      <c r="AE9" s="211" t="s">
        <v>948</v>
      </c>
      <c r="AF9" s="211" t="s">
        <v>948</v>
      </c>
      <c r="AG9" s="211" t="s">
        <v>948</v>
      </c>
      <c r="AH9" s="211" t="s">
        <v>948</v>
      </c>
      <c r="AI9" s="211" t="s">
        <v>948</v>
      </c>
      <c r="AJ9" s="211" t="s">
        <v>948</v>
      </c>
      <c r="AK9" s="211" t="s">
        <v>948</v>
      </c>
      <c r="AL9" s="211" t="s">
        <v>948</v>
      </c>
      <c r="AM9" s="211" t="s">
        <v>948</v>
      </c>
      <c r="AN9" s="211" t="s">
        <v>948</v>
      </c>
      <c r="AO9" s="211" t="s">
        <v>948</v>
      </c>
      <c r="AP9" s="211" t="s">
        <v>948</v>
      </c>
      <c r="AQ9" s="211" t="s">
        <v>948</v>
      </c>
      <c r="AR9" s="211" t="s">
        <v>948</v>
      </c>
      <c r="AS9" s="211" t="s">
        <v>948</v>
      </c>
      <c r="AT9" s="211" t="s">
        <v>948</v>
      </c>
      <c r="AU9" s="211" t="s">
        <v>948</v>
      </c>
      <c r="AV9" s="211" t="s">
        <v>948</v>
      </c>
      <c r="AW9" s="211" t="s">
        <v>948</v>
      </c>
    </row>
    <row r="10" spans="2:49">
      <c r="B10" s="210" t="s">
        <v>578</v>
      </c>
      <c r="C10" s="686">
        <v>45627</v>
      </c>
      <c r="D10" s="177">
        <f t="shared" ref="D10:D22" si="0">D74+D89</f>
        <v>141497040.90000001</v>
      </c>
      <c r="E10" s="178">
        <f t="shared" ref="E10:Z22" si="1">E74+E89</f>
        <v>88185651.480000004</v>
      </c>
      <c r="F10" s="177">
        <f t="shared" si="1"/>
        <v>140835822.94999999</v>
      </c>
      <c r="G10" s="178">
        <f t="shared" si="1"/>
        <v>8744623.370000001</v>
      </c>
      <c r="H10" s="177">
        <f t="shared" si="1"/>
        <v>1250002.3199999998</v>
      </c>
      <c r="I10" s="178">
        <f t="shared" si="1"/>
        <v>1964606.7600000002</v>
      </c>
      <c r="J10" s="177">
        <f t="shared" si="1"/>
        <v>8871.1299999999992</v>
      </c>
      <c r="K10" s="178">
        <f t="shared" si="1"/>
        <v>520817.72</v>
      </c>
      <c r="L10" s="177">
        <f t="shared" si="1"/>
        <v>14493691.1</v>
      </c>
      <c r="M10" s="178">
        <f t="shared" si="1"/>
        <v>120240494.91999999</v>
      </c>
      <c r="N10" s="179">
        <f t="shared" si="1"/>
        <v>26023325.859999999</v>
      </c>
      <c r="O10" s="178">
        <f t="shared" si="1"/>
        <v>26387166.550000001</v>
      </c>
      <c r="P10" s="177">
        <f t="shared" si="1"/>
        <v>226959546.67000002</v>
      </c>
      <c r="Q10" s="176">
        <f t="shared" si="1"/>
        <v>7445003.0549999997</v>
      </c>
      <c r="R10" s="177">
        <f t="shared" si="1"/>
        <v>20293204.114999998</v>
      </c>
      <c r="S10" s="176">
        <f t="shared" si="1"/>
        <v>8423892.3200000003</v>
      </c>
      <c r="T10" s="177">
        <f t="shared" si="1"/>
        <v>6687277.9850000013</v>
      </c>
      <c r="U10" s="176">
        <f t="shared" si="1"/>
        <v>2664959.2099999995</v>
      </c>
      <c r="V10" s="177">
        <f t="shared" si="1"/>
        <v>216107.64499999999</v>
      </c>
      <c r="W10" s="176">
        <f t="shared" si="1"/>
        <v>52197.684999999998</v>
      </c>
      <c r="X10" s="177">
        <f t="shared" si="1"/>
        <v>7276440.8300000001</v>
      </c>
      <c r="Y10" s="176">
        <f t="shared" si="1"/>
        <v>539931.54499999993</v>
      </c>
      <c r="Z10" s="177">
        <f t="shared" si="1"/>
        <v>2495795.73</v>
      </c>
      <c r="AA10" s="176">
        <f t="shared" ref="AA10:AQ21" si="2">AA74+AA89</f>
        <v>3367348.1749999998</v>
      </c>
      <c r="AB10" s="177">
        <f t="shared" si="2"/>
        <v>6345349.0500000007</v>
      </c>
      <c r="AC10" s="176">
        <f t="shared" si="2"/>
        <v>66596.285000000003</v>
      </c>
      <c r="AD10" s="177">
        <f t="shared" si="2"/>
        <v>182733.28999999998</v>
      </c>
      <c r="AE10" s="178">
        <f t="shared" si="2"/>
        <v>108109.07999999999</v>
      </c>
      <c r="AF10" s="177">
        <f t="shared" si="2"/>
        <v>0</v>
      </c>
      <c r="AG10" s="178">
        <f t="shared" si="2"/>
        <v>237889.26500000001</v>
      </c>
      <c r="AH10" s="177">
        <f t="shared" si="2"/>
        <v>4543062.1449999996</v>
      </c>
      <c r="AI10" s="178">
        <f t="shared" si="2"/>
        <v>22439.57</v>
      </c>
      <c r="AJ10" s="177">
        <f t="shared" si="2"/>
        <v>637853.9</v>
      </c>
      <c r="AK10" s="178">
        <f t="shared" si="2"/>
        <v>42758.51</v>
      </c>
      <c r="AL10" s="177">
        <f t="shared" si="2"/>
        <v>2953111.68</v>
      </c>
      <c r="AM10" s="178">
        <f t="shared" si="2"/>
        <v>1294205.33</v>
      </c>
      <c r="AN10" s="179">
        <f t="shared" si="2"/>
        <v>3286856.7549999999</v>
      </c>
      <c r="AO10" s="178">
        <f t="shared" si="2"/>
        <v>502255.58</v>
      </c>
      <c r="AP10" s="177">
        <f t="shared" si="2"/>
        <v>2833396.2236361243</v>
      </c>
      <c r="AQ10" s="176">
        <f t="shared" si="2"/>
        <v>93.535057335187503</v>
      </c>
      <c r="AR10" s="177">
        <f t="shared" ref="AR10:AU22" si="3">AR74+AR89</f>
        <v>2292730.9933802718</v>
      </c>
      <c r="AS10" s="176">
        <f t="shared" si="3"/>
        <v>0</v>
      </c>
      <c r="AT10" s="177">
        <f t="shared" si="3"/>
        <v>0</v>
      </c>
      <c r="AU10" s="178">
        <f t="shared" si="3"/>
        <v>0</v>
      </c>
      <c r="AV10" s="177">
        <f t="shared" ref="AV10:AW10" si="4">AV74+AV89</f>
        <v>3370694.6349999998</v>
      </c>
      <c r="AW10" s="176">
        <f t="shared" si="4"/>
        <v>4412148.9450000003</v>
      </c>
    </row>
    <row r="11" spans="2:49">
      <c r="B11" s="201" t="s">
        <v>577</v>
      </c>
      <c r="C11" s="681">
        <v>45658</v>
      </c>
      <c r="D11" s="171">
        <f t="shared" si="0"/>
        <v>141497040.90000001</v>
      </c>
      <c r="E11" s="172">
        <f t="shared" ref="E11:S11" si="5">E75+E90</f>
        <v>88185651.480000004</v>
      </c>
      <c r="F11" s="171">
        <f t="shared" si="5"/>
        <v>140835822.94999999</v>
      </c>
      <c r="G11" s="172">
        <f t="shared" si="5"/>
        <v>8744623.370000001</v>
      </c>
      <c r="H11" s="171">
        <f t="shared" si="5"/>
        <v>1250002.3199999998</v>
      </c>
      <c r="I11" s="172">
        <f t="shared" si="5"/>
        <v>1964606.7600000002</v>
      </c>
      <c r="J11" s="171">
        <f t="shared" si="5"/>
        <v>8871.1299999999992</v>
      </c>
      <c r="K11" s="172">
        <f t="shared" si="5"/>
        <v>520817.72</v>
      </c>
      <c r="L11" s="171">
        <f t="shared" si="5"/>
        <v>14493691.1</v>
      </c>
      <c r="M11" s="172">
        <f t="shared" si="5"/>
        <v>120240494.91999999</v>
      </c>
      <c r="N11" s="173">
        <f t="shared" si="5"/>
        <v>26023325.859999999</v>
      </c>
      <c r="O11" s="172">
        <f t="shared" si="5"/>
        <v>26387166.550000001</v>
      </c>
      <c r="P11" s="171">
        <f t="shared" si="5"/>
        <v>226959546.67000002</v>
      </c>
      <c r="Q11" s="170">
        <f t="shared" si="5"/>
        <v>7445003.0549999997</v>
      </c>
      <c r="R11" s="171">
        <f t="shared" si="5"/>
        <v>20293204.114999998</v>
      </c>
      <c r="S11" s="170">
        <f t="shared" si="5"/>
        <v>8423892.3200000003</v>
      </c>
      <c r="T11" s="171">
        <f t="shared" si="1"/>
        <v>6687277.9850000013</v>
      </c>
      <c r="U11" s="170">
        <f t="shared" si="1"/>
        <v>2664959.2099999995</v>
      </c>
      <c r="V11" s="171">
        <f t="shared" si="1"/>
        <v>216107.64499999999</v>
      </c>
      <c r="W11" s="170">
        <f t="shared" si="1"/>
        <v>52197.684999999998</v>
      </c>
      <c r="X11" s="171">
        <f t="shared" si="1"/>
        <v>7276440.8300000001</v>
      </c>
      <c r="Y11" s="170">
        <f t="shared" si="1"/>
        <v>539931.54499999993</v>
      </c>
      <c r="Z11" s="171">
        <f t="shared" si="1"/>
        <v>2495795.73</v>
      </c>
      <c r="AA11" s="170">
        <f t="shared" si="2"/>
        <v>3367348.1749999998</v>
      </c>
      <c r="AB11" s="171">
        <f t="shared" si="2"/>
        <v>6345349.0500000007</v>
      </c>
      <c r="AC11" s="170">
        <f t="shared" si="2"/>
        <v>66596.285000000003</v>
      </c>
      <c r="AD11" s="171">
        <f t="shared" si="2"/>
        <v>182733.28999999998</v>
      </c>
      <c r="AE11" s="172">
        <f t="shared" si="2"/>
        <v>108109.07999999999</v>
      </c>
      <c r="AF11" s="171">
        <f t="shared" si="2"/>
        <v>0</v>
      </c>
      <c r="AG11" s="172">
        <f t="shared" si="2"/>
        <v>237889.26500000001</v>
      </c>
      <c r="AH11" s="171">
        <f t="shared" si="2"/>
        <v>4543062.1449999996</v>
      </c>
      <c r="AI11" s="172">
        <f t="shared" si="2"/>
        <v>22439.57</v>
      </c>
      <c r="AJ11" s="171">
        <f t="shared" si="2"/>
        <v>637853.9</v>
      </c>
      <c r="AK11" s="172">
        <f t="shared" si="2"/>
        <v>42758.51</v>
      </c>
      <c r="AL11" s="171">
        <f t="shared" si="2"/>
        <v>2953111.68</v>
      </c>
      <c r="AM11" s="172">
        <f t="shared" si="2"/>
        <v>1294205.33</v>
      </c>
      <c r="AN11" s="173">
        <f t="shared" si="2"/>
        <v>3286856.7549999999</v>
      </c>
      <c r="AO11" s="172">
        <f t="shared" si="2"/>
        <v>502255.58</v>
      </c>
      <c r="AP11" s="171">
        <f t="shared" si="2"/>
        <v>2833396.2236361243</v>
      </c>
      <c r="AQ11" s="170">
        <f t="shared" si="2"/>
        <v>93.535057335187503</v>
      </c>
      <c r="AR11" s="171">
        <f t="shared" si="3"/>
        <v>2292730.9933802718</v>
      </c>
      <c r="AS11" s="170">
        <f t="shared" si="3"/>
        <v>0</v>
      </c>
      <c r="AT11" s="171">
        <f t="shared" si="3"/>
        <v>0</v>
      </c>
      <c r="AU11" s="172">
        <f t="shared" si="3"/>
        <v>0</v>
      </c>
      <c r="AV11" s="171">
        <f t="shared" ref="AV11:AW11" si="6">AV75+AV90</f>
        <v>3370694.6349999998</v>
      </c>
      <c r="AW11" s="170">
        <f t="shared" si="6"/>
        <v>4412148.9450000003</v>
      </c>
    </row>
    <row r="12" spans="2:49">
      <c r="B12" s="201"/>
      <c r="C12" s="682">
        <v>45689</v>
      </c>
      <c r="D12" s="171">
        <f t="shared" si="0"/>
        <v>141497040.90000001</v>
      </c>
      <c r="E12" s="172">
        <f t="shared" si="1"/>
        <v>88185651.480000004</v>
      </c>
      <c r="F12" s="171">
        <f t="shared" si="1"/>
        <v>140835822.94999999</v>
      </c>
      <c r="G12" s="172">
        <f t="shared" si="1"/>
        <v>8744623.370000001</v>
      </c>
      <c r="H12" s="171">
        <f t="shared" si="1"/>
        <v>1250002.3199999998</v>
      </c>
      <c r="I12" s="172">
        <f t="shared" si="1"/>
        <v>1964606.7600000002</v>
      </c>
      <c r="J12" s="171">
        <f t="shared" si="1"/>
        <v>8871.1299999999992</v>
      </c>
      <c r="K12" s="172">
        <f t="shared" si="1"/>
        <v>520817.72</v>
      </c>
      <c r="L12" s="171">
        <f t="shared" si="1"/>
        <v>14493691.1</v>
      </c>
      <c r="M12" s="172">
        <f t="shared" si="1"/>
        <v>120240494.91999999</v>
      </c>
      <c r="N12" s="173">
        <f t="shared" si="1"/>
        <v>26023325.859999999</v>
      </c>
      <c r="O12" s="172">
        <f t="shared" si="1"/>
        <v>26387166.550000001</v>
      </c>
      <c r="P12" s="171">
        <f t="shared" si="1"/>
        <v>226959546.67000002</v>
      </c>
      <c r="Q12" s="170">
        <f t="shared" si="1"/>
        <v>7445003.0549999997</v>
      </c>
      <c r="R12" s="171">
        <f t="shared" si="1"/>
        <v>20293204.114999998</v>
      </c>
      <c r="S12" s="170">
        <f t="shared" si="1"/>
        <v>8423892.3200000003</v>
      </c>
      <c r="T12" s="171">
        <f t="shared" si="1"/>
        <v>6687277.9850000013</v>
      </c>
      <c r="U12" s="170">
        <f t="shared" si="1"/>
        <v>2664959.2099999995</v>
      </c>
      <c r="V12" s="171">
        <f t="shared" si="1"/>
        <v>216107.64499999999</v>
      </c>
      <c r="W12" s="170">
        <f t="shared" si="1"/>
        <v>52197.684999999998</v>
      </c>
      <c r="X12" s="171">
        <f t="shared" si="1"/>
        <v>7276440.8300000001</v>
      </c>
      <c r="Y12" s="170">
        <f t="shared" si="1"/>
        <v>539931.54499999993</v>
      </c>
      <c r="Z12" s="171">
        <f t="shared" si="1"/>
        <v>2495795.73</v>
      </c>
      <c r="AA12" s="170">
        <f t="shared" si="2"/>
        <v>3367348.1749999998</v>
      </c>
      <c r="AB12" s="171">
        <f t="shared" si="2"/>
        <v>6345349.0500000007</v>
      </c>
      <c r="AC12" s="170">
        <f t="shared" si="2"/>
        <v>66596.285000000003</v>
      </c>
      <c r="AD12" s="171">
        <f t="shared" si="2"/>
        <v>182733.28999999998</v>
      </c>
      <c r="AE12" s="172">
        <f t="shared" si="2"/>
        <v>108109.07999999999</v>
      </c>
      <c r="AF12" s="171">
        <f t="shared" si="2"/>
        <v>1625629.398459</v>
      </c>
      <c r="AG12" s="172">
        <f t="shared" si="2"/>
        <v>237889.26500000001</v>
      </c>
      <c r="AH12" s="171">
        <f t="shared" si="2"/>
        <v>4543062.1449999996</v>
      </c>
      <c r="AI12" s="172">
        <f t="shared" si="2"/>
        <v>22439.57</v>
      </c>
      <c r="AJ12" s="171">
        <f t="shared" si="2"/>
        <v>637853.9</v>
      </c>
      <c r="AK12" s="172">
        <f t="shared" si="2"/>
        <v>42758.51</v>
      </c>
      <c r="AL12" s="171">
        <f t="shared" si="2"/>
        <v>2953111.68</v>
      </c>
      <c r="AM12" s="172">
        <f t="shared" si="2"/>
        <v>1294205.33</v>
      </c>
      <c r="AN12" s="173">
        <f t="shared" si="2"/>
        <v>3286856.7549999999</v>
      </c>
      <c r="AO12" s="172">
        <f t="shared" si="2"/>
        <v>502255.58</v>
      </c>
      <c r="AP12" s="171">
        <f t="shared" si="2"/>
        <v>2833396.2236361243</v>
      </c>
      <c r="AQ12" s="170">
        <f t="shared" si="2"/>
        <v>93.535057335187503</v>
      </c>
      <c r="AR12" s="171">
        <f t="shared" si="3"/>
        <v>2292730.9933802718</v>
      </c>
      <c r="AS12" s="170">
        <f t="shared" si="3"/>
        <v>0</v>
      </c>
      <c r="AT12" s="171">
        <f t="shared" si="3"/>
        <v>16264736.624500899</v>
      </c>
      <c r="AU12" s="172">
        <f t="shared" si="3"/>
        <v>7567365.6961317286</v>
      </c>
      <c r="AV12" s="171">
        <f t="shared" ref="AV12:AW12" si="7">AV76+AV91</f>
        <v>3370694.6349999998</v>
      </c>
      <c r="AW12" s="170">
        <f t="shared" si="7"/>
        <v>4412148.9450000003</v>
      </c>
    </row>
    <row r="13" spans="2:49">
      <c r="B13" s="201"/>
      <c r="C13" s="682">
        <v>45717</v>
      </c>
      <c r="D13" s="171">
        <f t="shared" si="0"/>
        <v>141497040.90000001</v>
      </c>
      <c r="E13" s="172">
        <f t="shared" si="1"/>
        <v>88185651.480000004</v>
      </c>
      <c r="F13" s="171">
        <f t="shared" si="1"/>
        <v>140835822.94999999</v>
      </c>
      <c r="G13" s="172">
        <f t="shared" si="1"/>
        <v>8744623.370000001</v>
      </c>
      <c r="H13" s="171">
        <f t="shared" si="1"/>
        <v>1250002.3199999998</v>
      </c>
      <c r="I13" s="172">
        <f t="shared" si="1"/>
        <v>1964606.7600000002</v>
      </c>
      <c r="J13" s="171">
        <f t="shared" si="1"/>
        <v>8871.1299999999992</v>
      </c>
      <c r="K13" s="172">
        <f t="shared" si="1"/>
        <v>520817.72</v>
      </c>
      <c r="L13" s="171">
        <f t="shared" si="1"/>
        <v>14493691.1</v>
      </c>
      <c r="M13" s="172">
        <f t="shared" si="1"/>
        <v>120240494.91999999</v>
      </c>
      <c r="N13" s="173">
        <f t="shared" si="1"/>
        <v>26023325.859999999</v>
      </c>
      <c r="O13" s="172">
        <f t="shared" si="1"/>
        <v>26387166.550000001</v>
      </c>
      <c r="P13" s="171">
        <f t="shared" si="1"/>
        <v>226959546.67000002</v>
      </c>
      <c r="Q13" s="170">
        <f t="shared" si="1"/>
        <v>7445003.0549999997</v>
      </c>
      <c r="R13" s="171">
        <f t="shared" si="1"/>
        <v>20293204.114999998</v>
      </c>
      <c r="S13" s="170">
        <f t="shared" si="1"/>
        <v>8423892.3200000003</v>
      </c>
      <c r="T13" s="171">
        <f t="shared" si="1"/>
        <v>6687277.9850000013</v>
      </c>
      <c r="U13" s="170">
        <f t="shared" si="1"/>
        <v>2664959.2099999995</v>
      </c>
      <c r="V13" s="171">
        <f t="shared" si="1"/>
        <v>216107.64499999999</v>
      </c>
      <c r="W13" s="170">
        <f t="shared" si="1"/>
        <v>52197.684999999998</v>
      </c>
      <c r="X13" s="171">
        <f t="shared" si="1"/>
        <v>7276440.8300000001</v>
      </c>
      <c r="Y13" s="170">
        <f t="shared" si="1"/>
        <v>539931.54499999993</v>
      </c>
      <c r="Z13" s="171">
        <f t="shared" si="1"/>
        <v>2495795.73</v>
      </c>
      <c r="AA13" s="170">
        <f t="shared" si="2"/>
        <v>3367348.1749999998</v>
      </c>
      <c r="AB13" s="171">
        <f>AB77+AB92</f>
        <v>6345349.0500000007</v>
      </c>
      <c r="AC13" s="170">
        <f t="shared" si="2"/>
        <v>66596.285000000003</v>
      </c>
      <c r="AD13" s="171">
        <f t="shared" si="2"/>
        <v>182733.28999999998</v>
      </c>
      <c r="AE13" s="172">
        <f t="shared" si="2"/>
        <v>108109.07999999999</v>
      </c>
      <c r="AF13" s="171">
        <f t="shared" si="2"/>
        <v>1625629.398459</v>
      </c>
      <c r="AG13" s="172">
        <f t="shared" si="2"/>
        <v>237889.26500000001</v>
      </c>
      <c r="AH13" s="171">
        <f t="shared" si="2"/>
        <v>4543062.1449999996</v>
      </c>
      <c r="AI13" s="172">
        <f t="shared" si="2"/>
        <v>22439.57</v>
      </c>
      <c r="AJ13" s="171">
        <f t="shared" si="2"/>
        <v>637853.9</v>
      </c>
      <c r="AK13" s="172">
        <f t="shared" si="2"/>
        <v>42758.51</v>
      </c>
      <c r="AL13" s="171">
        <f t="shared" si="2"/>
        <v>2953111.68</v>
      </c>
      <c r="AM13" s="172">
        <f t="shared" si="2"/>
        <v>1294205.33</v>
      </c>
      <c r="AN13" s="173">
        <f t="shared" si="2"/>
        <v>3286856.7549999999</v>
      </c>
      <c r="AO13" s="172">
        <f t="shared" si="2"/>
        <v>502255.58</v>
      </c>
      <c r="AP13" s="171">
        <f t="shared" si="2"/>
        <v>2833396.2236361243</v>
      </c>
      <c r="AQ13" s="170">
        <f t="shared" si="2"/>
        <v>93.535057335187503</v>
      </c>
      <c r="AR13" s="171">
        <f t="shared" si="3"/>
        <v>2292730.9933802718</v>
      </c>
      <c r="AS13" s="170">
        <f t="shared" si="3"/>
        <v>0</v>
      </c>
      <c r="AT13" s="171">
        <f t="shared" si="3"/>
        <v>16264736.624500899</v>
      </c>
      <c r="AU13" s="172">
        <f t="shared" si="3"/>
        <v>7567365.6961317286</v>
      </c>
      <c r="AV13" s="171">
        <f t="shared" ref="AV13:AW13" si="8">AV77+AV92</f>
        <v>3370694.6349999998</v>
      </c>
      <c r="AW13" s="170">
        <f t="shared" si="8"/>
        <v>4412148.9450000003</v>
      </c>
    </row>
    <row r="14" spans="2:49">
      <c r="B14" s="201"/>
      <c r="C14" s="682">
        <v>45748</v>
      </c>
      <c r="D14" s="171">
        <f t="shared" si="0"/>
        <v>141497040.90000001</v>
      </c>
      <c r="E14" s="172">
        <f t="shared" si="1"/>
        <v>88185651.480000004</v>
      </c>
      <c r="F14" s="171">
        <f t="shared" si="1"/>
        <v>140835822.94999999</v>
      </c>
      <c r="G14" s="172">
        <f t="shared" si="1"/>
        <v>8744623.370000001</v>
      </c>
      <c r="H14" s="171">
        <f t="shared" si="1"/>
        <v>1250002.3199999998</v>
      </c>
      <c r="I14" s="172">
        <f t="shared" si="1"/>
        <v>1964606.7600000002</v>
      </c>
      <c r="J14" s="171">
        <f t="shared" si="1"/>
        <v>8871.1299999999992</v>
      </c>
      <c r="K14" s="172">
        <f t="shared" si="1"/>
        <v>520817.72</v>
      </c>
      <c r="L14" s="171">
        <f t="shared" si="1"/>
        <v>14493691.1</v>
      </c>
      <c r="M14" s="172">
        <f t="shared" si="1"/>
        <v>120240494.91999999</v>
      </c>
      <c r="N14" s="173">
        <f t="shared" si="1"/>
        <v>26023325.859999999</v>
      </c>
      <c r="O14" s="172">
        <f t="shared" si="1"/>
        <v>26387166.550000001</v>
      </c>
      <c r="P14" s="171">
        <f t="shared" si="1"/>
        <v>226959546.67000002</v>
      </c>
      <c r="Q14" s="170">
        <f t="shared" si="1"/>
        <v>7445003.0549999997</v>
      </c>
      <c r="R14" s="171">
        <f t="shared" si="1"/>
        <v>20293204.114999998</v>
      </c>
      <c r="S14" s="170">
        <f t="shared" si="1"/>
        <v>8423892.3200000003</v>
      </c>
      <c r="T14" s="171">
        <f t="shared" si="1"/>
        <v>6687277.9850000013</v>
      </c>
      <c r="U14" s="170">
        <f t="shared" si="1"/>
        <v>2664959.2099999995</v>
      </c>
      <c r="V14" s="171">
        <f t="shared" si="1"/>
        <v>216107.64499999999</v>
      </c>
      <c r="W14" s="170">
        <f t="shared" si="1"/>
        <v>52197.684999999998</v>
      </c>
      <c r="X14" s="171">
        <f t="shared" si="1"/>
        <v>7276440.8300000001</v>
      </c>
      <c r="Y14" s="170">
        <f t="shared" si="1"/>
        <v>539931.54499999993</v>
      </c>
      <c r="Z14" s="171">
        <f t="shared" si="1"/>
        <v>2495795.73</v>
      </c>
      <c r="AA14" s="170">
        <f t="shared" si="2"/>
        <v>3367348.1749999998</v>
      </c>
      <c r="AB14" s="171">
        <f t="shared" si="2"/>
        <v>6345349.0500000007</v>
      </c>
      <c r="AC14" s="170">
        <f t="shared" si="2"/>
        <v>66596.285000000003</v>
      </c>
      <c r="AD14" s="171">
        <f t="shared" si="2"/>
        <v>182733.28999999998</v>
      </c>
      <c r="AE14" s="172">
        <f t="shared" si="2"/>
        <v>108109.07999999999</v>
      </c>
      <c r="AF14" s="171">
        <f t="shared" si="2"/>
        <v>1625629.398459</v>
      </c>
      <c r="AG14" s="172">
        <f t="shared" si="2"/>
        <v>237889.26500000001</v>
      </c>
      <c r="AH14" s="171">
        <f t="shared" si="2"/>
        <v>4543062.1449999996</v>
      </c>
      <c r="AI14" s="172">
        <f t="shared" si="2"/>
        <v>22439.57</v>
      </c>
      <c r="AJ14" s="171">
        <f t="shared" si="2"/>
        <v>637853.9</v>
      </c>
      <c r="AK14" s="172">
        <f t="shared" si="2"/>
        <v>42758.51</v>
      </c>
      <c r="AL14" s="171">
        <f t="shared" si="2"/>
        <v>2953111.68</v>
      </c>
      <c r="AM14" s="172">
        <f t="shared" si="2"/>
        <v>1294205.33</v>
      </c>
      <c r="AN14" s="173">
        <f t="shared" si="2"/>
        <v>3286856.7549999999</v>
      </c>
      <c r="AO14" s="172">
        <f t="shared" si="2"/>
        <v>502255.58</v>
      </c>
      <c r="AP14" s="171">
        <f t="shared" si="2"/>
        <v>2833396.2236361243</v>
      </c>
      <c r="AQ14" s="170">
        <f t="shared" si="2"/>
        <v>93.535057335187503</v>
      </c>
      <c r="AR14" s="171">
        <f t="shared" si="3"/>
        <v>2292730.9933802718</v>
      </c>
      <c r="AS14" s="170">
        <f t="shared" si="3"/>
        <v>0</v>
      </c>
      <c r="AT14" s="171">
        <f t="shared" si="3"/>
        <v>16264736.624500899</v>
      </c>
      <c r="AU14" s="172">
        <f t="shared" si="3"/>
        <v>7567365.6961317286</v>
      </c>
      <c r="AV14" s="171">
        <f t="shared" ref="AV14:AW14" si="9">AV78+AV93</f>
        <v>3370694.6349999998</v>
      </c>
      <c r="AW14" s="170">
        <f t="shared" si="9"/>
        <v>4412148.9450000003</v>
      </c>
    </row>
    <row r="15" spans="2:49">
      <c r="B15" s="201"/>
      <c r="C15" s="682">
        <v>45778</v>
      </c>
      <c r="D15" s="171">
        <f t="shared" si="0"/>
        <v>141497040.90000001</v>
      </c>
      <c r="E15" s="172">
        <f t="shared" si="1"/>
        <v>88185651.480000004</v>
      </c>
      <c r="F15" s="171">
        <f t="shared" si="1"/>
        <v>140835822.94999999</v>
      </c>
      <c r="G15" s="172">
        <f t="shared" si="1"/>
        <v>8744623.370000001</v>
      </c>
      <c r="H15" s="171">
        <f t="shared" si="1"/>
        <v>1250002.3199999998</v>
      </c>
      <c r="I15" s="172">
        <f t="shared" si="1"/>
        <v>1964606.7600000002</v>
      </c>
      <c r="J15" s="171">
        <f t="shared" si="1"/>
        <v>8871.1299999999992</v>
      </c>
      <c r="K15" s="172">
        <f t="shared" si="1"/>
        <v>520817.72</v>
      </c>
      <c r="L15" s="171">
        <f t="shared" si="1"/>
        <v>14493691.1</v>
      </c>
      <c r="M15" s="172">
        <f t="shared" si="1"/>
        <v>120240494.91999999</v>
      </c>
      <c r="N15" s="173">
        <f t="shared" si="1"/>
        <v>26023325.859999999</v>
      </c>
      <c r="O15" s="172">
        <f t="shared" si="1"/>
        <v>26387166.550000001</v>
      </c>
      <c r="P15" s="171">
        <f t="shared" si="1"/>
        <v>226959546.67000002</v>
      </c>
      <c r="Q15" s="170">
        <f t="shared" si="1"/>
        <v>7445003.0549999997</v>
      </c>
      <c r="R15" s="171">
        <f t="shared" si="1"/>
        <v>20293204.114999998</v>
      </c>
      <c r="S15" s="170">
        <f t="shared" si="1"/>
        <v>8423892.3200000003</v>
      </c>
      <c r="T15" s="171">
        <f t="shared" si="1"/>
        <v>6687277.9850000013</v>
      </c>
      <c r="U15" s="170">
        <f t="shared" si="1"/>
        <v>2664959.2099999995</v>
      </c>
      <c r="V15" s="171">
        <f t="shared" si="1"/>
        <v>216107.64499999999</v>
      </c>
      <c r="W15" s="170">
        <f t="shared" si="1"/>
        <v>52197.684999999998</v>
      </c>
      <c r="X15" s="171">
        <f t="shared" si="1"/>
        <v>7276440.8300000001</v>
      </c>
      <c r="Y15" s="170">
        <f t="shared" si="1"/>
        <v>539931.54499999993</v>
      </c>
      <c r="Z15" s="171">
        <f t="shared" si="1"/>
        <v>2495795.73</v>
      </c>
      <c r="AA15" s="170">
        <f t="shared" si="2"/>
        <v>3367348.1749999998</v>
      </c>
      <c r="AB15" s="171">
        <f t="shared" si="2"/>
        <v>6345349.0500000007</v>
      </c>
      <c r="AC15" s="170">
        <f t="shared" si="2"/>
        <v>66596.285000000003</v>
      </c>
      <c r="AD15" s="171">
        <f t="shared" si="2"/>
        <v>182733.28999999998</v>
      </c>
      <c r="AE15" s="172">
        <f t="shared" si="2"/>
        <v>108109.07999999999</v>
      </c>
      <c r="AF15" s="171">
        <f t="shared" si="2"/>
        <v>1625629.398459</v>
      </c>
      <c r="AG15" s="172">
        <f t="shared" si="2"/>
        <v>237889.26500000001</v>
      </c>
      <c r="AH15" s="171">
        <f t="shared" si="2"/>
        <v>4543062.1449999996</v>
      </c>
      <c r="AI15" s="172">
        <f t="shared" si="2"/>
        <v>22439.57</v>
      </c>
      <c r="AJ15" s="171">
        <f t="shared" si="2"/>
        <v>637853.9</v>
      </c>
      <c r="AK15" s="172">
        <f t="shared" si="2"/>
        <v>42758.51</v>
      </c>
      <c r="AL15" s="171">
        <f t="shared" si="2"/>
        <v>2953111.68</v>
      </c>
      <c r="AM15" s="172">
        <f t="shared" si="2"/>
        <v>1294205.33</v>
      </c>
      <c r="AN15" s="173">
        <f t="shared" si="2"/>
        <v>3286856.7549999999</v>
      </c>
      <c r="AO15" s="172">
        <f t="shared" si="2"/>
        <v>502255.58</v>
      </c>
      <c r="AP15" s="171">
        <f t="shared" si="2"/>
        <v>2833396.2236361243</v>
      </c>
      <c r="AQ15" s="170">
        <f t="shared" si="2"/>
        <v>93.535057335187503</v>
      </c>
      <c r="AR15" s="171">
        <f t="shared" si="3"/>
        <v>2292730.9933802718</v>
      </c>
      <c r="AS15" s="170">
        <f t="shared" si="3"/>
        <v>0</v>
      </c>
      <c r="AT15" s="171">
        <f t="shared" si="3"/>
        <v>16264736.624500899</v>
      </c>
      <c r="AU15" s="172">
        <f t="shared" si="3"/>
        <v>7567365.6961317286</v>
      </c>
      <c r="AV15" s="171">
        <f t="shared" ref="AV15:AW15" si="10">AV79+AV94</f>
        <v>3370694.6349999998</v>
      </c>
      <c r="AW15" s="170">
        <f t="shared" si="10"/>
        <v>4412148.9450000003</v>
      </c>
    </row>
    <row r="16" spans="2:49">
      <c r="B16" s="201"/>
      <c r="C16" s="682">
        <v>45809</v>
      </c>
      <c r="D16" s="171">
        <f t="shared" si="0"/>
        <v>141497040.90000001</v>
      </c>
      <c r="E16" s="172">
        <f t="shared" si="1"/>
        <v>88185651.480000004</v>
      </c>
      <c r="F16" s="171">
        <f t="shared" si="1"/>
        <v>140835822.94999999</v>
      </c>
      <c r="G16" s="172">
        <f t="shared" si="1"/>
        <v>8744623.370000001</v>
      </c>
      <c r="H16" s="171">
        <f t="shared" si="1"/>
        <v>1250002.3199999998</v>
      </c>
      <c r="I16" s="172">
        <f t="shared" si="1"/>
        <v>1964606.7600000002</v>
      </c>
      <c r="J16" s="171">
        <f t="shared" si="1"/>
        <v>8871.1299999999992</v>
      </c>
      <c r="K16" s="172">
        <f t="shared" si="1"/>
        <v>520817.72</v>
      </c>
      <c r="L16" s="171">
        <f t="shared" si="1"/>
        <v>14493691.1</v>
      </c>
      <c r="M16" s="172">
        <f t="shared" si="1"/>
        <v>120240494.91999999</v>
      </c>
      <c r="N16" s="173">
        <f t="shared" si="1"/>
        <v>26023325.859999999</v>
      </c>
      <c r="O16" s="172">
        <f t="shared" si="1"/>
        <v>26387166.550000001</v>
      </c>
      <c r="P16" s="171">
        <f t="shared" si="1"/>
        <v>226959546.67000002</v>
      </c>
      <c r="Q16" s="170">
        <f t="shared" si="1"/>
        <v>7445003.0549999997</v>
      </c>
      <c r="R16" s="171">
        <f t="shared" si="1"/>
        <v>20293204.114999998</v>
      </c>
      <c r="S16" s="170">
        <f t="shared" si="1"/>
        <v>8423892.3200000003</v>
      </c>
      <c r="T16" s="171">
        <f t="shared" si="1"/>
        <v>6687277.9850000013</v>
      </c>
      <c r="U16" s="170">
        <f t="shared" si="1"/>
        <v>2664959.2099999995</v>
      </c>
      <c r="V16" s="171">
        <f t="shared" si="1"/>
        <v>216107.64499999999</v>
      </c>
      <c r="W16" s="170">
        <f t="shared" si="1"/>
        <v>52197.684999999998</v>
      </c>
      <c r="X16" s="171">
        <f t="shared" si="1"/>
        <v>7276440.8300000001</v>
      </c>
      <c r="Y16" s="170">
        <f t="shared" si="1"/>
        <v>539931.54499999993</v>
      </c>
      <c r="Z16" s="171">
        <f t="shared" si="1"/>
        <v>2495795.73</v>
      </c>
      <c r="AA16" s="170">
        <f t="shared" si="2"/>
        <v>3367348.1749999998</v>
      </c>
      <c r="AB16" s="171">
        <f t="shared" si="2"/>
        <v>6345349.0500000007</v>
      </c>
      <c r="AC16" s="170">
        <f t="shared" si="2"/>
        <v>66596.285000000003</v>
      </c>
      <c r="AD16" s="171">
        <f t="shared" si="2"/>
        <v>182733.28999999998</v>
      </c>
      <c r="AE16" s="172">
        <f t="shared" si="2"/>
        <v>108109.07999999999</v>
      </c>
      <c r="AF16" s="171">
        <f t="shared" si="2"/>
        <v>1625629.398459</v>
      </c>
      <c r="AG16" s="172">
        <f t="shared" si="2"/>
        <v>237889.26500000001</v>
      </c>
      <c r="AH16" s="171">
        <f t="shared" si="2"/>
        <v>4543062.1449999996</v>
      </c>
      <c r="AI16" s="172">
        <f t="shared" si="2"/>
        <v>22439.57</v>
      </c>
      <c r="AJ16" s="171">
        <f t="shared" si="2"/>
        <v>637853.9</v>
      </c>
      <c r="AK16" s="172">
        <f t="shared" si="2"/>
        <v>42758.51</v>
      </c>
      <c r="AL16" s="171">
        <f t="shared" si="2"/>
        <v>2953111.68</v>
      </c>
      <c r="AM16" s="172">
        <f t="shared" si="2"/>
        <v>1294205.33</v>
      </c>
      <c r="AN16" s="173">
        <f t="shared" si="2"/>
        <v>3286856.7549999999</v>
      </c>
      <c r="AO16" s="172">
        <f t="shared" si="2"/>
        <v>502255.58</v>
      </c>
      <c r="AP16" s="171">
        <f t="shared" si="2"/>
        <v>2833396.2236361243</v>
      </c>
      <c r="AQ16" s="170">
        <f t="shared" si="2"/>
        <v>93.535057335187503</v>
      </c>
      <c r="AR16" s="171">
        <f t="shared" si="3"/>
        <v>2292730.9933802718</v>
      </c>
      <c r="AS16" s="170">
        <f t="shared" si="3"/>
        <v>3037225.3355919542</v>
      </c>
      <c r="AT16" s="171">
        <f t="shared" si="3"/>
        <v>16264736.624500899</v>
      </c>
      <c r="AU16" s="172">
        <f t="shared" si="3"/>
        <v>7567365.6961317286</v>
      </c>
      <c r="AV16" s="171">
        <f t="shared" ref="AV16:AW16" si="11">AV80+AV95</f>
        <v>3370694.6349999998</v>
      </c>
      <c r="AW16" s="170">
        <f t="shared" si="11"/>
        <v>4412148.9450000003</v>
      </c>
    </row>
    <row r="17" spans="2:51">
      <c r="B17" s="201"/>
      <c r="C17" s="682">
        <v>45839</v>
      </c>
      <c r="D17" s="171">
        <f t="shared" si="0"/>
        <v>141497040.90000001</v>
      </c>
      <c r="E17" s="172">
        <f t="shared" si="1"/>
        <v>88185651.480000004</v>
      </c>
      <c r="F17" s="171">
        <f t="shared" si="1"/>
        <v>140835822.94999999</v>
      </c>
      <c r="G17" s="172">
        <f t="shared" si="1"/>
        <v>8744623.370000001</v>
      </c>
      <c r="H17" s="171">
        <f t="shared" si="1"/>
        <v>1250002.3199999998</v>
      </c>
      <c r="I17" s="172">
        <f t="shared" si="1"/>
        <v>1964606.7600000002</v>
      </c>
      <c r="J17" s="171">
        <f t="shared" si="1"/>
        <v>8871.1299999999992</v>
      </c>
      <c r="K17" s="172">
        <f t="shared" si="1"/>
        <v>520817.72</v>
      </c>
      <c r="L17" s="171">
        <f t="shared" si="1"/>
        <v>14493691.1</v>
      </c>
      <c r="M17" s="172">
        <f t="shared" si="1"/>
        <v>120240494.91999999</v>
      </c>
      <c r="N17" s="173">
        <f t="shared" si="1"/>
        <v>26023325.859999999</v>
      </c>
      <c r="O17" s="172">
        <f t="shared" si="1"/>
        <v>26387166.550000001</v>
      </c>
      <c r="P17" s="171">
        <f t="shared" si="1"/>
        <v>226959546.67000002</v>
      </c>
      <c r="Q17" s="170">
        <f t="shared" si="1"/>
        <v>7445003.0549999997</v>
      </c>
      <c r="R17" s="171">
        <f t="shared" si="1"/>
        <v>20293204.114999998</v>
      </c>
      <c r="S17" s="170">
        <f t="shared" si="1"/>
        <v>8423892.3200000003</v>
      </c>
      <c r="T17" s="171">
        <f t="shared" si="1"/>
        <v>6687277.9850000013</v>
      </c>
      <c r="U17" s="170">
        <f t="shared" si="1"/>
        <v>2664959.2099999995</v>
      </c>
      <c r="V17" s="171">
        <f t="shared" si="1"/>
        <v>216107.64499999999</v>
      </c>
      <c r="W17" s="170">
        <f t="shared" si="1"/>
        <v>52197.684999999998</v>
      </c>
      <c r="X17" s="171">
        <f t="shared" si="1"/>
        <v>7276440.8300000001</v>
      </c>
      <c r="Y17" s="170">
        <f t="shared" si="1"/>
        <v>539931.54499999993</v>
      </c>
      <c r="Z17" s="171">
        <f t="shared" si="1"/>
        <v>2495795.73</v>
      </c>
      <c r="AA17" s="170">
        <f t="shared" si="2"/>
        <v>3367348.1749999998</v>
      </c>
      <c r="AB17" s="171">
        <f t="shared" si="2"/>
        <v>6345349.0500000007</v>
      </c>
      <c r="AC17" s="170">
        <f t="shared" si="2"/>
        <v>66596.285000000003</v>
      </c>
      <c r="AD17" s="171">
        <f t="shared" si="2"/>
        <v>182733.28999999998</v>
      </c>
      <c r="AE17" s="172">
        <f t="shared" si="2"/>
        <v>108109.07999999999</v>
      </c>
      <c r="AF17" s="171">
        <f t="shared" si="2"/>
        <v>1625629.398459</v>
      </c>
      <c r="AG17" s="172">
        <f t="shared" si="2"/>
        <v>237889.26500000001</v>
      </c>
      <c r="AH17" s="171">
        <f t="shared" si="2"/>
        <v>4543062.1449999996</v>
      </c>
      <c r="AI17" s="172">
        <f t="shared" si="2"/>
        <v>22439.57</v>
      </c>
      <c r="AJ17" s="171">
        <f t="shared" si="2"/>
        <v>637853.9</v>
      </c>
      <c r="AK17" s="172">
        <f t="shared" si="2"/>
        <v>42758.51</v>
      </c>
      <c r="AL17" s="171">
        <f t="shared" si="2"/>
        <v>2953111.68</v>
      </c>
      <c r="AM17" s="172">
        <f t="shared" si="2"/>
        <v>1294205.33</v>
      </c>
      <c r="AN17" s="173">
        <f t="shared" si="2"/>
        <v>3286856.7549999999</v>
      </c>
      <c r="AO17" s="172">
        <f t="shared" si="2"/>
        <v>502255.58</v>
      </c>
      <c r="AP17" s="171">
        <f t="shared" si="2"/>
        <v>2833396.2236361243</v>
      </c>
      <c r="AQ17" s="170">
        <f t="shared" si="2"/>
        <v>93.535057335187503</v>
      </c>
      <c r="AR17" s="171">
        <f t="shared" si="3"/>
        <v>2292730.9933802718</v>
      </c>
      <c r="AS17" s="170">
        <f t="shared" si="3"/>
        <v>3037225.3355919542</v>
      </c>
      <c r="AT17" s="171">
        <f t="shared" si="3"/>
        <v>16264736.624500899</v>
      </c>
      <c r="AU17" s="172">
        <f t="shared" si="3"/>
        <v>7567365.6961317286</v>
      </c>
      <c r="AV17" s="171">
        <f t="shared" ref="AV17:AW17" si="12">AV81+AV96</f>
        <v>3370694.6349999998</v>
      </c>
      <c r="AW17" s="170">
        <f t="shared" si="12"/>
        <v>4412148.9450000003</v>
      </c>
      <c r="AX17" s="538"/>
      <c r="AY17" s="165"/>
    </row>
    <row r="18" spans="2:51">
      <c r="B18" s="201"/>
      <c r="C18" s="682">
        <v>45870</v>
      </c>
      <c r="D18" s="171">
        <f t="shared" si="0"/>
        <v>141497040.90000001</v>
      </c>
      <c r="E18" s="172">
        <f t="shared" si="1"/>
        <v>88185651.480000004</v>
      </c>
      <c r="F18" s="171">
        <f t="shared" si="1"/>
        <v>140835822.94999999</v>
      </c>
      <c r="G18" s="172">
        <f t="shared" si="1"/>
        <v>8744623.370000001</v>
      </c>
      <c r="H18" s="171">
        <f t="shared" si="1"/>
        <v>1250002.3199999998</v>
      </c>
      <c r="I18" s="172">
        <f t="shared" si="1"/>
        <v>1964606.7600000002</v>
      </c>
      <c r="J18" s="171">
        <f t="shared" si="1"/>
        <v>8871.1299999999992</v>
      </c>
      <c r="K18" s="172">
        <f t="shared" si="1"/>
        <v>520817.72</v>
      </c>
      <c r="L18" s="171">
        <f t="shared" si="1"/>
        <v>14493691.1</v>
      </c>
      <c r="M18" s="172">
        <f t="shared" si="1"/>
        <v>120240494.91999999</v>
      </c>
      <c r="N18" s="173">
        <f t="shared" si="1"/>
        <v>26023325.859999999</v>
      </c>
      <c r="O18" s="172">
        <f t="shared" si="1"/>
        <v>26387166.550000001</v>
      </c>
      <c r="P18" s="171">
        <f t="shared" si="1"/>
        <v>226959546.67000002</v>
      </c>
      <c r="Q18" s="170">
        <f t="shared" si="1"/>
        <v>7445003.0549999997</v>
      </c>
      <c r="R18" s="171">
        <f t="shared" si="1"/>
        <v>20293204.114999998</v>
      </c>
      <c r="S18" s="170">
        <f t="shared" si="1"/>
        <v>8423892.3200000003</v>
      </c>
      <c r="T18" s="171">
        <f t="shared" si="1"/>
        <v>6687277.9850000013</v>
      </c>
      <c r="U18" s="170">
        <f t="shared" si="1"/>
        <v>2664959.2099999995</v>
      </c>
      <c r="V18" s="171">
        <f t="shared" si="1"/>
        <v>216107.64499999999</v>
      </c>
      <c r="W18" s="170">
        <f t="shared" si="1"/>
        <v>52197.684999999998</v>
      </c>
      <c r="X18" s="171">
        <f t="shared" si="1"/>
        <v>7276440.8300000001</v>
      </c>
      <c r="Y18" s="170">
        <f t="shared" si="1"/>
        <v>539931.54499999993</v>
      </c>
      <c r="Z18" s="171">
        <f t="shared" si="1"/>
        <v>2495795.73</v>
      </c>
      <c r="AA18" s="170">
        <f t="shared" si="2"/>
        <v>3367348.1749999998</v>
      </c>
      <c r="AB18" s="171">
        <f t="shared" si="2"/>
        <v>6345349.0500000007</v>
      </c>
      <c r="AC18" s="170">
        <f t="shared" si="2"/>
        <v>66596.285000000003</v>
      </c>
      <c r="AD18" s="171">
        <f t="shared" si="2"/>
        <v>182733.28999999998</v>
      </c>
      <c r="AE18" s="172">
        <f t="shared" si="2"/>
        <v>108109.07999999999</v>
      </c>
      <c r="AF18" s="171">
        <f t="shared" si="2"/>
        <v>1625629.398459</v>
      </c>
      <c r="AG18" s="172">
        <f t="shared" si="2"/>
        <v>237889.26500000001</v>
      </c>
      <c r="AH18" s="171">
        <f t="shared" si="2"/>
        <v>4543062.1449999996</v>
      </c>
      <c r="AI18" s="172">
        <f t="shared" si="2"/>
        <v>22439.57</v>
      </c>
      <c r="AJ18" s="171">
        <f t="shared" si="2"/>
        <v>637853.9</v>
      </c>
      <c r="AK18" s="172">
        <f t="shared" si="2"/>
        <v>42758.51</v>
      </c>
      <c r="AL18" s="171">
        <f t="shared" si="2"/>
        <v>2953111.68</v>
      </c>
      <c r="AM18" s="172">
        <f t="shared" si="2"/>
        <v>1294205.33</v>
      </c>
      <c r="AN18" s="173">
        <f t="shared" si="2"/>
        <v>3286856.7549999999</v>
      </c>
      <c r="AO18" s="172">
        <f t="shared" si="2"/>
        <v>502255.58</v>
      </c>
      <c r="AP18" s="171">
        <f t="shared" si="2"/>
        <v>2833396.2236361243</v>
      </c>
      <c r="AQ18" s="170">
        <f t="shared" si="2"/>
        <v>93.535057335187503</v>
      </c>
      <c r="AR18" s="171">
        <f t="shared" si="3"/>
        <v>2292730.9933802718</v>
      </c>
      <c r="AS18" s="170">
        <f t="shared" si="3"/>
        <v>3037225.3355919542</v>
      </c>
      <c r="AT18" s="171">
        <f t="shared" si="3"/>
        <v>16264736.624500899</v>
      </c>
      <c r="AU18" s="172">
        <f t="shared" si="3"/>
        <v>7567365.6961317286</v>
      </c>
      <c r="AV18" s="171">
        <f t="shared" ref="AV18:AW18" si="13">AV82+AV97</f>
        <v>3370694.6349999998</v>
      </c>
      <c r="AW18" s="170">
        <f t="shared" si="13"/>
        <v>4412148.9450000003</v>
      </c>
      <c r="AX18" s="538"/>
      <c r="AY18" s="165"/>
    </row>
    <row r="19" spans="2:51">
      <c r="B19" s="201"/>
      <c r="C19" s="682">
        <v>45901</v>
      </c>
      <c r="D19" s="171">
        <f t="shared" si="0"/>
        <v>141497040.90000001</v>
      </c>
      <c r="E19" s="172">
        <f t="shared" si="1"/>
        <v>88185651.480000004</v>
      </c>
      <c r="F19" s="171">
        <f t="shared" si="1"/>
        <v>140835822.94999999</v>
      </c>
      <c r="G19" s="172">
        <f t="shared" si="1"/>
        <v>8744623.370000001</v>
      </c>
      <c r="H19" s="171">
        <f t="shared" si="1"/>
        <v>1250002.3199999998</v>
      </c>
      <c r="I19" s="172">
        <f t="shared" si="1"/>
        <v>1964606.7600000002</v>
      </c>
      <c r="J19" s="171">
        <f t="shared" si="1"/>
        <v>8871.1299999999992</v>
      </c>
      <c r="K19" s="172">
        <f t="shared" si="1"/>
        <v>520817.72</v>
      </c>
      <c r="L19" s="171">
        <f t="shared" si="1"/>
        <v>14493691.1</v>
      </c>
      <c r="M19" s="172">
        <f t="shared" si="1"/>
        <v>120240494.91999999</v>
      </c>
      <c r="N19" s="173">
        <f t="shared" si="1"/>
        <v>26023325.859999999</v>
      </c>
      <c r="O19" s="172">
        <f t="shared" si="1"/>
        <v>26387166.550000001</v>
      </c>
      <c r="P19" s="171">
        <f t="shared" si="1"/>
        <v>226959546.67000002</v>
      </c>
      <c r="Q19" s="170">
        <f t="shared" si="1"/>
        <v>7445003.0549999997</v>
      </c>
      <c r="R19" s="171">
        <f t="shared" si="1"/>
        <v>20293204.114999998</v>
      </c>
      <c r="S19" s="170">
        <f t="shared" si="1"/>
        <v>8423892.3200000003</v>
      </c>
      <c r="T19" s="171">
        <f t="shared" si="1"/>
        <v>6687277.9850000013</v>
      </c>
      <c r="U19" s="170">
        <f t="shared" si="1"/>
        <v>2664959.2099999995</v>
      </c>
      <c r="V19" s="171">
        <f t="shared" si="1"/>
        <v>216107.64499999999</v>
      </c>
      <c r="W19" s="170">
        <f t="shared" si="1"/>
        <v>52197.684999999998</v>
      </c>
      <c r="X19" s="171">
        <f t="shared" si="1"/>
        <v>7276440.8300000001</v>
      </c>
      <c r="Y19" s="170">
        <f t="shared" si="1"/>
        <v>539931.54499999993</v>
      </c>
      <c r="Z19" s="171">
        <f t="shared" si="1"/>
        <v>2495795.73</v>
      </c>
      <c r="AA19" s="170">
        <f t="shared" si="2"/>
        <v>3367348.1749999998</v>
      </c>
      <c r="AB19" s="171">
        <f t="shared" si="2"/>
        <v>6345349.0500000007</v>
      </c>
      <c r="AC19" s="170">
        <f t="shared" si="2"/>
        <v>66596.285000000003</v>
      </c>
      <c r="AD19" s="171">
        <f t="shared" si="2"/>
        <v>182733.28999999998</v>
      </c>
      <c r="AE19" s="172">
        <f t="shared" si="2"/>
        <v>108109.07999999999</v>
      </c>
      <c r="AF19" s="171">
        <f t="shared" si="2"/>
        <v>1625629.398459</v>
      </c>
      <c r="AG19" s="172">
        <f t="shared" si="2"/>
        <v>237889.26500000001</v>
      </c>
      <c r="AH19" s="171">
        <f t="shared" si="2"/>
        <v>4543062.1449999996</v>
      </c>
      <c r="AI19" s="172">
        <f t="shared" si="2"/>
        <v>22439.57</v>
      </c>
      <c r="AJ19" s="171">
        <f t="shared" si="2"/>
        <v>637853.9</v>
      </c>
      <c r="AK19" s="172">
        <f t="shared" si="2"/>
        <v>42758.51</v>
      </c>
      <c r="AL19" s="171">
        <f t="shared" si="2"/>
        <v>2953111.68</v>
      </c>
      <c r="AM19" s="172">
        <f t="shared" si="2"/>
        <v>1294205.33</v>
      </c>
      <c r="AN19" s="173">
        <f t="shared" si="2"/>
        <v>3286856.7549999999</v>
      </c>
      <c r="AO19" s="172">
        <f t="shared" si="2"/>
        <v>502255.58</v>
      </c>
      <c r="AP19" s="171">
        <f t="shared" si="2"/>
        <v>2833396.2236361243</v>
      </c>
      <c r="AQ19" s="170">
        <f t="shared" si="2"/>
        <v>93.535057335187503</v>
      </c>
      <c r="AR19" s="171">
        <f t="shared" si="3"/>
        <v>2292730.9933802718</v>
      </c>
      <c r="AS19" s="170">
        <f t="shared" si="3"/>
        <v>3037225.3355919542</v>
      </c>
      <c r="AT19" s="171">
        <f t="shared" si="3"/>
        <v>16264736.624500899</v>
      </c>
      <c r="AU19" s="172">
        <f t="shared" si="3"/>
        <v>7567365.6961317286</v>
      </c>
      <c r="AV19" s="171">
        <f t="shared" ref="AV19:AW19" si="14">AV83+AV98</f>
        <v>3370694.6349999998</v>
      </c>
      <c r="AW19" s="170">
        <f t="shared" si="14"/>
        <v>4412148.9450000003</v>
      </c>
      <c r="AX19" s="538"/>
      <c r="AY19" s="165"/>
    </row>
    <row r="20" spans="2:51">
      <c r="B20" s="201"/>
      <c r="C20" s="682">
        <v>45931</v>
      </c>
      <c r="D20" s="171">
        <f t="shared" si="0"/>
        <v>141497040.90000001</v>
      </c>
      <c r="E20" s="172">
        <f t="shared" si="1"/>
        <v>88185651.480000004</v>
      </c>
      <c r="F20" s="171">
        <f t="shared" si="1"/>
        <v>140835822.94999999</v>
      </c>
      <c r="G20" s="172">
        <f t="shared" si="1"/>
        <v>8744623.370000001</v>
      </c>
      <c r="H20" s="171">
        <f t="shared" si="1"/>
        <v>1250002.3199999998</v>
      </c>
      <c r="I20" s="172">
        <f t="shared" si="1"/>
        <v>1964606.7600000002</v>
      </c>
      <c r="J20" s="171">
        <f t="shared" si="1"/>
        <v>8871.1299999999992</v>
      </c>
      <c r="K20" s="172">
        <f t="shared" si="1"/>
        <v>520817.72</v>
      </c>
      <c r="L20" s="171">
        <f t="shared" si="1"/>
        <v>14493691.1</v>
      </c>
      <c r="M20" s="172">
        <f t="shared" si="1"/>
        <v>120240494.91999999</v>
      </c>
      <c r="N20" s="173">
        <f t="shared" si="1"/>
        <v>26023325.859999999</v>
      </c>
      <c r="O20" s="172">
        <f t="shared" si="1"/>
        <v>26387166.550000001</v>
      </c>
      <c r="P20" s="171">
        <f t="shared" si="1"/>
        <v>226959546.67000002</v>
      </c>
      <c r="Q20" s="170">
        <f t="shared" si="1"/>
        <v>7445003.0549999997</v>
      </c>
      <c r="R20" s="171">
        <f t="shared" si="1"/>
        <v>20293204.114999998</v>
      </c>
      <c r="S20" s="170">
        <f t="shared" si="1"/>
        <v>8423892.3200000003</v>
      </c>
      <c r="T20" s="171">
        <f t="shared" si="1"/>
        <v>6687277.9850000013</v>
      </c>
      <c r="U20" s="170">
        <f t="shared" si="1"/>
        <v>2664959.2099999995</v>
      </c>
      <c r="V20" s="171">
        <f t="shared" si="1"/>
        <v>216107.64499999999</v>
      </c>
      <c r="W20" s="170">
        <f t="shared" si="1"/>
        <v>52197.684999999998</v>
      </c>
      <c r="X20" s="171">
        <f t="shared" si="1"/>
        <v>7276440.8300000001</v>
      </c>
      <c r="Y20" s="170">
        <f t="shared" si="1"/>
        <v>539931.54499999993</v>
      </c>
      <c r="Z20" s="171">
        <f t="shared" si="1"/>
        <v>2495795.73</v>
      </c>
      <c r="AA20" s="170">
        <f t="shared" si="2"/>
        <v>3367348.1749999998</v>
      </c>
      <c r="AB20" s="171">
        <f t="shared" si="2"/>
        <v>6345349.0500000007</v>
      </c>
      <c r="AC20" s="170">
        <f t="shared" si="2"/>
        <v>66596.285000000003</v>
      </c>
      <c r="AD20" s="171">
        <f t="shared" si="2"/>
        <v>182733.28999999998</v>
      </c>
      <c r="AE20" s="172">
        <f t="shared" si="2"/>
        <v>108109.07999999999</v>
      </c>
      <c r="AF20" s="171">
        <f t="shared" si="2"/>
        <v>1625629.398459</v>
      </c>
      <c r="AG20" s="172">
        <f t="shared" si="2"/>
        <v>237889.26500000001</v>
      </c>
      <c r="AH20" s="171">
        <f t="shared" si="2"/>
        <v>4543062.1449999996</v>
      </c>
      <c r="AI20" s="172">
        <f t="shared" si="2"/>
        <v>22439.57</v>
      </c>
      <c r="AJ20" s="171">
        <f t="shared" si="2"/>
        <v>637853.9</v>
      </c>
      <c r="AK20" s="172">
        <f t="shared" si="2"/>
        <v>42758.51</v>
      </c>
      <c r="AL20" s="171">
        <f t="shared" si="2"/>
        <v>2953111.68</v>
      </c>
      <c r="AM20" s="172">
        <f t="shared" si="2"/>
        <v>1294205.33</v>
      </c>
      <c r="AN20" s="173">
        <f t="shared" si="2"/>
        <v>3286856.7549999999</v>
      </c>
      <c r="AO20" s="172">
        <f t="shared" si="2"/>
        <v>502255.58</v>
      </c>
      <c r="AP20" s="171">
        <f t="shared" si="2"/>
        <v>2833396.2236361243</v>
      </c>
      <c r="AQ20" s="170">
        <f t="shared" si="2"/>
        <v>93.535057335187503</v>
      </c>
      <c r="AR20" s="171">
        <f t="shared" si="3"/>
        <v>2292730.9933802718</v>
      </c>
      <c r="AS20" s="170">
        <f t="shared" si="3"/>
        <v>3037225.3355919542</v>
      </c>
      <c r="AT20" s="171">
        <f t="shared" si="3"/>
        <v>16264736.624500899</v>
      </c>
      <c r="AU20" s="172">
        <f t="shared" si="3"/>
        <v>7567365.6961317286</v>
      </c>
      <c r="AV20" s="171">
        <f t="shared" ref="AV20:AW20" si="15">AV84+AV99</f>
        <v>3370694.6349999998</v>
      </c>
      <c r="AW20" s="170">
        <f t="shared" si="15"/>
        <v>4412148.9450000003</v>
      </c>
      <c r="AX20" s="538"/>
      <c r="AY20" s="165"/>
    </row>
    <row r="21" spans="2:51">
      <c r="B21" s="201"/>
      <c r="C21" s="682">
        <v>45962</v>
      </c>
      <c r="D21" s="171">
        <f t="shared" si="0"/>
        <v>141497040.90000001</v>
      </c>
      <c r="E21" s="172">
        <f t="shared" si="1"/>
        <v>88185651.480000004</v>
      </c>
      <c r="F21" s="171">
        <f t="shared" si="1"/>
        <v>140835822.94999999</v>
      </c>
      <c r="G21" s="172">
        <f t="shared" si="1"/>
        <v>8744623.370000001</v>
      </c>
      <c r="H21" s="171">
        <f t="shared" si="1"/>
        <v>1250002.3199999998</v>
      </c>
      <c r="I21" s="172">
        <f t="shared" si="1"/>
        <v>1964606.7600000002</v>
      </c>
      <c r="J21" s="171">
        <f t="shared" si="1"/>
        <v>8871.1299999999992</v>
      </c>
      <c r="K21" s="172">
        <f t="shared" si="1"/>
        <v>520817.72</v>
      </c>
      <c r="L21" s="171">
        <f t="shared" si="1"/>
        <v>14493691.1</v>
      </c>
      <c r="M21" s="172">
        <f t="shared" si="1"/>
        <v>120240494.91999999</v>
      </c>
      <c r="N21" s="173">
        <f t="shared" si="1"/>
        <v>26023325.859999999</v>
      </c>
      <c r="O21" s="172">
        <f t="shared" si="1"/>
        <v>26387166.550000001</v>
      </c>
      <c r="P21" s="171">
        <f t="shared" si="1"/>
        <v>226959546.67000002</v>
      </c>
      <c r="Q21" s="170">
        <f t="shared" si="1"/>
        <v>7445003.0549999997</v>
      </c>
      <c r="R21" s="171">
        <f t="shared" si="1"/>
        <v>20293204.114999998</v>
      </c>
      <c r="S21" s="170">
        <f t="shared" si="1"/>
        <v>8423892.3200000003</v>
      </c>
      <c r="T21" s="171">
        <f t="shared" si="1"/>
        <v>6687277.9850000013</v>
      </c>
      <c r="U21" s="170">
        <f t="shared" si="1"/>
        <v>2664959.2099999995</v>
      </c>
      <c r="V21" s="171">
        <f t="shared" si="1"/>
        <v>216107.64499999999</v>
      </c>
      <c r="W21" s="170">
        <f t="shared" si="1"/>
        <v>52197.684999999998</v>
      </c>
      <c r="X21" s="171">
        <f t="shared" si="1"/>
        <v>7276440.8300000001</v>
      </c>
      <c r="Y21" s="170">
        <f t="shared" si="1"/>
        <v>539931.54499999993</v>
      </c>
      <c r="Z21" s="171">
        <f t="shared" si="1"/>
        <v>2495795.73</v>
      </c>
      <c r="AA21" s="170">
        <f t="shared" si="2"/>
        <v>3367348.1749999998</v>
      </c>
      <c r="AB21" s="171">
        <f t="shared" si="2"/>
        <v>6345349.0500000007</v>
      </c>
      <c r="AC21" s="170">
        <f t="shared" si="2"/>
        <v>66596.285000000003</v>
      </c>
      <c r="AD21" s="171">
        <f t="shared" si="2"/>
        <v>182733.28999999998</v>
      </c>
      <c r="AE21" s="172">
        <f t="shared" si="2"/>
        <v>108109.07999999999</v>
      </c>
      <c r="AF21" s="171">
        <f t="shared" si="2"/>
        <v>1625629.398459</v>
      </c>
      <c r="AG21" s="172">
        <f t="shared" si="2"/>
        <v>237889.26500000001</v>
      </c>
      <c r="AH21" s="171">
        <f t="shared" si="2"/>
        <v>4543062.1449999996</v>
      </c>
      <c r="AI21" s="172">
        <f t="shared" si="2"/>
        <v>22439.57</v>
      </c>
      <c r="AJ21" s="171">
        <f t="shared" si="2"/>
        <v>637853.9</v>
      </c>
      <c r="AK21" s="172">
        <f t="shared" si="2"/>
        <v>42758.51</v>
      </c>
      <c r="AL21" s="171">
        <f t="shared" si="2"/>
        <v>2953111.68</v>
      </c>
      <c r="AM21" s="172">
        <f t="shared" si="2"/>
        <v>1294205.33</v>
      </c>
      <c r="AN21" s="173">
        <f t="shared" si="2"/>
        <v>3286856.7549999999</v>
      </c>
      <c r="AO21" s="172">
        <f t="shared" si="2"/>
        <v>502255.58</v>
      </c>
      <c r="AP21" s="171">
        <f t="shared" si="2"/>
        <v>2833396.2236361243</v>
      </c>
      <c r="AQ21" s="170">
        <f t="shared" si="2"/>
        <v>93.535057335187503</v>
      </c>
      <c r="AR21" s="171">
        <f t="shared" si="3"/>
        <v>2292730.9933802718</v>
      </c>
      <c r="AS21" s="170">
        <f t="shared" si="3"/>
        <v>3037225.3355919542</v>
      </c>
      <c r="AT21" s="171">
        <f t="shared" si="3"/>
        <v>16264736.624500899</v>
      </c>
      <c r="AU21" s="172">
        <f t="shared" si="3"/>
        <v>7567365.6961317286</v>
      </c>
      <c r="AV21" s="171">
        <f t="shared" ref="AV21:AW21" si="16">AV85+AV100</f>
        <v>3370694.6349999998</v>
      </c>
      <c r="AW21" s="170">
        <f t="shared" si="16"/>
        <v>4412148.9450000003</v>
      </c>
      <c r="AX21" s="538"/>
      <c r="AY21" s="165"/>
    </row>
    <row r="22" spans="2:51">
      <c r="B22" s="175"/>
      <c r="C22" s="713">
        <v>45992</v>
      </c>
      <c r="D22" s="200">
        <f t="shared" si="0"/>
        <v>141497040.90000001</v>
      </c>
      <c r="E22" s="199">
        <f t="shared" si="1"/>
        <v>88185651.480000004</v>
      </c>
      <c r="F22" s="200">
        <f t="shared" si="1"/>
        <v>140835822.94999999</v>
      </c>
      <c r="G22" s="199">
        <f t="shared" si="1"/>
        <v>8744623.370000001</v>
      </c>
      <c r="H22" s="200">
        <f t="shared" si="1"/>
        <v>1250002.3199999998</v>
      </c>
      <c r="I22" s="199">
        <f t="shared" si="1"/>
        <v>1964606.7600000002</v>
      </c>
      <c r="J22" s="200">
        <f t="shared" si="1"/>
        <v>8871.1299999999992</v>
      </c>
      <c r="K22" s="199">
        <f t="shared" ref="K22:Z22" si="17">K86+K101</f>
        <v>520817.72</v>
      </c>
      <c r="L22" s="200">
        <f t="shared" si="17"/>
        <v>14493691.1</v>
      </c>
      <c r="M22" s="199">
        <f t="shared" si="17"/>
        <v>120240494.91999999</v>
      </c>
      <c r="N22" s="209">
        <f t="shared" si="17"/>
        <v>26023325.859999999</v>
      </c>
      <c r="O22" s="199">
        <f t="shared" si="17"/>
        <v>26387166.550000001</v>
      </c>
      <c r="P22" s="200">
        <f t="shared" si="17"/>
        <v>226959546.67000002</v>
      </c>
      <c r="Q22" s="208">
        <f t="shared" si="17"/>
        <v>7445003.0549999997</v>
      </c>
      <c r="R22" s="200">
        <f t="shared" si="17"/>
        <v>20293204.114999998</v>
      </c>
      <c r="S22" s="208">
        <f t="shared" si="17"/>
        <v>8423892.3200000003</v>
      </c>
      <c r="T22" s="200">
        <f t="shared" si="17"/>
        <v>6687277.9850000013</v>
      </c>
      <c r="U22" s="208">
        <f t="shared" si="17"/>
        <v>2664959.2099999995</v>
      </c>
      <c r="V22" s="200">
        <f t="shared" si="17"/>
        <v>216107.64499999999</v>
      </c>
      <c r="W22" s="208">
        <f t="shared" si="17"/>
        <v>52197.684999999998</v>
      </c>
      <c r="X22" s="200">
        <f t="shared" si="17"/>
        <v>7276440.8300000001</v>
      </c>
      <c r="Y22" s="208">
        <f t="shared" si="17"/>
        <v>539931.54499999993</v>
      </c>
      <c r="Z22" s="171">
        <f t="shared" si="17"/>
        <v>2495795.73</v>
      </c>
      <c r="AA22" s="208">
        <f t="shared" ref="AA22:AV22" si="18">AA86+AA101</f>
        <v>3367348.1749999998</v>
      </c>
      <c r="AB22" s="171">
        <f t="shared" si="18"/>
        <v>6345349.0500000007</v>
      </c>
      <c r="AC22" s="208">
        <f t="shared" si="18"/>
        <v>66596.285000000003</v>
      </c>
      <c r="AD22" s="200">
        <f t="shared" si="18"/>
        <v>182733.28999999998</v>
      </c>
      <c r="AE22" s="199">
        <f t="shared" si="18"/>
        <v>108109.07999999999</v>
      </c>
      <c r="AF22" s="200">
        <f t="shared" si="18"/>
        <v>1625629.398459</v>
      </c>
      <c r="AG22" s="199">
        <f t="shared" si="18"/>
        <v>237889.26500000001</v>
      </c>
      <c r="AH22" s="200">
        <f t="shared" si="18"/>
        <v>4543062.1449999996</v>
      </c>
      <c r="AI22" s="199">
        <f t="shared" si="18"/>
        <v>22439.57</v>
      </c>
      <c r="AJ22" s="200">
        <f t="shared" si="18"/>
        <v>637853.9</v>
      </c>
      <c r="AK22" s="199">
        <f t="shared" si="18"/>
        <v>42758.51</v>
      </c>
      <c r="AL22" s="200">
        <f t="shared" si="18"/>
        <v>2953111.68</v>
      </c>
      <c r="AM22" s="199">
        <f t="shared" si="18"/>
        <v>1294205.33</v>
      </c>
      <c r="AN22" s="209">
        <f t="shared" si="18"/>
        <v>3286856.7549999999</v>
      </c>
      <c r="AO22" s="199">
        <f t="shared" si="18"/>
        <v>502255.58</v>
      </c>
      <c r="AP22" s="200">
        <f t="shared" si="18"/>
        <v>2833396.2236361243</v>
      </c>
      <c r="AQ22" s="208">
        <f t="shared" si="18"/>
        <v>93.535057335187503</v>
      </c>
      <c r="AR22" s="200">
        <f t="shared" si="3"/>
        <v>2292730.9933802718</v>
      </c>
      <c r="AS22" s="208">
        <f t="shared" si="3"/>
        <v>3037225.3355919542</v>
      </c>
      <c r="AT22" s="200">
        <f t="shared" si="3"/>
        <v>16264736.624500899</v>
      </c>
      <c r="AU22" s="199">
        <f t="shared" si="3"/>
        <v>7567365.6961317286</v>
      </c>
      <c r="AV22" s="200">
        <f t="shared" si="18"/>
        <v>3370694.6349999998</v>
      </c>
      <c r="AW22" s="208">
        <f t="shared" ref="AW22" si="19">AW86+AW101</f>
        <v>4412148.9450000003</v>
      </c>
      <c r="AX22" s="538"/>
      <c r="AY22" s="165"/>
    </row>
    <row r="23" spans="2:51">
      <c r="B23" s="186"/>
      <c r="C23" s="193" t="s">
        <v>572</v>
      </c>
      <c r="D23" s="166">
        <f t="shared" ref="D23:M23" si="20">AVERAGE(D10:D22)</f>
        <v>141497040.90000004</v>
      </c>
      <c r="E23" s="166">
        <f t="shared" si="20"/>
        <v>88185651.480000004</v>
      </c>
      <c r="F23" s="166">
        <f t="shared" si="20"/>
        <v>140835822.95000002</v>
      </c>
      <c r="G23" s="166">
        <f t="shared" si="20"/>
        <v>8744623.3700000029</v>
      </c>
      <c r="H23" s="166">
        <f t="shared" si="20"/>
        <v>1250002.32</v>
      </c>
      <c r="I23" s="166">
        <f t="shared" si="20"/>
        <v>1964606.7600000005</v>
      </c>
      <c r="J23" s="166">
        <f t="shared" si="20"/>
        <v>8871.130000000001</v>
      </c>
      <c r="K23" s="166">
        <f t="shared" si="20"/>
        <v>520817.7199999998</v>
      </c>
      <c r="L23" s="166">
        <f t="shared" si="20"/>
        <v>14493691.099999996</v>
      </c>
      <c r="M23" s="166">
        <f t="shared" si="20"/>
        <v>120240494.92</v>
      </c>
      <c r="N23" s="166">
        <f t="shared" ref="N23:W23" si="21">AVERAGE(N10:N22)</f>
        <v>26023325.860000007</v>
      </c>
      <c r="O23" s="166">
        <f t="shared" si="21"/>
        <v>26387166.550000008</v>
      </c>
      <c r="P23" s="166">
        <f t="shared" si="21"/>
        <v>226959546.67000005</v>
      </c>
      <c r="Q23" s="166">
        <f t="shared" si="21"/>
        <v>7445003.0550000006</v>
      </c>
      <c r="R23" s="166">
        <f t="shared" si="21"/>
        <v>20293204.115000002</v>
      </c>
      <c r="S23" s="166">
        <f t="shared" si="21"/>
        <v>8423892.3199999966</v>
      </c>
      <c r="T23" s="166">
        <f t="shared" si="21"/>
        <v>6687277.9850000003</v>
      </c>
      <c r="U23" s="166">
        <f>AVERAGE(U10:U22)</f>
        <v>2664959.21</v>
      </c>
      <c r="V23" s="166">
        <f t="shared" si="21"/>
        <v>216107.64499999999</v>
      </c>
      <c r="W23" s="166">
        <f t="shared" si="21"/>
        <v>52197.685000000005</v>
      </c>
      <c r="X23" s="166">
        <f t="shared" ref="X23:AN23" si="22">AVERAGE(X10:X22)</f>
        <v>7276440.8299999991</v>
      </c>
      <c r="Y23" s="166">
        <f>AVERAGE(Y10:Y22)</f>
        <v>539931.54499999993</v>
      </c>
      <c r="Z23" s="166">
        <f t="shared" si="22"/>
        <v>2495795.73</v>
      </c>
      <c r="AA23" s="166">
        <f>AVERAGE(AA10:AA22)</f>
        <v>3367348.1749999993</v>
      </c>
      <c r="AB23" s="166">
        <f>AVERAGE(AB10:AB22)</f>
        <v>6345349.0499999989</v>
      </c>
      <c r="AC23" s="166">
        <f>AVERAGE(AC10:AC22)</f>
        <v>66596.285000000018</v>
      </c>
      <c r="AD23" s="166">
        <f t="shared" si="22"/>
        <v>182733.29</v>
      </c>
      <c r="AE23" s="166">
        <f t="shared" si="22"/>
        <v>108109.08</v>
      </c>
      <c r="AF23" s="166">
        <f t="shared" si="22"/>
        <v>1375532.5679268464</v>
      </c>
      <c r="AG23" s="166">
        <f t="shared" si="22"/>
        <v>237889.2650000001</v>
      </c>
      <c r="AH23" s="166">
        <f t="shared" si="22"/>
        <v>4543062.1449999977</v>
      </c>
      <c r="AI23" s="166">
        <f t="shared" si="22"/>
        <v>22439.570000000003</v>
      </c>
      <c r="AJ23" s="166">
        <f t="shared" si="22"/>
        <v>637853.90000000014</v>
      </c>
      <c r="AK23" s="166">
        <f t="shared" si="22"/>
        <v>42758.51</v>
      </c>
      <c r="AL23" s="166">
        <f t="shared" si="22"/>
        <v>2953111.68</v>
      </c>
      <c r="AM23" s="166">
        <f t="shared" si="22"/>
        <v>1294205.3299999998</v>
      </c>
      <c r="AN23" s="166">
        <f t="shared" si="22"/>
        <v>3286856.7549999999</v>
      </c>
      <c r="AO23" s="166">
        <f t="shared" ref="AO23:AU23" si="23">AVERAGE(AO10:AO22)</f>
        <v>502255.58</v>
      </c>
      <c r="AP23" s="166">
        <f t="shared" si="23"/>
        <v>2833396.2236361238</v>
      </c>
      <c r="AQ23" s="166">
        <f t="shared" si="23"/>
        <v>93.535057335187503</v>
      </c>
      <c r="AR23" s="166">
        <f t="shared" si="23"/>
        <v>2292730.9933802714</v>
      </c>
      <c r="AS23" s="166">
        <f t="shared" si="23"/>
        <v>1635429.0268572059</v>
      </c>
      <c r="AT23" s="166">
        <f t="shared" si="23"/>
        <v>13762469.45150076</v>
      </c>
      <c r="AU23" s="166">
        <f t="shared" si="23"/>
        <v>6403155.5890345415</v>
      </c>
      <c r="AV23" s="166">
        <f t="shared" ref="AV23:AW23" si="24">AVERAGE(AV10:AV22)</f>
        <v>3370694.6349999984</v>
      </c>
      <c r="AW23" s="166">
        <f t="shared" si="24"/>
        <v>4412148.9450000003</v>
      </c>
      <c r="AX23" s="320"/>
      <c r="AY23" s="537">
        <f>ROUND(SUM(D23:AX23),0)-ROUND(SUM('ATC Att GG ER21-2601'!F74:F124),0)</f>
        <v>-1</v>
      </c>
    </row>
    <row r="24" spans="2:51">
      <c r="B24" s="186"/>
      <c r="C24" s="168"/>
      <c r="D24" s="168"/>
      <c r="E24" s="168"/>
      <c r="F24" s="168"/>
      <c r="G24" s="168"/>
      <c r="H24" s="168"/>
      <c r="I24" s="168"/>
      <c r="J24" s="168"/>
      <c r="K24" s="168"/>
      <c r="L24" s="168"/>
      <c r="M24" s="168"/>
      <c r="N24" s="190"/>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90"/>
      <c r="AO24" s="168"/>
      <c r="AP24" s="168"/>
      <c r="AQ24" s="168"/>
      <c r="AR24" s="168"/>
      <c r="AS24" s="168"/>
      <c r="AT24" s="168"/>
      <c r="AU24" s="168"/>
      <c r="AV24" s="168"/>
      <c r="AW24" s="168"/>
      <c r="AX24" s="193"/>
      <c r="AY24" s="165"/>
    </row>
    <row r="25" spans="2:51">
      <c r="B25" s="186"/>
      <c r="C25" s="168"/>
      <c r="D25" s="168"/>
      <c r="E25" s="168"/>
      <c r="F25" s="168"/>
      <c r="G25" s="168"/>
      <c r="H25" s="168"/>
      <c r="I25" s="168"/>
      <c r="J25" s="168"/>
      <c r="K25" s="168"/>
      <c r="L25" s="168"/>
      <c r="M25" s="168"/>
      <c r="N25" s="190"/>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90"/>
      <c r="AO25" s="168"/>
      <c r="AP25" s="168"/>
      <c r="AQ25" s="168"/>
      <c r="AR25" s="168"/>
      <c r="AS25" s="168"/>
      <c r="AT25" s="168"/>
      <c r="AU25" s="168"/>
      <c r="AV25" s="168"/>
      <c r="AW25" s="168"/>
      <c r="AX25" s="193"/>
      <c r="AY25" s="165"/>
    </row>
    <row r="26" spans="2:51">
      <c r="B26" s="210" t="s">
        <v>576</v>
      </c>
      <c r="C26" s="686">
        <v>45627</v>
      </c>
      <c r="D26" s="177">
        <f t="shared" ref="D26:M26" si="25">+D10-D43</f>
        <v>50363733.818529993</v>
      </c>
      <c r="E26" s="178">
        <f t="shared" si="25"/>
        <v>34469947.534530751</v>
      </c>
      <c r="F26" s="177">
        <f t="shared" si="25"/>
        <v>38905500.333597526</v>
      </c>
      <c r="G26" s="178">
        <f t="shared" si="25"/>
        <v>4096345.391201999</v>
      </c>
      <c r="H26" s="177">
        <f t="shared" si="25"/>
        <v>178025.99504399998</v>
      </c>
      <c r="I26" s="178">
        <f t="shared" si="25"/>
        <v>231005.63227399997</v>
      </c>
      <c r="J26" s="177">
        <f t="shared" si="25"/>
        <v>-178725.36935450009</v>
      </c>
      <c r="K26" s="178">
        <f t="shared" si="25"/>
        <v>54687.548965999973</v>
      </c>
      <c r="L26" s="177">
        <f t="shared" si="25"/>
        <v>4921310.0845099967</v>
      </c>
      <c r="M26" s="178">
        <f t="shared" si="25"/>
        <v>42299355.434322</v>
      </c>
      <c r="N26" s="179">
        <f t="shared" ref="N26:W26" si="26">+N10-N43</f>
        <v>4617166.9587659985</v>
      </c>
      <c r="O26" s="178">
        <f t="shared" si="26"/>
        <v>6878041.2133374996</v>
      </c>
      <c r="P26" s="177">
        <f t="shared" si="26"/>
        <v>40168179.888176978</v>
      </c>
      <c r="Q26" s="176">
        <f t="shared" si="26"/>
        <v>651167.50237175077</v>
      </c>
      <c r="R26" s="177">
        <f t="shared" si="26"/>
        <v>1263636.1612007506</v>
      </c>
      <c r="S26" s="176">
        <f t="shared" si="26"/>
        <v>738081.25190800056</v>
      </c>
      <c r="T26" s="177">
        <f t="shared" si="26"/>
        <v>552477.33708850015</v>
      </c>
      <c r="U26" s="176">
        <f t="shared" ref="U26:U38" si="27">+U10-U43</f>
        <v>141173.05420299992</v>
      </c>
      <c r="V26" s="177">
        <f t="shared" si="26"/>
        <v>11407.844231249997</v>
      </c>
      <c r="W26" s="176">
        <f t="shared" si="26"/>
        <v>2733.6473812500044</v>
      </c>
      <c r="X26" s="177">
        <f t="shared" ref="X26:AN26" si="28">+X10-X43</f>
        <v>260577.07820300013</v>
      </c>
      <c r="Y26" s="176">
        <f t="shared" si="28"/>
        <v>61593.950878749951</v>
      </c>
      <c r="Z26" s="177">
        <f t="shared" si="28"/>
        <v>72303.809427999891</v>
      </c>
      <c r="AA26" s="176">
        <f t="shared" si="28"/>
        <v>101764.67545374995</v>
      </c>
      <c r="AB26" s="177">
        <f t="shared" si="28"/>
        <v>90344.599105667323</v>
      </c>
      <c r="AC26" s="176">
        <f t="shared" si="28"/>
        <v>1489.1936693034295</v>
      </c>
      <c r="AD26" s="177">
        <f t="shared" si="28"/>
        <v>5385.5576660000079</v>
      </c>
      <c r="AE26" s="178">
        <f t="shared" si="28"/>
        <v>1689.4137119999941</v>
      </c>
      <c r="AF26" s="177">
        <f t="shared" si="28"/>
        <v>0</v>
      </c>
      <c r="AG26" s="178">
        <f t="shared" si="28"/>
        <v>9763.1369682500081</v>
      </c>
      <c r="AH26" s="177">
        <f t="shared" si="28"/>
        <v>145425.26044300012</v>
      </c>
      <c r="AI26" s="178">
        <f t="shared" si="28"/>
        <v>485.47252300000036</v>
      </c>
      <c r="AJ26" s="177">
        <f t="shared" si="28"/>
        <v>13209.866724999971</v>
      </c>
      <c r="AK26" s="178">
        <f t="shared" si="28"/>
        <v>731.62078900000051</v>
      </c>
      <c r="AL26" s="177">
        <f t="shared" si="28"/>
        <v>51618.222719249781</v>
      </c>
      <c r="AM26" s="178">
        <f t="shared" si="28"/>
        <v>30762.153872249881</v>
      </c>
      <c r="AN26" s="179">
        <f t="shared" si="28"/>
        <v>57697.263828250114</v>
      </c>
      <c r="AO26" s="178">
        <f t="shared" ref="AO26:AU38" si="29">+AO10-AO43</f>
        <v>9114.4182660689112</v>
      </c>
      <c r="AP26" s="177">
        <f t="shared" si="29"/>
        <v>24839.440227210056</v>
      </c>
      <c r="AQ26" s="176">
        <f t="shared" si="29"/>
        <v>1.2299860039577197</v>
      </c>
      <c r="AR26" s="177">
        <f t="shared" si="29"/>
        <v>5024.9020938249305</v>
      </c>
      <c r="AS26" s="176">
        <f t="shared" si="29"/>
        <v>0</v>
      </c>
      <c r="AT26" s="177">
        <f t="shared" si="29"/>
        <v>0</v>
      </c>
      <c r="AU26" s="178">
        <f t="shared" si="29"/>
        <v>0</v>
      </c>
      <c r="AV26" s="177">
        <f t="shared" ref="AV26:AV38" si="30">+AV10-AV43</f>
        <v>60623.297572500072</v>
      </c>
      <c r="AW26" s="176">
        <f t="shared" ref="AW26" si="31">+AW10-AW43</f>
        <v>79662.543204749934</v>
      </c>
      <c r="AX26" s="538"/>
      <c r="AY26" s="165"/>
    </row>
    <row r="27" spans="2:51">
      <c r="B27" s="201" t="s">
        <v>575</v>
      </c>
      <c r="C27" s="681">
        <v>45658</v>
      </c>
      <c r="D27" s="171">
        <f t="shared" ref="D27:M27" si="32">+D11-D44</f>
        <v>50639653.048284993</v>
      </c>
      <c r="E27" s="172">
        <f t="shared" si="32"/>
        <v>34642034.815285876</v>
      </c>
      <c r="F27" s="171">
        <f t="shared" si="32"/>
        <v>39164872.974197119</v>
      </c>
      <c r="G27" s="172">
        <f t="shared" si="32"/>
        <v>4117623.9747356661</v>
      </c>
      <c r="H27" s="171">
        <f t="shared" si="32"/>
        <v>180723.91671800008</v>
      </c>
      <c r="I27" s="172">
        <f t="shared" si="32"/>
        <v>235475.11265300005</v>
      </c>
      <c r="J27" s="171">
        <f t="shared" si="32"/>
        <v>-178687.8888302501</v>
      </c>
      <c r="K27" s="172">
        <f t="shared" si="32"/>
        <v>55907.130460333312</v>
      </c>
      <c r="L27" s="171">
        <f t="shared" si="32"/>
        <v>4955370.2585949972</v>
      </c>
      <c r="M27" s="172">
        <f t="shared" si="32"/>
        <v>42657070.906709015</v>
      </c>
      <c r="N27" s="173">
        <f t="shared" ref="N27:W27" si="33">+N11-N44</f>
        <v>4673984.5535603315</v>
      </c>
      <c r="O27" s="172">
        <f t="shared" si="33"/>
        <v>6940710.7338937484</v>
      </c>
      <c r="P27" s="171">
        <f t="shared" si="33"/>
        <v>40628064.456206471</v>
      </c>
      <c r="Q27" s="170">
        <f t="shared" si="33"/>
        <v>667260.46360037476</v>
      </c>
      <c r="R27" s="171">
        <f t="shared" si="33"/>
        <v>1307773.8801508732</v>
      </c>
      <c r="S27" s="170">
        <f t="shared" si="33"/>
        <v>758298.59347600024</v>
      </c>
      <c r="T27" s="171">
        <f t="shared" si="33"/>
        <v>568192.44035325013</v>
      </c>
      <c r="U27" s="170">
        <f t="shared" si="27"/>
        <v>147524.54032016685</v>
      </c>
      <c r="V27" s="171">
        <f t="shared" si="33"/>
        <v>11993.135769791668</v>
      </c>
      <c r="W27" s="170">
        <f t="shared" si="33"/>
        <v>2875.0161114583316</v>
      </c>
      <c r="X27" s="171">
        <f t="shared" ref="X27:AK27" si="34">+X11-X44</f>
        <v>277676.71415350027</v>
      </c>
      <c r="Y27" s="170">
        <f t="shared" ref="Y27:Y38" si="35">+Y11-Y44</f>
        <v>63101.259775208309</v>
      </c>
      <c r="Z27" s="171">
        <f t="shared" si="34"/>
        <v>77960.946415999904</v>
      </c>
      <c r="AA27" s="170">
        <f t="shared" ref="AA27:AB38" si="36">+AA11-AA44</f>
        <v>109313.14761270816</v>
      </c>
      <c r="AB27" s="171">
        <f t="shared" si="36"/>
        <v>104251.48910691682</v>
      </c>
      <c r="AC27" s="170">
        <f t="shared" si="34"/>
        <v>1659.9642808540011</v>
      </c>
      <c r="AD27" s="171">
        <f t="shared" si="34"/>
        <v>5854.5731103333237</v>
      </c>
      <c r="AE27" s="172">
        <f t="shared" si="34"/>
        <v>1939.8664140000037</v>
      </c>
      <c r="AF27" s="171">
        <f t="shared" si="34"/>
        <v>0</v>
      </c>
      <c r="AG27" s="172">
        <f t="shared" si="34"/>
        <v>10439.138962958328</v>
      </c>
      <c r="AH27" s="171">
        <f t="shared" si="34"/>
        <v>156378.92260016687</v>
      </c>
      <c r="AI27" s="172">
        <f t="shared" si="34"/>
        <v>537.45752683333194</v>
      </c>
      <c r="AJ27" s="171">
        <f t="shared" si="34"/>
        <v>15096.851179166697</v>
      </c>
      <c r="AK27" s="172">
        <f t="shared" si="34"/>
        <v>830.67800383333088</v>
      </c>
      <c r="AL27" s="171">
        <f t="shared" ref="AL27:AO38" si="37">+AL11-AL44</f>
        <v>58991.179839124903</v>
      </c>
      <c r="AM27" s="172">
        <f t="shared" si="37"/>
        <v>34864.947850958444</v>
      </c>
      <c r="AN27" s="173">
        <f t="shared" si="37"/>
        <v>64900.958216291852</v>
      </c>
      <c r="AO27" s="172">
        <f t="shared" si="37"/>
        <v>10201.923393747071</v>
      </c>
      <c r="AP27" s="171">
        <f t="shared" si="29"/>
        <v>31049.300284012686</v>
      </c>
      <c r="AQ27" s="170">
        <f t="shared" si="29"/>
        <v>1.4349836712840016</v>
      </c>
      <c r="AR27" s="171">
        <f t="shared" si="29"/>
        <v>10049.804187650327</v>
      </c>
      <c r="AS27" s="170">
        <f t="shared" si="29"/>
        <v>0</v>
      </c>
      <c r="AT27" s="171">
        <f t="shared" si="29"/>
        <v>0</v>
      </c>
      <c r="AU27" s="172">
        <f t="shared" si="29"/>
        <v>0</v>
      </c>
      <c r="AV27" s="171">
        <f t="shared" si="30"/>
        <v>68207.360501249786</v>
      </c>
      <c r="AW27" s="170">
        <f t="shared" ref="AW27" si="38">+AW11-AW44</f>
        <v>89626.646238874644</v>
      </c>
      <c r="AX27" s="538"/>
      <c r="AY27" s="165"/>
    </row>
    <row r="28" spans="2:51">
      <c r="B28" s="201"/>
      <c r="C28" s="682">
        <v>45689</v>
      </c>
      <c r="D28" s="171">
        <f t="shared" ref="D28:M28" si="39">+D12-D45</f>
        <v>50915572.278039992</v>
      </c>
      <c r="E28" s="172">
        <f t="shared" si="39"/>
        <v>34814122.096041001</v>
      </c>
      <c r="F28" s="171">
        <f t="shared" si="39"/>
        <v>39424245.614796698</v>
      </c>
      <c r="G28" s="172">
        <f t="shared" si="39"/>
        <v>4138902.5582693322</v>
      </c>
      <c r="H28" s="171">
        <f t="shared" si="39"/>
        <v>183421.83839200018</v>
      </c>
      <c r="I28" s="172">
        <f t="shared" si="39"/>
        <v>239944.59303200012</v>
      </c>
      <c r="J28" s="171">
        <f t="shared" si="39"/>
        <v>-178650.40830600011</v>
      </c>
      <c r="K28" s="172">
        <f t="shared" si="39"/>
        <v>57126.711954666651</v>
      </c>
      <c r="L28" s="171">
        <f t="shared" si="39"/>
        <v>4989430.4326799978</v>
      </c>
      <c r="M28" s="172">
        <f t="shared" si="39"/>
        <v>43014786.379096001</v>
      </c>
      <c r="N28" s="173">
        <f t="shared" ref="N28:W28" si="40">+N12-N45</f>
        <v>4730802.1483546644</v>
      </c>
      <c r="O28" s="172">
        <f t="shared" si="40"/>
        <v>7003380.2544499971</v>
      </c>
      <c r="P28" s="171">
        <f t="shared" si="40"/>
        <v>41087949.024235964</v>
      </c>
      <c r="Q28" s="170">
        <f t="shared" si="40"/>
        <v>683353.42482899968</v>
      </c>
      <c r="R28" s="171">
        <f t="shared" si="40"/>
        <v>1351911.5991009995</v>
      </c>
      <c r="S28" s="170">
        <f t="shared" si="40"/>
        <v>778515.93504399993</v>
      </c>
      <c r="T28" s="171">
        <f t="shared" si="40"/>
        <v>583907.54361800011</v>
      </c>
      <c r="U28" s="170">
        <f t="shared" si="27"/>
        <v>153876.02643733332</v>
      </c>
      <c r="V28" s="171">
        <f t="shared" si="40"/>
        <v>12578.427308333339</v>
      </c>
      <c r="W28" s="170">
        <f t="shared" si="40"/>
        <v>3016.384841666666</v>
      </c>
      <c r="X28" s="171">
        <f t="shared" ref="X28:AK28" si="41">+X12-X45</f>
        <v>294776.35010400042</v>
      </c>
      <c r="Y28" s="170">
        <f t="shared" si="35"/>
        <v>64608.568671666668</v>
      </c>
      <c r="Z28" s="171">
        <f t="shared" si="41"/>
        <v>83618.083403999917</v>
      </c>
      <c r="AA28" s="170">
        <f t="shared" si="36"/>
        <v>116861.61977166682</v>
      </c>
      <c r="AB28" s="171">
        <f t="shared" si="36"/>
        <v>118158.37910816725</v>
      </c>
      <c r="AC28" s="170">
        <f t="shared" si="41"/>
        <v>1830.7348924045727</v>
      </c>
      <c r="AD28" s="171">
        <f t="shared" si="41"/>
        <v>6323.5885546666686</v>
      </c>
      <c r="AE28" s="172">
        <f t="shared" si="41"/>
        <v>2190.3191159999988</v>
      </c>
      <c r="AF28" s="171">
        <f t="shared" si="41"/>
        <v>3562.8377649560571</v>
      </c>
      <c r="AG28" s="172">
        <f t="shared" si="41"/>
        <v>11115.140957666677</v>
      </c>
      <c r="AH28" s="171">
        <f t="shared" si="41"/>
        <v>167332.58475733362</v>
      </c>
      <c r="AI28" s="172">
        <f t="shared" si="41"/>
        <v>589.44253066666715</v>
      </c>
      <c r="AJ28" s="171">
        <f t="shared" si="41"/>
        <v>16983.835633333307</v>
      </c>
      <c r="AK28" s="172">
        <f t="shared" si="41"/>
        <v>929.73521866666852</v>
      </c>
      <c r="AL28" s="171">
        <f t="shared" si="37"/>
        <v>66364.136959000025</v>
      </c>
      <c r="AM28" s="172">
        <f t="shared" si="37"/>
        <v>38967.741829666775</v>
      </c>
      <c r="AN28" s="173">
        <f t="shared" si="37"/>
        <v>72104.652604333125</v>
      </c>
      <c r="AO28" s="172">
        <f t="shared" si="37"/>
        <v>11289.42852142523</v>
      </c>
      <c r="AP28" s="171">
        <f t="shared" si="29"/>
        <v>37259.160340814851</v>
      </c>
      <c r="AQ28" s="170">
        <f t="shared" si="29"/>
        <v>1.6399813386102835</v>
      </c>
      <c r="AR28" s="171">
        <f t="shared" si="29"/>
        <v>15074.706281475257</v>
      </c>
      <c r="AS28" s="170">
        <f t="shared" si="29"/>
        <v>0</v>
      </c>
      <c r="AT28" s="171">
        <f t="shared" si="29"/>
        <v>35646.881102031097</v>
      </c>
      <c r="AU28" s="172">
        <f t="shared" si="29"/>
        <v>16585.14315068908</v>
      </c>
      <c r="AV28" s="171">
        <f t="shared" si="30"/>
        <v>75791.423429999966</v>
      </c>
      <c r="AW28" s="170">
        <f t="shared" ref="AW28" si="42">+AW12-AW45</f>
        <v>99590.749273000285</v>
      </c>
      <c r="AX28" s="538"/>
      <c r="AY28" s="165"/>
    </row>
    <row r="29" spans="2:51">
      <c r="B29" s="201"/>
      <c r="C29" s="682">
        <v>45717</v>
      </c>
      <c r="D29" s="171">
        <f t="shared" ref="D29:M29" si="43">+D13-D46</f>
        <v>51191491.507794991</v>
      </c>
      <c r="E29" s="172">
        <f t="shared" si="43"/>
        <v>34986209.376796126</v>
      </c>
      <c r="F29" s="171">
        <f t="shared" si="43"/>
        <v>39683618.255396277</v>
      </c>
      <c r="G29" s="172">
        <f t="shared" si="43"/>
        <v>4160181.1418029983</v>
      </c>
      <c r="H29" s="171">
        <f t="shared" si="43"/>
        <v>186119.76006600005</v>
      </c>
      <c r="I29" s="172">
        <f t="shared" si="43"/>
        <v>244414.07341100019</v>
      </c>
      <c r="J29" s="171">
        <f t="shared" si="43"/>
        <v>-178612.92778175013</v>
      </c>
      <c r="K29" s="172">
        <f t="shared" si="43"/>
        <v>58346.29344899999</v>
      </c>
      <c r="L29" s="171">
        <f t="shared" si="43"/>
        <v>5023490.6067649964</v>
      </c>
      <c r="M29" s="172">
        <f t="shared" si="43"/>
        <v>43372501.851483017</v>
      </c>
      <c r="N29" s="173">
        <f t="shared" ref="N29:W29" si="44">+N13-N46</f>
        <v>4787619.7431489974</v>
      </c>
      <c r="O29" s="172">
        <f t="shared" si="44"/>
        <v>7066049.7750062458</v>
      </c>
      <c r="P29" s="171">
        <f t="shared" si="44"/>
        <v>41547833.592265487</v>
      </c>
      <c r="Q29" s="170">
        <f t="shared" si="44"/>
        <v>699446.38605762459</v>
      </c>
      <c r="R29" s="171">
        <f t="shared" si="44"/>
        <v>1396049.3180511259</v>
      </c>
      <c r="S29" s="170">
        <f t="shared" si="44"/>
        <v>798733.27661200054</v>
      </c>
      <c r="T29" s="171">
        <f t="shared" si="44"/>
        <v>599622.64688275009</v>
      </c>
      <c r="U29" s="170">
        <f t="shared" si="27"/>
        <v>160227.51255449979</v>
      </c>
      <c r="V29" s="171">
        <f t="shared" si="44"/>
        <v>13163.71884687501</v>
      </c>
      <c r="W29" s="170">
        <f t="shared" si="44"/>
        <v>3157.7535718750005</v>
      </c>
      <c r="X29" s="171">
        <f t="shared" ref="X29:AK29" si="45">+X13-X46</f>
        <v>311875.98605450056</v>
      </c>
      <c r="Y29" s="170">
        <f t="shared" si="35"/>
        <v>66115.877568124968</v>
      </c>
      <c r="Z29" s="171">
        <f t="shared" si="45"/>
        <v>89275.22039199993</v>
      </c>
      <c r="AA29" s="170">
        <f t="shared" si="36"/>
        <v>124410.09193062503</v>
      </c>
      <c r="AB29" s="171">
        <f t="shared" si="36"/>
        <v>132065.26910941675</v>
      </c>
      <c r="AC29" s="170">
        <f t="shared" si="45"/>
        <v>2001.5055039551444</v>
      </c>
      <c r="AD29" s="171">
        <f t="shared" si="45"/>
        <v>6792.6039989999845</v>
      </c>
      <c r="AE29" s="172">
        <f t="shared" si="45"/>
        <v>2440.7718179999938</v>
      </c>
      <c r="AF29" s="171">
        <f t="shared" si="45"/>
        <v>7125.6755299118813</v>
      </c>
      <c r="AG29" s="172">
        <f t="shared" si="45"/>
        <v>11791.142952374998</v>
      </c>
      <c r="AH29" s="171">
        <f t="shared" si="45"/>
        <v>178286.24691450037</v>
      </c>
      <c r="AI29" s="172">
        <f t="shared" si="45"/>
        <v>641.42753449999873</v>
      </c>
      <c r="AJ29" s="171">
        <f t="shared" si="45"/>
        <v>18870.820087500033</v>
      </c>
      <c r="AK29" s="172">
        <f t="shared" si="45"/>
        <v>1028.7924334999989</v>
      </c>
      <c r="AL29" s="171">
        <f t="shared" si="37"/>
        <v>73737.094078875147</v>
      </c>
      <c r="AM29" s="172">
        <f t="shared" si="37"/>
        <v>43070.535808375105</v>
      </c>
      <c r="AN29" s="173">
        <f t="shared" si="37"/>
        <v>79308.346992374863</v>
      </c>
      <c r="AO29" s="172">
        <f t="shared" si="37"/>
        <v>12376.933649103332</v>
      </c>
      <c r="AP29" s="171">
        <f t="shared" si="29"/>
        <v>43469.020397617482</v>
      </c>
      <c r="AQ29" s="170">
        <f t="shared" si="29"/>
        <v>1.8449790059365796</v>
      </c>
      <c r="AR29" s="171">
        <f t="shared" si="29"/>
        <v>20099.608375300188</v>
      </c>
      <c r="AS29" s="170">
        <f t="shared" si="29"/>
        <v>0</v>
      </c>
      <c r="AT29" s="171">
        <f t="shared" si="29"/>
        <v>71293.762204062194</v>
      </c>
      <c r="AU29" s="172">
        <f t="shared" si="29"/>
        <v>33170.286301378161</v>
      </c>
      <c r="AV29" s="171">
        <f t="shared" si="30"/>
        <v>83375.486358750146</v>
      </c>
      <c r="AW29" s="170">
        <f t="shared" ref="AW29" si="46">+AW13-AW46</f>
        <v>109554.85230712499</v>
      </c>
      <c r="AX29" s="538"/>
      <c r="AY29" s="165"/>
    </row>
    <row r="30" spans="2:51">
      <c r="B30" s="201"/>
      <c r="C30" s="682">
        <v>45748</v>
      </c>
      <c r="D30" s="171">
        <f t="shared" ref="D30:M30" si="47">+D14-D47</f>
        <v>51467410.73754999</v>
      </c>
      <c r="E30" s="172">
        <f t="shared" si="47"/>
        <v>35158296.657551251</v>
      </c>
      <c r="F30" s="171">
        <f t="shared" si="47"/>
        <v>39942990.89599587</v>
      </c>
      <c r="G30" s="172">
        <f t="shared" si="47"/>
        <v>4181459.7253366653</v>
      </c>
      <c r="H30" s="171">
        <f t="shared" si="47"/>
        <v>188817.68174000015</v>
      </c>
      <c r="I30" s="172">
        <f t="shared" si="47"/>
        <v>248883.55379000027</v>
      </c>
      <c r="J30" s="171">
        <f t="shared" si="47"/>
        <v>-178575.44725750014</v>
      </c>
      <c r="K30" s="172">
        <f t="shared" si="47"/>
        <v>59565.874943333329</v>
      </c>
      <c r="L30" s="171">
        <f t="shared" si="47"/>
        <v>5057550.7808499951</v>
      </c>
      <c r="M30" s="172">
        <f t="shared" si="47"/>
        <v>43730217.323870003</v>
      </c>
      <c r="N30" s="173">
        <f t="shared" ref="N30:W30" si="48">+N14-N47</f>
        <v>4844437.3379433304</v>
      </c>
      <c r="O30" s="172">
        <f t="shared" si="48"/>
        <v>7128719.2955624945</v>
      </c>
      <c r="P30" s="171">
        <f t="shared" si="48"/>
        <v>42007718.16029498</v>
      </c>
      <c r="Q30" s="170">
        <f t="shared" si="48"/>
        <v>715539.34728625044</v>
      </c>
      <c r="R30" s="171">
        <f t="shared" si="48"/>
        <v>1440187.0370012484</v>
      </c>
      <c r="S30" s="170">
        <f t="shared" si="48"/>
        <v>818950.61818000022</v>
      </c>
      <c r="T30" s="171">
        <f t="shared" si="48"/>
        <v>615337.75014750008</v>
      </c>
      <c r="U30" s="170">
        <f t="shared" si="27"/>
        <v>166578.99867166672</v>
      </c>
      <c r="V30" s="171">
        <f t="shared" si="48"/>
        <v>13749.010385416681</v>
      </c>
      <c r="W30" s="170">
        <f t="shared" si="48"/>
        <v>3299.1223020833349</v>
      </c>
      <c r="X30" s="171">
        <f t="shared" ref="X30:AK30" si="49">+X14-X47</f>
        <v>328975.62200499978</v>
      </c>
      <c r="Y30" s="170">
        <f t="shared" si="35"/>
        <v>67623.186464583268</v>
      </c>
      <c r="Z30" s="171">
        <f t="shared" si="49"/>
        <v>94932.357379999943</v>
      </c>
      <c r="AA30" s="170">
        <f t="shared" si="36"/>
        <v>131958.56408958323</v>
      </c>
      <c r="AB30" s="171">
        <f t="shared" si="36"/>
        <v>145972.15911066718</v>
      </c>
      <c r="AC30" s="170">
        <f t="shared" si="49"/>
        <v>2172.276115505716</v>
      </c>
      <c r="AD30" s="171">
        <f t="shared" si="49"/>
        <v>7261.6194433333294</v>
      </c>
      <c r="AE30" s="172">
        <f t="shared" si="49"/>
        <v>2691.2245200000034</v>
      </c>
      <c r="AF30" s="171">
        <f t="shared" si="49"/>
        <v>10688.513294867938</v>
      </c>
      <c r="AG30" s="172">
        <f t="shared" si="49"/>
        <v>12467.144947083318</v>
      </c>
      <c r="AH30" s="171">
        <f t="shared" si="49"/>
        <v>189239.90907166712</v>
      </c>
      <c r="AI30" s="172">
        <f t="shared" si="49"/>
        <v>693.41253833333394</v>
      </c>
      <c r="AJ30" s="171">
        <f t="shared" si="49"/>
        <v>20757.804541666643</v>
      </c>
      <c r="AK30" s="172">
        <f t="shared" si="49"/>
        <v>1127.8496483333365</v>
      </c>
      <c r="AL30" s="171">
        <f t="shared" si="37"/>
        <v>81110.051198750269</v>
      </c>
      <c r="AM30" s="172">
        <f t="shared" si="37"/>
        <v>47173.329787083436</v>
      </c>
      <c r="AN30" s="173">
        <f t="shared" si="37"/>
        <v>86512.041380416602</v>
      </c>
      <c r="AO30" s="172">
        <f t="shared" si="37"/>
        <v>13464.438776781491</v>
      </c>
      <c r="AP30" s="171">
        <f t="shared" si="29"/>
        <v>49678.880454420112</v>
      </c>
      <c r="AQ30" s="170">
        <f t="shared" si="29"/>
        <v>2.0499766732628615</v>
      </c>
      <c r="AR30" s="171">
        <f t="shared" si="29"/>
        <v>25124.510469125584</v>
      </c>
      <c r="AS30" s="170">
        <f t="shared" si="29"/>
        <v>0</v>
      </c>
      <c r="AT30" s="171">
        <f t="shared" si="29"/>
        <v>106940.64330609329</v>
      </c>
      <c r="AU30" s="172">
        <f t="shared" si="29"/>
        <v>49755.42945206631</v>
      </c>
      <c r="AV30" s="171">
        <f t="shared" si="30"/>
        <v>90959.54928749986</v>
      </c>
      <c r="AW30" s="170">
        <f t="shared" ref="AW30" si="50">+AW14-AW47</f>
        <v>119518.9553412497</v>
      </c>
      <c r="AX30" s="538"/>
      <c r="AY30" s="165"/>
    </row>
    <row r="31" spans="2:51">
      <c r="B31" s="201"/>
      <c r="C31" s="682">
        <v>45778</v>
      </c>
      <c r="D31" s="171">
        <f t="shared" ref="D31:M31" si="51">+D15-D48</f>
        <v>51743329.96730499</v>
      </c>
      <c r="E31" s="172">
        <f t="shared" si="51"/>
        <v>35330383.938306376</v>
      </c>
      <c r="F31" s="171">
        <f t="shared" si="51"/>
        <v>40202363.536595464</v>
      </c>
      <c r="G31" s="172">
        <f t="shared" si="51"/>
        <v>4202738.3088703323</v>
      </c>
      <c r="H31" s="171">
        <f t="shared" si="51"/>
        <v>191515.60341400024</v>
      </c>
      <c r="I31" s="172">
        <f t="shared" si="51"/>
        <v>253353.03416900011</v>
      </c>
      <c r="J31" s="171">
        <f t="shared" si="51"/>
        <v>-178537.96673325016</v>
      </c>
      <c r="K31" s="172">
        <f t="shared" si="51"/>
        <v>60785.456437666668</v>
      </c>
      <c r="L31" s="171">
        <f t="shared" si="51"/>
        <v>5091610.9549349956</v>
      </c>
      <c r="M31" s="172">
        <f t="shared" si="51"/>
        <v>44087932.796257019</v>
      </c>
      <c r="N31" s="173">
        <f t="shared" ref="N31:W31" si="52">+N15-N48</f>
        <v>4901254.9327376634</v>
      </c>
      <c r="O31" s="172">
        <f t="shared" si="52"/>
        <v>7191388.816118747</v>
      </c>
      <c r="P31" s="171">
        <f t="shared" si="52"/>
        <v>42467602.728324473</v>
      </c>
      <c r="Q31" s="170">
        <f t="shared" si="52"/>
        <v>731632.30851487443</v>
      </c>
      <c r="R31" s="171">
        <f t="shared" si="52"/>
        <v>1484324.7559513748</v>
      </c>
      <c r="S31" s="170">
        <f t="shared" si="52"/>
        <v>839167.95974799991</v>
      </c>
      <c r="T31" s="171">
        <f t="shared" si="52"/>
        <v>631052.85341225006</v>
      </c>
      <c r="U31" s="170">
        <f t="shared" si="27"/>
        <v>172930.48478883319</v>
      </c>
      <c r="V31" s="171">
        <f t="shared" si="52"/>
        <v>14334.301923958352</v>
      </c>
      <c r="W31" s="170">
        <f t="shared" si="52"/>
        <v>3440.4910322916694</v>
      </c>
      <c r="X31" s="171">
        <f t="shared" ref="X31:AK31" si="53">+X15-X48</f>
        <v>346075.25795549992</v>
      </c>
      <c r="Y31" s="170">
        <f t="shared" si="35"/>
        <v>69130.495361041627</v>
      </c>
      <c r="Z31" s="171">
        <f t="shared" si="53"/>
        <v>100589.49436799996</v>
      </c>
      <c r="AA31" s="170">
        <f t="shared" si="36"/>
        <v>139507.03624854144</v>
      </c>
      <c r="AB31" s="171">
        <f t="shared" si="36"/>
        <v>159879.04911191761</v>
      </c>
      <c r="AC31" s="170">
        <f t="shared" si="53"/>
        <v>2343.0467270562876</v>
      </c>
      <c r="AD31" s="171">
        <f t="shared" si="53"/>
        <v>7730.6348876666743</v>
      </c>
      <c r="AE31" s="172">
        <f t="shared" si="53"/>
        <v>2941.6772219999984</v>
      </c>
      <c r="AF31" s="171">
        <f t="shared" si="53"/>
        <v>14251.351059823995</v>
      </c>
      <c r="AG31" s="172">
        <f t="shared" si="53"/>
        <v>13143.146941791667</v>
      </c>
      <c r="AH31" s="171">
        <f t="shared" si="53"/>
        <v>200193.57122883387</v>
      </c>
      <c r="AI31" s="172">
        <f t="shared" si="53"/>
        <v>745.39754216666552</v>
      </c>
      <c r="AJ31" s="171">
        <f t="shared" si="53"/>
        <v>22644.788995833369</v>
      </c>
      <c r="AK31" s="172">
        <f t="shared" si="53"/>
        <v>1226.9068631666669</v>
      </c>
      <c r="AL31" s="171">
        <f t="shared" si="37"/>
        <v>88483.008318625391</v>
      </c>
      <c r="AM31" s="172">
        <f t="shared" si="37"/>
        <v>51276.123765791534</v>
      </c>
      <c r="AN31" s="173">
        <f t="shared" si="37"/>
        <v>93715.73576845834</v>
      </c>
      <c r="AO31" s="172">
        <f t="shared" si="37"/>
        <v>14551.943904459651</v>
      </c>
      <c r="AP31" s="171">
        <f t="shared" si="29"/>
        <v>55888.740511222742</v>
      </c>
      <c r="AQ31" s="170">
        <f t="shared" si="29"/>
        <v>2.2549743405891434</v>
      </c>
      <c r="AR31" s="171">
        <f t="shared" si="29"/>
        <v>30149.412562950514</v>
      </c>
      <c r="AS31" s="170">
        <f t="shared" si="29"/>
        <v>0</v>
      </c>
      <c r="AT31" s="171">
        <f t="shared" si="29"/>
        <v>142587.52440812439</v>
      </c>
      <c r="AU31" s="172">
        <f t="shared" si="29"/>
        <v>66340.572602756321</v>
      </c>
      <c r="AV31" s="171">
        <f t="shared" si="30"/>
        <v>98543.61221625004</v>
      </c>
      <c r="AW31" s="170">
        <f t="shared" ref="AW31" si="54">+AW15-AW48</f>
        <v>129483.05837537535</v>
      </c>
      <c r="AX31" s="538"/>
      <c r="AY31" s="165"/>
    </row>
    <row r="32" spans="2:51">
      <c r="B32" s="201"/>
      <c r="C32" s="682">
        <v>45809</v>
      </c>
      <c r="D32" s="171">
        <f t="shared" ref="D32:M32" si="55">+D16-D49</f>
        <v>52019249.197059989</v>
      </c>
      <c r="E32" s="172">
        <f t="shared" si="55"/>
        <v>35502471.219061501</v>
      </c>
      <c r="F32" s="171">
        <f t="shared" si="55"/>
        <v>40461736.177195042</v>
      </c>
      <c r="G32" s="172">
        <f t="shared" si="55"/>
        <v>4224016.8924039993</v>
      </c>
      <c r="H32" s="171">
        <f t="shared" si="55"/>
        <v>194213.52508800011</v>
      </c>
      <c r="I32" s="172">
        <f t="shared" si="55"/>
        <v>257822.51454800018</v>
      </c>
      <c r="J32" s="171">
        <f t="shared" si="55"/>
        <v>-178500.48620900017</v>
      </c>
      <c r="K32" s="172">
        <f t="shared" si="55"/>
        <v>62005.037932000007</v>
      </c>
      <c r="L32" s="171">
        <f t="shared" si="55"/>
        <v>5125671.1290199962</v>
      </c>
      <c r="M32" s="172">
        <f t="shared" si="55"/>
        <v>44445648.268644005</v>
      </c>
      <c r="N32" s="173">
        <f t="shared" ref="N32:W32" si="56">+N16-N49</f>
        <v>4958072.5275319964</v>
      </c>
      <c r="O32" s="172">
        <f t="shared" si="56"/>
        <v>7254058.3366749957</v>
      </c>
      <c r="P32" s="171">
        <f t="shared" si="56"/>
        <v>42927487.296353966</v>
      </c>
      <c r="Q32" s="170">
        <f t="shared" si="56"/>
        <v>747725.26974350028</v>
      </c>
      <c r="R32" s="171">
        <f t="shared" si="56"/>
        <v>1528462.4749015011</v>
      </c>
      <c r="S32" s="170">
        <f t="shared" si="56"/>
        <v>859385.30131600052</v>
      </c>
      <c r="T32" s="171">
        <f t="shared" si="56"/>
        <v>646767.95667700004</v>
      </c>
      <c r="U32" s="170">
        <f t="shared" si="27"/>
        <v>179281.97090600012</v>
      </c>
      <c r="V32" s="171">
        <f t="shared" si="56"/>
        <v>14919.593462499994</v>
      </c>
      <c r="W32" s="170">
        <f t="shared" si="56"/>
        <v>3581.8597625000039</v>
      </c>
      <c r="X32" s="171">
        <f t="shared" ref="X32:AK32" si="57">+X16-X49</f>
        <v>363174.89390600007</v>
      </c>
      <c r="Y32" s="170">
        <f t="shared" si="35"/>
        <v>70637.804257499985</v>
      </c>
      <c r="Z32" s="171">
        <f t="shared" si="57"/>
        <v>106246.63135599997</v>
      </c>
      <c r="AA32" s="170">
        <f t="shared" si="36"/>
        <v>147055.50840750011</v>
      </c>
      <c r="AB32" s="171">
        <f t="shared" si="36"/>
        <v>173785.93911316711</v>
      </c>
      <c r="AC32" s="170">
        <f t="shared" si="57"/>
        <v>2513.8173386068593</v>
      </c>
      <c r="AD32" s="171">
        <f t="shared" si="57"/>
        <v>8199.6503319999902</v>
      </c>
      <c r="AE32" s="172">
        <f t="shared" si="57"/>
        <v>3192.1299239999935</v>
      </c>
      <c r="AF32" s="171">
        <f t="shared" si="57"/>
        <v>17814.18882477982</v>
      </c>
      <c r="AG32" s="172">
        <f t="shared" si="57"/>
        <v>13819.148936499987</v>
      </c>
      <c r="AH32" s="171">
        <f t="shared" si="57"/>
        <v>211147.23338600062</v>
      </c>
      <c r="AI32" s="172">
        <f t="shared" si="57"/>
        <v>797.38254600000073</v>
      </c>
      <c r="AJ32" s="171">
        <f t="shared" si="57"/>
        <v>24531.773449999979</v>
      </c>
      <c r="AK32" s="172">
        <f t="shared" si="57"/>
        <v>1325.9640779999972</v>
      </c>
      <c r="AL32" s="171">
        <f t="shared" si="37"/>
        <v>95855.965438500047</v>
      </c>
      <c r="AM32" s="172">
        <f t="shared" si="37"/>
        <v>55378.917744500097</v>
      </c>
      <c r="AN32" s="173">
        <f t="shared" si="37"/>
        <v>100919.43015650008</v>
      </c>
      <c r="AO32" s="172">
        <f t="shared" si="37"/>
        <v>15639.449032137811</v>
      </c>
      <c r="AP32" s="171">
        <f t="shared" si="29"/>
        <v>62098.600568024907</v>
      </c>
      <c r="AQ32" s="170">
        <f t="shared" si="29"/>
        <v>2.4599720079154253</v>
      </c>
      <c r="AR32" s="171">
        <f t="shared" si="29"/>
        <v>35174.314656775445</v>
      </c>
      <c r="AS32" s="170">
        <f t="shared" si="29"/>
        <v>6656.5855271723121</v>
      </c>
      <c r="AT32" s="171">
        <f t="shared" si="29"/>
        <v>178234.40551015548</v>
      </c>
      <c r="AU32" s="172">
        <f t="shared" si="29"/>
        <v>82925.715753443539</v>
      </c>
      <c r="AV32" s="171">
        <f t="shared" si="30"/>
        <v>106127.67514500022</v>
      </c>
      <c r="AW32" s="170">
        <f t="shared" ref="AW32" si="58">+AW16-AW49</f>
        <v>139447.16140950006</v>
      </c>
      <c r="AX32" s="538"/>
      <c r="AY32" s="165"/>
    </row>
    <row r="33" spans="2:49">
      <c r="B33" s="201"/>
      <c r="C33" s="682">
        <v>45839</v>
      </c>
      <c r="D33" s="171">
        <f t="shared" ref="D33:M33" si="59">+D17-D50</f>
        <v>52295168.426814988</v>
      </c>
      <c r="E33" s="172">
        <f t="shared" si="59"/>
        <v>35674558.499816626</v>
      </c>
      <c r="F33" s="171">
        <f t="shared" si="59"/>
        <v>40721108.817794621</v>
      </c>
      <c r="G33" s="172">
        <f t="shared" si="59"/>
        <v>4245295.4759376664</v>
      </c>
      <c r="H33" s="171">
        <f t="shared" si="59"/>
        <v>196911.44676200021</v>
      </c>
      <c r="I33" s="172">
        <f t="shared" si="59"/>
        <v>262291.99492700025</v>
      </c>
      <c r="J33" s="171">
        <f t="shared" si="59"/>
        <v>-178463.00568475018</v>
      </c>
      <c r="K33" s="172">
        <f t="shared" si="59"/>
        <v>63224.619426333287</v>
      </c>
      <c r="L33" s="171">
        <f t="shared" si="59"/>
        <v>5159731.3031049948</v>
      </c>
      <c r="M33" s="172">
        <f t="shared" si="59"/>
        <v>44803363.741031021</v>
      </c>
      <c r="N33" s="173">
        <f t="shared" ref="N33:W33" si="60">+N17-N50</f>
        <v>5014890.1223263294</v>
      </c>
      <c r="O33" s="172">
        <f t="shared" si="60"/>
        <v>7316727.8572312444</v>
      </c>
      <c r="P33" s="171">
        <f t="shared" si="60"/>
        <v>43387371.864383459</v>
      </c>
      <c r="Q33" s="170">
        <f t="shared" si="60"/>
        <v>763818.23097212426</v>
      </c>
      <c r="R33" s="171">
        <f t="shared" si="60"/>
        <v>1572600.1938516237</v>
      </c>
      <c r="S33" s="170">
        <f t="shared" si="60"/>
        <v>879602.6428840002</v>
      </c>
      <c r="T33" s="171">
        <f t="shared" si="60"/>
        <v>662483.05994175002</v>
      </c>
      <c r="U33" s="170">
        <f t="shared" si="27"/>
        <v>185633.45702316659</v>
      </c>
      <c r="V33" s="171">
        <f t="shared" si="60"/>
        <v>15504.885001041665</v>
      </c>
      <c r="W33" s="170">
        <f t="shared" si="60"/>
        <v>3723.2284927083383</v>
      </c>
      <c r="X33" s="171">
        <f t="shared" ref="X33:AK33" si="61">+X17-X50</f>
        <v>380274.52985650022</v>
      </c>
      <c r="Y33" s="170">
        <f t="shared" si="35"/>
        <v>72145.113153958286</v>
      </c>
      <c r="Z33" s="171">
        <f t="shared" si="61"/>
        <v>111903.76834399998</v>
      </c>
      <c r="AA33" s="170">
        <f t="shared" si="36"/>
        <v>154603.98056645831</v>
      </c>
      <c r="AB33" s="171">
        <f t="shared" si="36"/>
        <v>187692.82911441661</v>
      </c>
      <c r="AC33" s="170">
        <f t="shared" si="61"/>
        <v>2684.5879501574309</v>
      </c>
      <c r="AD33" s="171">
        <f t="shared" si="61"/>
        <v>8668.6657763333351</v>
      </c>
      <c r="AE33" s="172">
        <f t="shared" si="61"/>
        <v>3442.5826260000031</v>
      </c>
      <c r="AF33" s="171">
        <f t="shared" si="61"/>
        <v>21377.026589735877</v>
      </c>
      <c r="AG33" s="172">
        <f t="shared" si="61"/>
        <v>14495.150931208336</v>
      </c>
      <c r="AH33" s="171">
        <f t="shared" si="61"/>
        <v>222100.89554316644</v>
      </c>
      <c r="AI33" s="172">
        <f t="shared" si="61"/>
        <v>849.3675498333323</v>
      </c>
      <c r="AJ33" s="171">
        <f t="shared" si="61"/>
        <v>26418.757904166705</v>
      </c>
      <c r="AK33" s="172">
        <f t="shared" si="61"/>
        <v>1425.0212928333349</v>
      </c>
      <c r="AL33" s="171">
        <f t="shared" si="37"/>
        <v>103228.9225583747</v>
      </c>
      <c r="AM33" s="172">
        <f t="shared" si="37"/>
        <v>59481.711723208427</v>
      </c>
      <c r="AN33" s="173">
        <f t="shared" si="37"/>
        <v>108123.12454454182</v>
      </c>
      <c r="AO33" s="172">
        <f t="shared" si="37"/>
        <v>16726.95415981597</v>
      </c>
      <c r="AP33" s="171">
        <f t="shared" si="29"/>
        <v>68308.460624827538</v>
      </c>
      <c r="AQ33" s="170">
        <f t="shared" si="29"/>
        <v>2.6649696752417213</v>
      </c>
      <c r="AR33" s="171">
        <f t="shared" si="29"/>
        <v>40199.216750600841</v>
      </c>
      <c r="AS33" s="170">
        <f t="shared" si="29"/>
        <v>13313.171054344624</v>
      </c>
      <c r="AT33" s="171">
        <f t="shared" si="29"/>
        <v>213881.28661218658</v>
      </c>
      <c r="AU33" s="172">
        <f t="shared" si="29"/>
        <v>99510.85890413262</v>
      </c>
      <c r="AV33" s="171">
        <f t="shared" si="30"/>
        <v>113711.73807374993</v>
      </c>
      <c r="AW33" s="170">
        <f t="shared" ref="AW33" si="62">+AW17-AW50</f>
        <v>149411.26444362476</v>
      </c>
    </row>
    <row r="34" spans="2:49">
      <c r="B34" s="201"/>
      <c r="C34" s="682">
        <v>45870</v>
      </c>
      <c r="D34" s="171">
        <f t="shared" ref="D34:M34" si="63">+D18-D51</f>
        <v>52571087.656569988</v>
      </c>
      <c r="E34" s="172">
        <f t="shared" si="63"/>
        <v>35846645.780571751</v>
      </c>
      <c r="F34" s="171">
        <f t="shared" si="63"/>
        <v>40980481.458394215</v>
      </c>
      <c r="G34" s="172">
        <f t="shared" si="63"/>
        <v>4266574.0594713334</v>
      </c>
      <c r="H34" s="171">
        <f t="shared" si="63"/>
        <v>199609.36843600031</v>
      </c>
      <c r="I34" s="172">
        <f t="shared" si="63"/>
        <v>266761.47530600009</v>
      </c>
      <c r="J34" s="171">
        <f t="shared" si="63"/>
        <v>-178425.5251605002</v>
      </c>
      <c r="K34" s="172">
        <f t="shared" si="63"/>
        <v>64444.200920666626</v>
      </c>
      <c r="L34" s="171">
        <f t="shared" si="63"/>
        <v>5193791.4771899935</v>
      </c>
      <c r="M34" s="172">
        <f t="shared" si="63"/>
        <v>45161079.213418007</v>
      </c>
      <c r="N34" s="173">
        <f t="shared" ref="N34:W34" si="64">+N18-N51</f>
        <v>5071707.7171206623</v>
      </c>
      <c r="O34" s="172">
        <f t="shared" si="64"/>
        <v>7379397.3777874969</v>
      </c>
      <c r="P34" s="171">
        <f t="shared" si="64"/>
        <v>43847256.432412952</v>
      </c>
      <c r="Q34" s="170">
        <f t="shared" si="64"/>
        <v>779911.19220075011</v>
      </c>
      <c r="R34" s="171">
        <f t="shared" si="64"/>
        <v>1616737.91280175</v>
      </c>
      <c r="S34" s="170">
        <f t="shared" si="64"/>
        <v>899819.98445199989</v>
      </c>
      <c r="T34" s="171">
        <f t="shared" si="64"/>
        <v>678198.1632065</v>
      </c>
      <c r="U34" s="170">
        <f t="shared" si="27"/>
        <v>191984.94314033352</v>
      </c>
      <c r="V34" s="171">
        <f t="shared" si="64"/>
        <v>16090.176539583335</v>
      </c>
      <c r="W34" s="170">
        <f t="shared" si="64"/>
        <v>3864.5972229166655</v>
      </c>
      <c r="X34" s="171">
        <f t="shared" ref="X34:AK34" si="65">+X18-X51</f>
        <v>397374.16580700036</v>
      </c>
      <c r="Y34" s="170">
        <f t="shared" si="35"/>
        <v>73652.422050416586</v>
      </c>
      <c r="Z34" s="171">
        <f t="shared" si="65"/>
        <v>117560.90533199999</v>
      </c>
      <c r="AA34" s="170">
        <f t="shared" si="36"/>
        <v>162152.45272541652</v>
      </c>
      <c r="AB34" s="171">
        <f t="shared" si="36"/>
        <v>201599.71911566705</v>
      </c>
      <c r="AC34" s="170">
        <f t="shared" si="65"/>
        <v>2855.3585617080025</v>
      </c>
      <c r="AD34" s="171">
        <f t="shared" si="65"/>
        <v>9137.68122066668</v>
      </c>
      <c r="AE34" s="172">
        <f t="shared" si="65"/>
        <v>3693.0353279999981</v>
      </c>
      <c r="AF34" s="171">
        <f t="shared" si="65"/>
        <v>24939.864354691934</v>
      </c>
      <c r="AG34" s="172">
        <f t="shared" si="65"/>
        <v>15171.152925916656</v>
      </c>
      <c r="AH34" s="171">
        <f t="shared" si="65"/>
        <v>233054.55770033412</v>
      </c>
      <c r="AI34" s="172">
        <f t="shared" si="65"/>
        <v>901.35255366666752</v>
      </c>
      <c r="AJ34" s="171">
        <f t="shared" si="65"/>
        <v>28305.742358333315</v>
      </c>
      <c r="AK34" s="172">
        <f t="shared" si="65"/>
        <v>1524.0785076666652</v>
      </c>
      <c r="AL34" s="171">
        <f t="shared" si="37"/>
        <v>110601.87967824982</v>
      </c>
      <c r="AM34" s="172">
        <f t="shared" si="37"/>
        <v>63584.505701916525</v>
      </c>
      <c r="AN34" s="173">
        <f t="shared" si="37"/>
        <v>115326.81893258356</v>
      </c>
      <c r="AO34" s="172">
        <f t="shared" si="37"/>
        <v>17814.45928749413</v>
      </c>
      <c r="AP34" s="171">
        <f t="shared" si="29"/>
        <v>74518.320681630168</v>
      </c>
      <c r="AQ34" s="170">
        <f t="shared" si="29"/>
        <v>2.8699673425680032</v>
      </c>
      <c r="AR34" s="171">
        <f t="shared" si="29"/>
        <v>45224.118844425771</v>
      </c>
      <c r="AS34" s="170">
        <f t="shared" si="29"/>
        <v>19969.756581516936</v>
      </c>
      <c r="AT34" s="171">
        <f t="shared" si="29"/>
        <v>249528.16771421768</v>
      </c>
      <c r="AU34" s="172">
        <f t="shared" si="29"/>
        <v>116096.0020548217</v>
      </c>
      <c r="AV34" s="171">
        <f t="shared" si="30"/>
        <v>121295.80100250011</v>
      </c>
      <c r="AW34" s="170">
        <f t="shared" ref="AW34" si="66">+AW18-AW51</f>
        <v>159375.36747775041</v>
      </c>
    </row>
    <row r="35" spans="2:49">
      <c r="B35" s="201"/>
      <c r="C35" s="682">
        <v>45901</v>
      </c>
      <c r="D35" s="171">
        <f t="shared" ref="D35:M35" si="67">+D19-D52</f>
        <v>52847006.886324987</v>
      </c>
      <c r="E35" s="172">
        <f t="shared" si="67"/>
        <v>36018733.061326876</v>
      </c>
      <c r="F35" s="171">
        <f t="shared" si="67"/>
        <v>41239854.098993808</v>
      </c>
      <c r="G35" s="172">
        <f t="shared" si="67"/>
        <v>4287852.6430050004</v>
      </c>
      <c r="H35" s="171">
        <f t="shared" si="67"/>
        <v>202307.29011000018</v>
      </c>
      <c r="I35" s="172">
        <f t="shared" si="67"/>
        <v>271230.95568500017</v>
      </c>
      <c r="J35" s="171">
        <f t="shared" si="67"/>
        <v>-178388.04463625021</v>
      </c>
      <c r="K35" s="172">
        <f t="shared" si="67"/>
        <v>65663.782414999965</v>
      </c>
      <c r="L35" s="171">
        <f t="shared" si="67"/>
        <v>5227851.651274994</v>
      </c>
      <c r="M35" s="172">
        <f t="shared" si="67"/>
        <v>45518794.685805023</v>
      </c>
      <c r="N35" s="173">
        <f t="shared" ref="N35:W35" si="68">+N19-N52</f>
        <v>5128525.3119149953</v>
      </c>
      <c r="O35" s="172">
        <f t="shared" si="68"/>
        <v>7442066.8983437456</v>
      </c>
      <c r="P35" s="171">
        <f t="shared" si="68"/>
        <v>44307141.000442445</v>
      </c>
      <c r="Q35" s="170">
        <f t="shared" si="68"/>
        <v>796004.1534293741</v>
      </c>
      <c r="R35" s="171">
        <f t="shared" si="68"/>
        <v>1660875.6317518726</v>
      </c>
      <c r="S35" s="170">
        <f t="shared" si="68"/>
        <v>920037.3260200005</v>
      </c>
      <c r="T35" s="171">
        <f t="shared" si="68"/>
        <v>693913.26647124998</v>
      </c>
      <c r="U35" s="170">
        <f t="shared" si="27"/>
        <v>198336.42925749999</v>
      </c>
      <c r="V35" s="171">
        <f t="shared" si="68"/>
        <v>16675.468078125006</v>
      </c>
      <c r="W35" s="170">
        <f t="shared" si="68"/>
        <v>4005.9659531249999</v>
      </c>
      <c r="X35" s="171">
        <f t="shared" ref="X35:AK35" si="69">+X19-X52</f>
        <v>414473.80175750051</v>
      </c>
      <c r="Y35" s="170">
        <f t="shared" si="35"/>
        <v>75159.730946874944</v>
      </c>
      <c r="Z35" s="171">
        <f t="shared" si="69"/>
        <v>123218.04232000001</v>
      </c>
      <c r="AA35" s="170">
        <f t="shared" si="36"/>
        <v>169700.92488437518</v>
      </c>
      <c r="AB35" s="171">
        <f t="shared" si="36"/>
        <v>215506.60911691748</v>
      </c>
      <c r="AC35" s="170">
        <f t="shared" si="69"/>
        <v>3026.1291732585742</v>
      </c>
      <c r="AD35" s="171">
        <f t="shared" si="69"/>
        <v>9606.6966649999958</v>
      </c>
      <c r="AE35" s="172">
        <f t="shared" si="69"/>
        <v>3943.4880299999932</v>
      </c>
      <c r="AF35" s="171">
        <f t="shared" si="69"/>
        <v>28502.702119647758</v>
      </c>
      <c r="AG35" s="172">
        <f t="shared" si="69"/>
        <v>15847.154920625006</v>
      </c>
      <c r="AH35" s="171">
        <f t="shared" si="69"/>
        <v>244008.21985749993</v>
      </c>
      <c r="AI35" s="172">
        <f t="shared" si="69"/>
        <v>953.33755749999909</v>
      </c>
      <c r="AJ35" s="171">
        <f t="shared" si="69"/>
        <v>30192.726812500041</v>
      </c>
      <c r="AK35" s="172">
        <f t="shared" si="69"/>
        <v>1623.1357225000029</v>
      </c>
      <c r="AL35" s="171">
        <f t="shared" si="37"/>
        <v>117974.83679812495</v>
      </c>
      <c r="AM35" s="172">
        <f t="shared" si="37"/>
        <v>67687.299680625089</v>
      </c>
      <c r="AN35" s="173">
        <f t="shared" si="37"/>
        <v>122530.51332062483</v>
      </c>
      <c r="AO35" s="172">
        <f t="shared" si="37"/>
        <v>18901.964415172231</v>
      </c>
      <c r="AP35" s="171">
        <f t="shared" si="29"/>
        <v>80728.180738432333</v>
      </c>
      <c r="AQ35" s="170">
        <f t="shared" si="29"/>
        <v>3.0749650098942851</v>
      </c>
      <c r="AR35" s="171">
        <f t="shared" si="29"/>
        <v>50249.020938251168</v>
      </c>
      <c r="AS35" s="170">
        <f t="shared" si="29"/>
        <v>26626.342108689249</v>
      </c>
      <c r="AT35" s="171">
        <f t="shared" si="29"/>
        <v>285175.04881624877</v>
      </c>
      <c r="AU35" s="172">
        <f t="shared" si="29"/>
        <v>132681.14520550985</v>
      </c>
      <c r="AV35" s="171">
        <f t="shared" si="30"/>
        <v>128879.86393124983</v>
      </c>
      <c r="AW35" s="170">
        <f t="shared" ref="AW35" si="70">+AW19-AW52</f>
        <v>169339.47051187512</v>
      </c>
    </row>
    <row r="36" spans="2:49">
      <c r="B36" s="201"/>
      <c r="C36" s="682">
        <v>45931</v>
      </c>
      <c r="D36" s="171">
        <f t="shared" ref="D36:M36" si="71">+D20-D53</f>
        <v>53122926.116079986</v>
      </c>
      <c r="E36" s="172">
        <f t="shared" si="71"/>
        <v>36190820.342082001</v>
      </c>
      <c r="F36" s="171">
        <f t="shared" si="71"/>
        <v>41499226.739593387</v>
      </c>
      <c r="G36" s="172">
        <f t="shared" si="71"/>
        <v>4309131.2265386675</v>
      </c>
      <c r="H36" s="171">
        <f t="shared" si="71"/>
        <v>205005.21178400028</v>
      </c>
      <c r="I36" s="172">
        <f t="shared" si="71"/>
        <v>275700.43606400024</v>
      </c>
      <c r="J36" s="171">
        <f t="shared" si="71"/>
        <v>-178350.56411200023</v>
      </c>
      <c r="K36" s="172">
        <f t="shared" si="71"/>
        <v>66883.363909333304</v>
      </c>
      <c r="L36" s="171">
        <f t="shared" si="71"/>
        <v>5261911.8253599945</v>
      </c>
      <c r="M36" s="172">
        <f t="shared" si="71"/>
        <v>45876510.158192009</v>
      </c>
      <c r="N36" s="173">
        <f t="shared" ref="N36:W36" si="72">+N20-N53</f>
        <v>5185342.9067093283</v>
      </c>
      <c r="O36" s="172">
        <f t="shared" si="72"/>
        <v>7504736.4188999943</v>
      </c>
      <c r="P36" s="171">
        <f t="shared" si="72"/>
        <v>44767025.568471968</v>
      </c>
      <c r="Q36" s="170">
        <f t="shared" si="72"/>
        <v>812097.11465799995</v>
      </c>
      <c r="R36" s="171">
        <f t="shared" si="72"/>
        <v>1705013.3507019989</v>
      </c>
      <c r="S36" s="170">
        <f t="shared" si="72"/>
        <v>940254.66758800019</v>
      </c>
      <c r="T36" s="171">
        <f t="shared" si="72"/>
        <v>709628.36973599996</v>
      </c>
      <c r="U36" s="170">
        <f t="shared" si="27"/>
        <v>204687.91537466692</v>
      </c>
      <c r="V36" s="171">
        <f t="shared" si="72"/>
        <v>17260.759616666677</v>
      </c>
      <c r="W36" s="170">
        <f t="shared" si="72"/>
        <v>4147.3346833333344</v>
      </c>
      <c r="X36" s="171">
        <f t="shared" ref="X36:AK36" si="73">+X20-X53</f>
        <v>431573.43770800065</v>
      </c>
      <c r="Y36" s="170">
        <f t="shared" si="35"/>
        <v>76667.039843333303</v>
      </c>
      <c r="Z36" s="171">
        <f t="shared" si="73"/>
        <v>128875.17930800002</v>
      </c>
      <c r="AA36" s="170">
        <f t="shared" si="36"/>
        <v>177249.39704333339</v>
      </c>
      <c r="AB36" s="171">
        <f t="shared" si="36"/>
        <v>229413.49911816791</v>
      </c>
      <c r="AC36" s="170">
        <f t="shared" si="73"/>
        <v>3196.8997848091458</v>
      </c>
      <c r="AD36" s="171">
        <f t="shared" si="73"/>
        <v>10075.712109333341</v>
      </c>
      <c r="AE36" s="172">
        <f t="shared" si="73"/>
        <v>4193.9407320000028</v>
      </c>
      <c r="AF36" s="171">
        <f t="shared" si="73"/>
        <v>32065.539884603815</v>
      </c>
      <c r="AG36" s="172">
        <f t="shared" si="73"/>
        <v>16523.156915333326</v>
      </c>
      <c r="AH36" s="171">
        <f t="shared" si="73"/>
        <v>254961.88201466668</v>
      </c>
      <c r="AI36" s="172">
        <f t="shared" si="73"/>
        <v>1005.3225613333343</v>
      </c>
      <c r="AJ36" s="171">
        <f t="shared" si="73"/>
        <v>32079.711266666651</v>
      </c>
      <c r="AK36" s="172">
        <f t="shared" si="73"/>
        <v>1722.1929373333332</v>
      </c>
      <c r="AL36" s="171">
        <f t="shared" si="37"/>
        <v>125347.79391800007</v>
      </c>
      <c r="AM36" s="172">
        <f t="shared" si="37"/>
        <v>71790.093659333419</v>
      </c>
      <c r="AN36" s="173">
        <f t="shared" si="37"/>
        <v>129734.20770866657</v>
      </c>
      <c r="AO36" s="172">
        <f t="shared" si="37"/>
        <v>19989.469542850391</v>
      </c>
      <c r="AP36" s="171">
        <f t="shared" si="29"/>
        <v>86938.040795234963</v>
      </c>
      <c r="AQ36" s="170">
        <f t="shared" si="29"/>
        <v>3.2799626772205812</v>
      </c>
      <c r="AR36" s="171">
        <f t="shared" si="29"/>
        <v>55273.923032076098</v>
      </c>
      <c r="AS36" s="170">
        <f t="shared" si="29"/>
        <v>33282.927635862026</v>
      </c>
      <c r="AT36" s="171">
        <f t="shared" si="29"/>
        <v>320821.92991827987</v>
      </c>
      <c r="AU36" s="172">
        <f t="shared" si="29"/>
        <v>149266.288356198</v>
      </c>
      <c r="AV36" s="171">
        <f t="shared" si="30"/>
        <v>136463.92686000001</v>
      </c>
      <c r="AW36" s="170">
        <f t="shared" ref="AW36" si="74">+AW20-AW53</f>
        <v>179303.57354599983</v>
      </c>
    </row>
    <row r="37" spans="2:49">
      <c r="B37" s="201"/>
      <c r="C37" s="682">
        <v>45962</v>
      </c>
      <c r="D37" s="171">
        <f t="shared" ref="D37:M37" si="75">+D21-D54</f>
        <v>53398845.345834985</v>
      </c>
      <c r="E37" s="172">
        <f t="shared" si="75"/>
        <v>36362907.622837126</v>
      </c>
      <c r="F37" s="171">
        <f t="shared" si="75"/>
        <v>41758599.380192965</v>
      </c>
      <c r="G37" s="172">
        <f t="shared" si="75"/>
        <v>4330409.8100723345</v>
      </c>
      <c r="H37" s="171">
        <f t="shared" si="75"/>
        <v>207703.13345800026</v>
      </c>
      <c r="I37" s="172">
        <f t="shared" si="75"/>
        <v>280169.91644300031</v>
      </c>
      <c r="J37" s="171">
        <f t="shared" si="75"/>
        <v>-178313.08358775024</v>
      </c>
      <c r="K37" s="172">
        <f t="shared" si="75"/>
        <v>68102.945403666643</v>
      </c>
      <c r="L37" s="171">
        <f t="shared" si="75"/>
        <v>5295971.9994449932</v>
      </c>
      <c r="M37" s="172">
        <f t="shared" si="75"/>
        <v>46234225.630579025</v>
      </c>
      <c r="N37" s="173">
        <f t="shared" ref="N37:W37" si="76">+N21-N54</f>
        <v>5242160.5015036613</v>
      </c>
      <c r="O37" s="172">
        <f t="shared" si="76"/>
        <v>7567405.9394562431</v>
      </c>
      <c r="P37" s="171">
        <f t="shared" si="76"/>
        <v>45226910.136501461</v>
      </c>
      <c r="Q37" s="170">
        <f t="shared" si="76"/>
        <v>828190.07588662487</v>
      </c>
      <c r="R37" s="171">
        <f t="shared" si="76"/>
        <v>1749151.0696521252</v>
      </c>
      <c r="S37" s="170">
        <f t="shared" si="76"/>
        <v>960472.0091560008</v>
      </c>
      <c r="T37" s="171">
        <f t="shared" si="76"/>
        <v>725343.47300074995</v>
      </c>
      <c r="U37" s="170">
        <f t="shared" si="27"/>
        <v>211039.40149183339</v>
      </c>
      <c r="V37" s="171">
        <f t="shared" si="76"/>
        <v>17846.051155208348</v>
      </c>
      <c r="W37" s="170">
        <f t="shared" si="76"/>
        <v>4288.7034135416689</v>
      </c>
      <c r="X37" s="171">
        <f t="shared" ref="X37:AK38" si="77">+X21-X54</f>
        <v>448673.07365849987</v>
      </c>
      <c r="Y37" s="170">
        <f t="shared" si="35"/>
        <v>78174.348739791603</v>
      </c>
      <c r="Z37" s="171">
        <f t="shared" si="77"/>
        <v>134532.31629600003</v>
      </c>
      <c r="AA37" s="170">
        <f t="shared" si="36"/>
        <v>184797.86920229159</v>
      </c>
      <c r="AB37" s="171">
        <f t="shared" si="36"/>
        <v>243320.38911941741</v>
      </c>
      <c r="AC37" s="170">
        <f t="shared" si="77"/>
        <v>3367.6703963597174</v>
      </c>
      <c r="AD37" s="171">
        <f t="shared" si="77"/>
        <v>10544.727553666657</v>
      </c>
      <c r="AE37" s="172">
        <f t="shared" si="77"/>
        <v>4444.3934339999978</v>
      </c>
      <c r="AF37" s="171">
        <f t="shared" si="77"/>
        <v>35628.377649559872</v>
      </c>
      <c r="AG37" s="172">
        <f t="shared" si="77"/>
        <v>17199.158910041675</v>
      </c>
      <c r="AH37" s="171">
        <f t="shared" si="77"/>
        <v>265915.54417183343</v>
      </c>
      <c r="AI37" s="172">
        <f t="shared" si="77"/>
        <v>1057.3075651666659</v>
      </c>
      <c r="AJ37" s="171">
        <f t="shared" si="77"/>
        <v>33966.695720833377</v>
      </c>
      <c r="AK37" s="172">
        <f t="shared" si="77"/>
        <v>1821.2501521666636</v>
      </c>
      <c r="AL37" s="171">
        <f t="shared" si="37"/>
        <v>132720.75103787472</v>
      </c>
      <c r="AM37" s="172">
        <f t="shared" si="37"/>
        <v>75892.88763804175</v>
      </c>
      <c r="AN37" s="173">
        <f t="shared" si="37"/>
        <v>136937.90209670831</v>
      </c>
      <c r="AO37" s="172">
        <f t="shared" si="37"/>
        <v>21076.974670528551</v>
      </c>
      <c r="AP37" s="171">
        <f t="shared" si="29"/>
        <v>93147.900852037594</v>
      </c>
      <c r="AQ37" s="170">
        <f t="shared" si="29"/>
        <v>3.4849603445468631</v>
      </c>
      <c r="AR37" s="171">
        <f t="shared" si="29"/>
        <v>60298.825125901029</v>
      </c>
      <c r="AS37" s="170">
        <f t="shared" si="29"/>
        <v>39939.513163034339</v>
      </c>
      <c r="AT37" s="171">
        <f t="shared" si="29"/>
        <v>356468.81102031097</v>
      </c>
      <c r="AU37" s="172">
        <f t="shared" si="29"/>
        <v>165851.43150688801</v>
      </c>
      <c r="AV37" s="171">
        <f t="shared" si="30"/>
        <v>144047.98978875019</v>
      </c>
      <c r="AW37" s="170">
        <f t="shared" ref="AW37" si="78">+AW21-AW54</f>
        <v>189267.67658012547</v>
      </c>
    </row>
    <row r="38" spans="2:49">
      <c r="B38" s="175"/>
      <c r="C38" s="713">
        <v>45992</v>
      </c>
      <c r="D38" s="200">
        <f t="shared" ref="D38:M38" si="79">+D22-D55</f>
        <v>53674764.575589985</v>
      </c>
      <c r="E38" s="199">
        <f t="shared" si="79"/>
        <v>36534994.903592251</v>
      </c>
      <c r="F38" s="200">
        <f t="shared" si="79"/>
        <v>42017972.020792559</v>
      </c>
      <c r="G38" s="199">
        <f t="shared" si="79"/>
        <v>4351688.3936060015</v>
      </c>
      <c r="H38" s="200">
        <f t="shared" si="79"/>
        <v>210401.05513200024</v>
      </c>
      <c r="I38" s="199">
        <f t="shared" si="79"/>
        <v>284639.39682200039</v>
      </c>
      <c r="J38" s="200">
        <f t="shared" si="79"/>
        <v>-178275.60306350025</v>
      </c>
      <c r="K38" s="199">
        <f t="shared" si="79"/>
        <v>69322.526897999982</v>
      </c>
      <c r="L38" s="200">
        <f t="shared" si="79"/>
        <v>5330032.1735299919</v>
      </c>
      <c r="M38" s="199">
        <f t="shared" si="79"/>
        <v>46591941.102966011</v>
      </c>
      <c r="N38" s="209">
        <f t="shared" ref="N38:W38" si="80">+N22-N55</f>
        <v>5298978.0962979943</v>
      </c>
      <c r="O38" s="199">
        <f t="shared" si="80"/>
        <v>7630075.4600124918</v>
      </c>
      <c r="P38" s="200">
        <f t="shared" si="80"/>
        <v>45686794.704530954</v>
      </c>
      <c r="Q38" s="208">
        <f t="shared" si="80"/>
        <v>844283.03711524978</v>
      </c>
      <c r="R38" s="200">
        <f t="shared" si="80"/>
        <v>1793288.7886022478</v>
      </c>
      <c r="S38" s="208">
        <f t="shared" si="80"/>
        <v>980689.35072400048</v>
      </c>
      <c r="T38" s="200">
        <f t="shared" si="80"/>
        <v>741058.57626549993</v>
      </c>
      <c r="U38" s="208">
        <f t="shared" si="27"/>
        <v>217390.88760899985</v>
      </c>
      <c r="V38" s="200">
        <f t="shared" si="80"/>
        <v>18431.342693750019</v>
      </c>
      <c r="W38" s="208">
        <f t="shared" si="80"/>
        <v>4430.0721437500033</v>
      </c>
      <c r="X38" s="200">
        <f>+X22-X55</f>
        <v>465772.70960900001</v>
      </c>
      <c r="Y38" s="208">
        <f t="shared" si="35"/>
        <v>79681.657636249904</v>
      </c>
      <c r="Z38" s="171">
        <f t="shared" si="77"/>
        <v>140189.45328400005</v>
      </c>
      <c r="AA38" s="170">
        <f t="shared" si="36"/>
        <v>192346.3413612498</v>
      </c>
      <c r="AB38" s="200">
        <f t="shared" si="36"/>
        <v>257227.27912066691</v>
      </c>
      <c r="AC38" s="170">
        <f t="shared" si="77"/>
        <v>3538.441007910289</v>
      </c>
      <c r="AD38" s="200">
        <f t="shared" si="77"/>
        <v>11013.742998000002</v>
      </c>
      <c r="AE38" s="199">
        <f t="shared" si="77"/>
        <v>4694.8461359999928</v>
      </c>
      <c r="AF38" s="200">
        <f t="shared" si="77"/>
        <v>39191.215414515696</v>
      </c>
      <c r="AG38" s="199">
        <f t="shared" si="77"/>
        <v>17875.160904749995</v>
      </c>
      <c r="AH38" s="200">
        <f t="shared" si="77"/>
        <v>276869.20632900018</v>
      </c>
      <c r="AI38" s="199">
        <f t="shared" si="77"/>
        <v>1109.2925690000011</v>
      </c>
      <c r="AJ38" s="200">
        <f t="shared" si="77"/>
        <v>35853.680174999987</v>
      </c>
      <c r="AK38" s="199">
        <f t="shared" si="77"/>
        <v>1920.3073670000012</v>
      </c>
      <c r="AL38" s="200">
        <f t="shared" si="37"/>
        <v>140093.70815774985</v>
      </c>
      <c r="AM38" s="199">
        <f t="shared" si="37"/>
        <v>79995.68161675008</v>
      </c>
      <c r="AN38" s="209">
        <f t="shared" si="37"/>
        <v>144141.59648475004</v>
      </c>
      <c r="AO38" s="199">
        <f t="shared" si="37"/>
        <v>22164.47979820671</v>
      </c>
      <c r="AP38" s="200">
        <f t="shared" si="29"/>
        <v>99357.760908840224</v>
      </c>
      <c r="AQ38" s="208">
        <f t="shared" si="29"/>
        <v>3.689958011873145</v>
      </c>
      <c r="AR38" s="200">
        <f t="shared" si="29"/>
        <v>65323.727219726425</v>
      </c>
      <c r="AS38" s="208">
        <f t="shared" si="29"/>
        <v>46596.098690206651</v>
      </c>
      <c r="AT38" s="200">
        <f t="shared" si="29"/>
        <v>392115.69212234206</v>
      </c>
      <c r="AU38" s="199">
        <f t="shared" si="29"/>
        <v>182436.57465757616</v>
      </c>
      <c r="AV38" s="200">
        <f t="shared" si="30"/>
        <v>151632.0527174999</v>
      </c>
      <c r="AW38" s="208">
        <f t="shared" ref="AW38" si="81">+AW22-AW55</f>
        <v>199231.77961425018</v>
      </c>
    </row>
    <row r="39" spans="2:49">
      <c r="B39" s="186"/>
      <c r="C39" s="197" t="s">
        <v>572</v>
      </c>
      <c r="D39" s="166">
        <f t="shared" ref="D39:M39" si="82">AVERAGE(D26:D38)</f>
        <v>52019249.197059989</v>
      </c>
      <c r="E39" s="166">
        <f t="shared" si="82"/>
        <v>35502471.219061501</v>
      </c>
      <c r="F39" s="166">
        <f t="shared" si="82"/>
        <v>40461736.177195042</v>
      </c>
      <c r="G39" s="166">
        <f t="shared" si="82"/>
        <v>4224016.8924039984</v>
      </c>
      <c r="H39" s="166">
        <f t="shared" si="82"/>
        <v>194213.52508800017</v>
      </c>
      <c r="I39" s="166">
        <f t="shared" si="82"/>
        <v>257822.51454800021</v>
      </c>
      <c r="J39" s="166">
        <f t="shared" si="82"/>
        <v>-178500.48620900017</v>
      </c>
      <c r="K39" s="166">
        <f t="shared" si="82"/>
        <v>62005.037931999977</v>
      </c>
      <c r="L39" s="166">
        <f t="shared" si="82"/>
        <v>5125671.1290199943</v>
      </c>
      <c r="M39" s="166">
        <f t="shared" si="82"/>
        <v>44445648.268644005</v>
      </c>
      <c r="N39" s="166">
        <f t="shared" ref="N39:W39" si="83">AVERAGE(N26:N38)</f>
        <v>4958072.5275319964</v>
      </c>
      <c r="O39" s="166">
        <f t="shared" si="83"/>
        <v>7254058.3366749948</v>
      </c>
      <c r="P39" s="166">
        <f t="shared" si="83"/>
        <v>42927487.296353966</v>
      </c>
      <c r="Q39" s="166">
        <f t="shared" si="83"/>
        <v>747725.26974349981</v>
      </c>
      <c r="R39" s="166">
        <f t="shared" si="83"/>
        <v>1528462.4749014995</v>
      </c>
      <c r="S39" s="166">
        <f t="shared" si="83"/>
        <v>859385.30131600029</v>
      </c>
      <c r="T39" s="166">
        <f t="shared" si="83"/>
        <v>646767.95667700015</v>
      </c>
      <c r="U39" s="166">
        <f>AVERAGE(U26:U38)</f>
        <v>179281.970906</v>
      </c>
      <c r="V39" s="166">
        <f t="shared" si="83"/>
        <v>14919.593462500006</v>
      </c>
      <c r="W39" s="166">
        <f t="shared" si="83"/>
        <v>3581.8597625000016</v>
      </c>
      <c r="X39" s="166">
        <f t="shared" ref="X39:AN39" si="84">AVERAGE(X26:X38)</f>
        <v>363174.89390600019</v>
      </c>
      <c r="Y39" s="166">
        <f>AVERAGE(Y26:Y38)</f>
        <v>70637.804257499956</v>
      </c>
      <c r="Z39" s="166">
        <f t="shared" si="84"/>
        <v>106246.63135599997</v>
      </c>
      <c r="AA39" s="166">
        <f>AVERAGE(AA26:AA38)</f>
        <v>147055.50840749996</v>
      </c>
      <c r="AB39" s="166">
        <f>AVERAGE(AB26:AB38)</f>
        <v>173785.93911316717</v>
      </c>
      <c r="AC39" s="166">
        <f t="shared" si="84"/>
        <v>2513.8173386068593</v>
      </c>
      <c r="AD39" s="166">
        <f t="shared" si="84"/>
        <v>8199.6503319999993</v>
      </c>
      <c r="AE39" s="166">
        <f t="shared" si="84"/>
        <v>3192.129923999998</v>
      </c>
      <c r="AF39" s="166">
        <f t="shared" si="84"/>
        <v>18088.253268238048</v>
      </c>
      <c r="AG39" s="166">
        <f t="shared" si="84"/>
        <v>13819.148936499998</v>
      </c>
      <c r="AH39" s="166">
        <f t="shared" si="84"/>
        <v>211147.23338600027</v>
      </c>
      <c r="AI39" s="166">
        <f t="shared" si="84"/>
        <v>797.38254599999993</v>
      </c>
      <c r="AJ39" s="166">
        <f t="shared" si="84"/>
        <v>24531.773450000004</v>
      </c>
      <c r="AK39" s="166">
        <f t="shared" si="84"/>
        <v>1325.964078</v>
      </c>
      <c r="AL39" s="166">
        <f t="shared" si="84"/>
        <v>95855.965438499974</v>
      </c>
      <c r="AM39" s="166">
        <f t="shared" si="84"/>
        <v>55378.917744500046</v>
      </c>
      <c r="AN39" s="166">
        <f t="shared" si="84"/>
        <v>100919.43015650001</v>
      </c>
      <c r="AO39" s="166">
        <f t="shared" ref="AO39:AU39" si="85">AVERAGE(AO26:AO38)</f>
        <v>15639.449032137807</v>
      </c>
      <c r="AP39" s="166">
        <f t="shared" si="85"/>
        <v>62098.600568025053</v>
      </c>
      <c r="AQ39" s="166">
        <f t="shared" si="85"/>
        <v>2.4599720079154319</v>
      </c>
      <c r="AR39" s="166">
        <f t="shared" si="85"/>
        <v>35174.314656775663</v>
      </c>
      <c r="AS39" s="166">
        <f t="shared" si="85"/>
        <v>14337.261135448165</v>
      </c>
      <c r="AT39" s="166">
        <f t="shared" si="85"/>
        <v>180976.47328723481</v>
      </c>
      <c r="AU39" s="166">
        <f t="shared" si="85"/>
        <v>84201.495995804595</v>
      </c>
      <c r="AV39" s="166">
        <f t="shared" ref="AV39:AW39" si="86">AVERAGE(AV26:AV38)</f>
        <v>106127.675145</v>
      </c>
      <c r="AW39" s="166">
        <f t="shared" si="86"/>
        <v>139447.16140950006</v>
      </c>
    </row>
    <row r="40" spans="2:49">
      <c r="B40" s="194"/>
      <c r="C40" s="168"/>
      <c r="D40" s="188"/>
      <c r="E40" s="188"/>
      <c r="F40" s="188"/>
      <c r="G40" s="188"/>
      <c r="H40" s="188"/>
      <c r="I40" s="189"/>
      <c r="J40" s="189"/>
      <c r="K40" s="189"/>
      <c r="L40" s="188"/>
      <c r="M40" s="190"/>
      <c r="N40" s="190"/>
      <c r="O40" s="189"/>
      <c r="P40" s="188"/>
      <c r="Q40" s="189"/>
      <c r="R40" s="188"/>
      <c r="S40" s="189"/>
      <c r="T40" s="188"/>
      <c r="U40" s="189"/>
      <c r="V40" s="188"/>
      <c r="W40" s="189"/>
      <c r="X40" s="188"/>
      <c r="Y40" s="189"/>
      <c r="Z40" s="188"/>
      <c r="AA40" s="189"/>
      <c r="AB40" s="188"/>
      <c r="AC40" s="189"/>
      <c r="AD40" s="188"/>
      <c r="AE40" s="188"/>
      <c r="AF40" s="188"/>
      <c r="AG40" s="188"/>
      <c r="AH40" s="188"/>
      <c r="AI40" s="189"/>
      <c r="AJ40" s="189"/>
      <c r="AK40" s="189"/>
      <c r="AL40" s="188"/>
      <c r="AM40" s="190"/>
      <c r="AN40" s="190"/>
      <c r="AO40" s="189"/>
      <c r="AP40" s="188"/>
      <c r="AQ40" s="189"/>
      <c r="AR40" s="188"/>
      <c r="AS40" s="189"/>
      <c r="AT40" s="188"/>
      <c r="AU40" s="190"/>
      <c r="AV40" s="188"/>
      <c r="AW40" s="189"/>
    </row>
    <row r="41" spans="2:49">
      <c r="B41" s="186"/>
      <c r="C41" s="207"/>
      <c r="D41" s="206"/>
      <c r="E41" s="206"/>
      <c r="F41" s="206"/>
      <c r="G41" s="206"/>
      <c r="H41" s="206"/>
      <c r="I41" s="206"/>
      <c r="J41" s="206"/>
      <c r="K41" s="206"/>
      <c r="L41" s="206"/>
      <c r="M41" s="190"/>
      <c r="N41" s="190"/>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190"/>
      <c r="AN41" s="190"/>
      <c r="AO41" s="206"/>
      <c r="AP41" s="206"/>
      <c r="AQ41" s="206"/>
      <c r="AR41" s="206"/>
      <c r="AS41" s="206"/>
      <c r="AT41" s="206"/>
      <c r="AU41" s="190"/>
      <c r="AV41" s="206"/>
      <c r="AW41" s="206"/>
    </row>
    <row r="42" spans="2:49">
      <c r="B42" s="205"/>
      <c r="C42" s="204"/>
      <c r="D42" s="203"/>
      <c r="E42" s="202"/>
      <c r="F42" s="202"/>
      <c r="G42" s="202"/>
      <c r="H42" s="202"/>
      <c r="I42" s="202"/>
      <c r="J42" s="202"/>
      <c r="K42" s="202"/>
      <c r="L42" s="202"/>
      <c r="M42" s="184"/>
      <c r="N42" s="184"/>
      <c r="O42" s="202"/>
      <c r="P42" s="202"/>
      <c r="Q42" s="202"/>
      <c r="R42" s="202"/>
      <c r="S42" s="202"/>
      <c r="T42" s="202"/>
      <c r="U42" s="202"/>
      <c r="V42" s="202"/>
      <c r="W42" s="202"/>
      <c r="X42" s="202"/>
      <c r="Y42" s="202"/>
      <c r="Z42" s="202"/>
      <c r="AA42" s="202"/>
      <c r="AB42" s="202"/>
      <c r="AC42" s="202"/>
      <c r="AD42" s="203"/>
      <c r="AE42" s="202"/>
      <c r="AF42" s="202"/>
      <c r="AG42" s="202"/>
      <c r="AH42" s="202"/>
      <c r="AI42" s="202"/>
      <c r="AJ42" s="202"/>
      <c r="AK42" s="202"/>
      <c r="AL42" s="202"/>
      <c r="AM42" s="184"/>
      <c r="AN42" s="184"/>
      <c r="AO42" s="202"/>
      <c r="AP42" s="202"/>
      <c r="AQ42" s="202"/>
      <c r="AR42" s="202"/>
      <c r="AS42" s="202"/>
      <c r="AT42" s="202"/>
      <c r="AU42" s="184"/>
      <c r="AV42" s="202"/>
      <c r="AW42" s="202"/>
    </row>
    <row r="43" spans="2:49">
      <c r="B43" s="201" t="s">
        <v>574</v>
      </c>
      <c r="C43" s="686">
        <v>45627</v>
      </c>
      <c r="D43" s="177">
        <f t="shared" ref="D43:Z43" si="87">D74+D104</f>
        <v>91133307.081470013</v>
      </c>
      <c r="E43" s="178">
        <f t="shared" si="87"/>
        <v>53715703.945469253</v>
      </c>
      <c r="F43" s="177">
        <f t="shared" si="87"/>
        <v>101930322.61640246</v>
      </c>
      <c r="G43" s="178">
        <f t="shared" si="87"/>
        <v>4648277.978798002</v>
      </c>
      <c r="H43" s="177">
        <f t="shared" si="87"/>
        <v>1071976.3249559999</v>
      </c>
      <c r="I43" s="178">
        <f t="shared" si="87"/>
        <v>1733601.1277260003</v>
      </c>
      <c r="J43" s="177">
        <f t="shared" si="87"/>
        <v>187596.49935450009</v>
      </c>
      <c r="K43" s="178">
        <f t="shared" si="87"/>
        <v>466130.171034</v>
      </c>
      <c r="L43" s="177">
        <f t="shared" si="87"/>
        <v>9572381.0154900029</v>
      </c>
      <c r="M43" s="178">
        <f t="shared" si="87"/>
        <v>77941139.485677987</v>
      </c>
      <c r="N43" s="179">
        <f t="shared" si="87"/>
        <v>21406158.901234001</v>
      </c>
      <c r="O43" s="178">
        <f t="shared" si="87"/>
        <v>19509125.336662501</v>
      </c>
      <c r="P43" s="177">
        <f t="shared" si="87"/>
        <v>186791366.78182304</v>
      </c>
      <c r="Q43" s="176">
        <f t="shared" si="87"/>
        <v>6793835.5526282489</v>
      </c>
      <c r="R43" s="177">
        <f t="shared" si="87"/>
        <v>19029567.953799248</v>
      </c>
      <c r="S43" s="176">
        <f t="shared" si="87"/>
        <v>7685811.0680919997</v>
      </c>
      <c r="T43" s="177">
        <f t="shared" si="87"/>
        <v>6134800.6479115011</v>
      </c>
      <c r="U43" s="176">
        <f t="shared" si="87"/>
        <v>2523786.1557969996</v>
      </c>
      <c r="V43" s="177">
        <f t="shared" si="87"/>
        <v>204699.80076874999</v>
      </c>
      <c r="W43" s="176">
        <f t="shared" si="87"/>
        <v>49464.037618749993</v>
      </c>
      <c r="X43" s="177">
        <f t="shared" si="87"/>
        <v>7015863.7517969999</v>
      </c>
      <c r="Y43" s="176">
        <f t="shared" si="87"/>
        <v>478337.59412124997</v>
      </c>
      <c r="Z43" s="177">
        <f t="shared" si="87"/>
        <v>2423491.9205720001</v>
      </c>
      <c r="AA43" s="176">
        <f t="shared" ref="AA43:AB53" si="88">AA74+AA104</f>
        <v>3265583.4995462499</v>
      </c>
      <c r="AB43" s="177">
        <f t="shared" si="88"/>
        <v>6255004.4508943334</v>
      </c>
      <c r="AC43" s="176">
        <f t="shared" ref="AC43:AC55" si="89">AC74+AC104</f>
        <v>65107.091330696574</v>
      </c>
      <c r="AD43" s="177">
        <f t="shared" ref="AD43:AT53" si="90">AD74+AD104</f>
        <v>177347.73233399997</v>
      </c>
      <c r="AE43" s="178">
        <f t="shared" si="90"/>
        <v>106419.66628799999</v>
      </c>
      <c r="AF43" s="177">
        <f t="shared" si="90"/>
        <v>0</v>
      </c>
      <c r="AG43" s="178">
        <f t="shared" si="90"/>
        <v>228126.12803175001</v>
      </c>
      <c r="AH43" s="177">
        <f t="shared" si="90"/>
        <v>4397636.8845569994</v>
      </c>
      <c r="AI43" s="178">
        <f t="shared" si="90"/>
        <v>21954.097476999999</v>
      </c>
      <c r="AJ43" s="177">
        <f t="shared" si="90"/>
        <v>624644.03327500005</v>
      </c>
      <c r="AK43" s="178">
        <f t="shared" si="90"/>
        <v>42026.889211000002</v>
      </c>
      <c r="AL43" s="177">
        <f t="shared" si="90"/>
        <v>2901493.4572807504</v>
      </c>
      <c r="AM43" s="178">
        <f t="shared" si="90"/>
        <v>1263443.1761277502</v>
      </c>
      <c r="AN43" s="179">
        <f t="shared" si="90"/>
        <v>3229159.4911717498</v>
      </c>
      <c r="AO43" s="178">
        <f t="shared" si="90"/>
        <v>493141.16173393111</v>
      </c>
      <c r="AP43" s="177">
        <f t="shared" si="90"/>
        <v>2808556.7834089142</v>
      </c>
      <c r="AQ43" s="176">
        <f t="shared" si="90"/>
        <v>92.305071331229783</v>
      </c>
      <c r="AR43" s="177">
        <f t="shared" si="90"/>
        <v>2287706.0912864469</v>
      </c>
      <c r="AS43" s="176">
        <f t="shared" si="90"/>
        <v>0</v>
      </c>
      <c r="AT43" s="177">
        <f t="shared" si="90"/>
        <v>0</v>
      </c>
      <c r="AU43" s="178">
        <f t="shared" ref="AU43" si="91">AU74+AU104</f>
        <v>0</v>
      </c>
      <c r="AV43" s="177">
        <f t="shared" ref="AV43:AV55" si="92">AV74+AV104</f>
        <v>3310071.3374274997</v>
      </c>
      <c r="AW43" s="176">
        <f t="shared" ref="AW43" si="93">AW74+AW104</f>
        <v>4332486.4017952504</v>
      </c>
    </row>
    <row r="44" spans="2:49">
      <c r="B44" s="201" t="s">
        <v>573</v>
      </c>
      <c r="C44" s="681">
        <v>45658</v>
      </c>
      <c r="D44" s="171">
        <f t="shared" ref="D44:Z44" si="94">D75+D105</f>
        <v>90857387.851715013</v>
      </c>
      <c r="E44" s="172">
        <f t="shared" si="94"/>
        <v>53543616.664714128</v>
      </c>
      <c r="F44" s="171">
        <f t="shared" si="94"/>
        <v>101670949.97580287</v>
      </c>
      <c r="G44" s="172">
        <f t="shared" si="94"/>
        <v>4626999.395264335</v>
      </c>
      <c r="H44" s="171">
        <f t="shared" si="94"/>
        <v>1069278.4032819998</v>
      </c>
      <c r="I44" s="172">
        <f t="shared" si="94"/>
        <v>1729131.6473470002</v>
      </c>
      <c r="J44" s="171">
        <f t="shared" si="94"/>
        <v>187559.0188302501</v>
      </c>
      <c r="K44" s="172">
        <f t="shared" si="94"/>
        <v>464910.58953966666</v>
      </c>
      <c r="L44" s="171">
        <f t="shared" si="94"/>
        <v>9538320.8414050024</v>
      </c>
      <c r="M44" s="172">
        <f t="shared" si="94"/>
        <v>77583424.013290972</v>
      </c>
      <c r="N44" s="173">
        <f t="shared" si="94"/>
        <v>21349341.306439668</v>
      </c>
      <c r="O44" s="172">
        <f t="shared" si="94"/>
        <v>19446455.816106252</v>
      </c>
      <c r="P44" s="171">
        <f t="shared" si="94"/>
        <v>186331482.21379355</v>
      </c>
      <c r="Q44" s="170">
        <f t="shared" si="94"/>
        <v>6777742.5913996249</v>
      </c>
      <c r="R44" s="171">
        <f t="shared" si="94"/>
        <v>18985430.234849125</v>
      </c>
      <c r="S44" s="170">
        <f t="shared" si="94"/>
        <v>7665593.7265240001</v>
      </c>
      <c r="T44" s="171">
        <f t="shared" si="94"/>
        <v>6119085.5446467511</v>
      </c>
      <c r="U44" s="170">
        <f t="shared" si="94"/>
        <v>2517434.6696798326</v>
      </c>
      <c r="V44" s="171">
        <f t="shared" si="94"/>
        <v>204114.50923020832</v>
      </c>
      <c r="W44" s="170">
        <f t="shared" si="94"/>
        <v>49322.668888541666</v>
      </c>
      <c r="X44" s="171">
        <f t="shared" si="94"/>
        <v>6998764.1158464998</v>
      </c>
      <c r="Y44" s="170">
        <f t="shared" si="94"/>
        <v>476830.28522479162</v>
      </c>
      <c r="Z44" s="171">
        <f t="shared" si="94"/>
        <v>2417834.7835840001</v>
      </c>
      <c r="AA44" s="170">
        <f t="shared" si="88"/>
        <v>3258035.0273872917</v>
      </c>
      <c r="AB44" s="171">
        <f t="shared" si="88"/>
        <v>6241097.5608930839</v>
      </c>
      <c r="AC44" s="170">
        <f t="shared" si="89"/>
        <v>64936.320719146002</v>
      </c>
      <c r="AD44" s="171">
        <f t="shared" ref="AD44:AJ44" si="95">AD75+AD105</f>
        <v>176878.71688966666</v>
      </c>
      <c r="AE44" s="172">
        <f t="shared" si="95"/>
        <v>106169.21358599998</v>
      </c>
      <c r="AF44" s="171">
        <f t="shared" si="95"/>
        <v>0</v>
      </c>
      <c r="AG44" s="172">
        <f t="shared" si="95"/>
        <v>227450.12603704169</v>
      </c>
      <c r="AH44" s="171">
        <f t="shared" si="95"/>
        <v>4386683.2223998327</v>
      </c>
      <c r="AI44" s="172">
        <f t="shared" si="95"/>
        <v>21902.112473166668</v>
      </c>
      <c r="AJ44" s="171">
        <f t="shared" si="95"/>
        <v>622757.04882083333</v>
      </c>
      <c r="AK44" s="172">
        <f t="shared" si="90"/>
        <v>41927.831996166671</v>
      </c>
      <c r="AL44" s="171">
        <f t="shared" si="90"/>
        <v>2894120.5001608753</v>
      </c>
      <c r="AM44" s="172">
        <f t="shared" si="90"/>
        <v>1259340.3821490416</v>
      </c>
      <c r="AN44" s="173">
        <f t="shared" si="90"/>
        <v>3221955.796783708</v>
      </c>
      <c r="AO44" s="172">
        <f t="shared" si="90"/>
        <v>492053.65660625295</v>
      </c>
      <c r="AP44" s="171">
        <f t="shared" si="90"/>
        <v>2802346.9233521116</v>
      </c>
      <c r="AQ44" s="170">
        <f t="shared" si="90"/>
        <v>92.100073663903501</v>
      </c>
      <c r="AR44" s="171">
        <f t="shared" si="90"/>
        <v>2282681.1891926215</v>
      </c>
      <c r="AS44" s="170">
        <f t="shared" si="90"/>
        <v>0</v>
      </c>
      <c r="AT44" s="171">
        <f t="shared" si="90"/>
        <v>0</v>
      </c>
      <c r="AU44" s="172">
        <f t="shared" ref="AU44" si="96">AU75+AU105</f>
        <v>0</v>
      </c>
      <c r="AV44" s="171">
        <f t="shared" si="92"/>
        <v>3302487.27449875</v>
      </c>
      <c r="AW44" s="170">
        <f t="shared" ref="AW44" si="97">AW75+AW105</f>
        <v>4322522.2987611257</v>
      </c>
    </row>
    <row r="45" spans="2:49">
      <c r="B45" s="201"/>
      <c r="C45" s="682">
        <v>45689</v>
      </c>
      <c r="D45" s="171">
        <f t="shared" ref="D45:Z45" si="98">D76+D106</f>
        <v>90581468.621960014</v>
      </c>
      <c r="E45" s="172">
        <f t="shared" si="98"/>
        <v>53371529.383959003</v>
      </c>
      <c r="F45" s="171">
        <f t="shared" si="98"/>
        <v>101411577.33520329</v>
      </c>
      <c r="G45" s="172">
        <f t="shared" si="98"/>
        <v>4605720.8117306689</v>
      </c>
      <c r="H45" s="171">
        <f t="shared" si="98"/>
        <v>1066580.4816079997</v>
      </c>
      <c r="I45" s="172">
        <f t="shared" si="98"/>
        <v>1724662.1669680001</v>
      </c>
      <c r="J45" s="171">
        <f t="shared" si="98"/>
        <v>187521.53830600012</v>
      </c>
      <c r="K45" s="172">
        <f t="shared" si="98"/>
        <v>463691.00804533332</v>
      </c>
      <c r="L45" s="171">
        <f t="shared" si="98"/>
        <v>9504260.6673200019</v>
      </c>
      <c r="M45" s="172">
        <f t="shared" si="98"/>
        <v>77225708.540903986</v>
      </c>
      <c r="N45" s="173">
        <f t="shared" si="98"/>
        <v>21292523.711645335</v>
      </c>
      <c r="O45" s="172">
        <f t="shared" si="98"/>
        <v>19383786.295550004</v>
      </c>
      <c r="P45" s="171">
        <f t="shared" si="98"/>
        <v>185871597.64576405</v>
      </c>
      <c r="Q45" s="170">
        <f t="shared" si="98"/>
        <v>6761649.630171</v>
      </c>
      <c r="R45" s="171">
        <f t="shared" si="98"/>
        <v>18941292.515898999</v>
      </c>
      <c r="S45" s="170">
        <f t="shared" si="98"/>
        <v>7645376.3849560004</v>
      </c>
      <c r="T45" s="171">
        <f t="shared" si="98"/>
        <v>6103370.4413820012</v>
      </c>
      <c r="U45" s="170">
        <f t="shared" si="98"/>
        <v>2511083.1835626662</v>
      </c>
      <c r="V45" s="171">
        <f t="shared" si="98"/>
        <v>203529.21769166665</v>
      </c>
      <c r="W45" s="170">
        <f t="shared" si="98"/>
        <v>49181.300158333332</v>
      </c>
      <c r="X45" s="171">
        <f t="shared" si="98"/>
        <v>6981664.4798959997</v>
      </c>
      <c r="Y45" s="170">
        <f t="shared" si="98"/>
        <v>475322.97632833326</v>
      </c>
      <c r="Z45" s="171">
        <f t="shared" si="98"/>
        <v>2412177.6465960001</v>
      </c>
      <c r="AA45" s="170">
        <f t="shared" si="88"/>
        <v>3250486.555228333</v>
      </c>
      <c r="AB45" s="171">
        <f t="shared" si="88"/>
        <v>6227190.6708918335</v>
      </c>
      <c r="AC45" s="170">
        <f t="shared" si="89"/>
        <v>64765.550107595431</v>
      </c>
      <c r="AD45" s="171">
        <f t="shared" si="90"/>
        <v>176409.70144533331</v>
      </c>
      <c r="AE45" s="172">
        <f t="shared" si="90"/>
        <v>105918.76088399999</v>
      </c>
      <c r="AF45" s="171">
        <f t="shared" si="90"/>
        <v>1622066.560694044</v>
      </c>
      <c r="AG45" s="172">
        <f t="shared" si="90"/>
        <v>226774.12404233334</v>
      </c>
      <c r="AH45" s="171">
        <f t="shared" si="90"/>
        <v>4375729.5602426659</v>
      </c>
      <c r="AI45" s="172">
        <f t="shared" si="90"/>
        <v>21850.127469333333</v>
      </c>
      <c r="AJ45" s="171">
        <f t="shared" si="90"/>
        <v>620870.06436666672</v>
      </c>
      <c r="AK45" s="172">
        <f t="shared" si="90"/>
        <v>41828.774781333334</v>
      </c>
      <c r="AL45" s="171">
        <f t="shared" si="90"/>
        <v>2886747.5430410001</v>
      </c>
      <c r="AM45" s="172">
        <f t="shared" si="90"/>
        <v>1255237.5881703333</v>
      </c>
      <c r="AN45" s="173">
        <f t="shared" si="90"/>
        <v>3214752.1023956668</v>
      </c>
      <c r="AO45" s="172">
        <f t="shared" si="90"/>
        <v>490966.15147857479</v>
      </c>
      <c r="AP45" s="171">
        <f t="shared" si="90"/>
        <v>2796137.0632953094</v>
      </c>
      <c r="AQ45" s="170">
        <f t="shared" si="90"/>
        <v>91.895075996577219</v>
      </c>
      <c r="AR45" s="171">
        <f t="shared" si="90"/>
        <v>2277656.2870987966</v>
      </c>
      <c r="AS45" s="170">
        <f t="shared" si="90"/>
        <v>0</v>
      </c>
      <c r="AT45" s="171">
        <f t="shared" si="90"/>
        <v>16229089.743398868</v>
      </c>
      <c r="AU45" s="172">
        <f t="shared" ref="AU45" si="99">AU76+AU106</f>
        <v>7550780.5529810395</v>
      </c>
      <c r="AV45" s="171">
        <f t="shared" si="92"/>
        <v>3294903.2115699998</v>
      </c>
      <c r="AW45" s="170">
        <f t="shared" ref="AW45" si="100">AW76+AW106</f>
        <v>4312558.195727</v>
      </c>
    </row>
    <row r="46" spans="2:49">
      <c r="B46" s="201"/>
      <c r="C46" s="682">
        <v>45717</v>
      </c>
      <c r="D46" s="171">
        <f t="shared" ref="D46:Z46" si="101">D77+D107</f>
        <v>90305549.392205015</v>
      </c>
      <c r="E46" s="172">
        <f t="shared" si="101"/>
        <v>53199442.103203878</v>
      </c>
      <c r="F46" s="171">
        <f t="shared" si="101"/>
        <v>101152204.69460371</v>
      </c>
      <c r="G46" s="172">
        <f t="shared" si="101"/>
        <v>4584442.2281970028</v>
      </c>
      <c r="H46" s="171">
        <f t="shared" si="101"/>
        <v>1063882.5599339998</v>
      </c>
      <c r="I46" s="172">
        <f t="shared" si="101"/>
        <v>1720192.686589</v>
      </c>
      <c r="J46" s="171">
        <f t="shared" si="101"/>
        <v>187484.05778175013</v>
      </c>
      <c r="K46" s="172">
        <f t="shared" si="101"/>
        <v>462471.42655099998</v>
      </c>
      <c r="L46" s="171">
        <f t="shared" si="101"/>
        <v>9470200.4932350032</v>
      </c>
      <c r="M46" s="172">
        <f t="shared" si="101"/>
        <v>76867993.06851697</v>
      </c>
      <c r="N46" s="173">
        <f t="shared" si="101"/>
        <v>21235706.116851002</v>
      </c>
      <c r="O46" s="172">
        <f t="shared" si="101"/>
        <v>19321116.774993755</v>
      </c>
      <c r="P46" s="171">
        <f t="shared" si="101"/>
        <v>185411713.07773453</v>
      </c>
      <c r="Q46" s="170">
        <f t="shared" si="101"/>
        <v>6745556.6689423751</v>
      </c>
      <c r="R46" s="171">
        <f t="shared" si="101"/>
        <v>18897154.796948873</v>
      </c>
      <c r="S46" s="170">
        <f t="shared" si="101"/>
        <v>7625159.0433879998</v>
      </c>
      <c r="T46" s="171">
        <f t="shared" si="101"/>
        <v>6087655.3381172512</v>
      </c>
      <c r="U46" s="170">
        <f t="shared" si="101"/>
        <v>2504731.6974454997</v>
      </c>
      <c r="V46" s="171">
        <f t="shared" si="101"/>
        <v>202943.92615312498</v>
      </c>
      <c r="W46" s="170">
        <f t="shared" si="101"/>
        <v>49039.931428124997</v>
      </c>
      <c r="X46" s="171">
        <f t="shared" si="101"/>
        <v>6964564.8439454995</v>
      </c>
      <c r="Y46" s="170">
        <f t="shared" si="101"/>
        <v>473815.66743187496</v>
      </c>
      <c r="Z46" s="171">
        <f t="shared" si="101"/>
        <v>2406520.5096080001</v>
      </c>
      <c r="AA46" s="170">
        <f t="shared" si="88"/>
        <v>3242938.0830693748</v>
      </c>
      <c r="AB46" s="171">
        <f t="shared" si="88"/>
        <v>6213283.780890584</v>
      </c>
      <c r="AC46" s="170">
        <f t="shared" si="89"/>
        <v>64594.779496044859</v>
      </c>
      <c r="AD46" s="171">
        <f t="shared" si="90"/>
        <v>175940.68600099999</v>
      </c>
      <c r="AE46" s="172">
        <f t="shared" si="90"/>
        <v>105668.30818199999</v>
      </c>
      <c r="AF46" s="171">
        <f t="shared" si="90"/>
        <v>1618503.7229290882</v>
      </c>
      <c r="AG46" s="172">
        <f t="shared" si="90"/>
        <v>226098.12204762502</v>
      </c>
      <c r="AH46" s="171">
        <f t="shared" si="90"/>
        <v>4364775.8980854992</v>
      </c>
      <c r="AI46" s="172">
        <f t="shared" si="90"/>
        <v>21798.142465500001</v>
      </c>
      <c r="AJ46" s="171">
        <f t="shared" si="90"/>
        <v>618983.07991249999</v>
      </c>
      <c r="AK46" s="172">
        <f t="shared" si="90"/>
        <v>41729.717566500003</v>
      </c>
      <c r="AL46" s="171">
        <f t="shared" si="90"/>
        <v>2879374.585921125</v>
      </c>
      <c r="AM46" s="172">
        <f t="shared" si="90"/>
        <v>1251134.794191625</v>
      </c>
      <c r="AN46" s="173">
        <f t="shared" si="90"/>
        <v>3207548.408007625</v>
      </c>
      <c r="AO46" s="172">
        <f t="shared" si="90"/>
        <v>489878.64635089668</v>
      </c>
      <c r="AP46" s="171">
        <f t="shared" si="90"/>
        <v>2789927.2032385068</v>
      </c>
      <c r="AQ46" s="170">
        <f t="shared" si="90"/>
        <v>91.690078329250923</v>
      </c>
      <c r="AR46" s="171">
        <f t="shared" si="90"/>
        <v>2272631.3850049716</v>
      </c>
      <c r="AS46" s="170">
        <f t="shared" si="90"/>
        <v>0</v>
      </c>
      <c r="AT46" s="171">
        <f t="shared" si="90"/>
        <v>16193442.862296836</v>
      </c>
      <c r="AU46" s="172">
        <f t="shared" ref="AU46" si="102">AU77+AU107</f>
        <v>7534195.4098303504</v>
      </c>
      <c r="AV46" s="171">
        <f t="shared" si="92"/>
        <v>3287319.1486412496</v>
      </c>
      <c r="AW46" s="170">
        <f t="shared" ref="AW46" si="103">AW77+AW107</f>
        <v>4302594.0926928753</v>
      </c>
    </row>
    <row r="47" spans="2:49">
      <c r="B47" s="201"/>
      <c r="C47" s="682">
        <v>45748</v>
      </c>
      <c r="D47" s="171">
        <f t="shared" ref="D47:Z47" si="104">D78+D108</f>
        <v>90029630.162450016</v>
      </c>
      <c r="E47" s="172">
        <f t="shared" si="104"/>
        <v>53027354.822448753</v>
      </c>
      <c r="F47" s="171">
        <f t="shared" si="104"/>
        <v>100892832.05400412</v>
      </c>
      <c r="G47" s="172">
        <f t="shared" si="104"/>
        <v>4563163.6446633358</v>
      </c>
      <c r="H47" s="171">
        <f t="shared" si="104"/>
        <v>1061184.6382599997</v>
      </c>
      <c r="I47" s="172">
        <f t="shared" si="104"/>
        <v>1715723.20621</v>
      </c>
      <c r="J47" s="171">
        <f t="shared" si="104"/>
        <v>187446.57725750015</v>
      </c>
      <c r="K47" s="172">
        <f t="shared" si="104"/>
        <v>461251.84505666664</v>
      </c>
      <c r="L47" s="171">
        <f t="shared" si="104"/>
        <v>9436140.3191500045</v>
      </c>
      <c r="M47" s="172">
        <f t="shared" si="104"/>
        <v>76510277.596129984</v>
      </c>
      <c r="N47" s="173">
        <f t="shared" si="104"/>
        <v>21178888.522056669</v>
      </c>
      <c r="O47" s="172">
        <f t="shared" si="104"/>
        <v>19258447.254437506</v>
      </c>
      <c r="P47" s="171">
        <f t="shared" si="104"/>
        <v>184951828.50970504</v>
      </c>
      <c r="Q47" s="170">
        <f t="shared" si="104"/>
        <v>6729463.7077137493</v>
      </c>
      <c r="R47" s="171">
        <f t="shared" si="104"/>
        <v>18853017.07799875</v>
      </c>
      <c r="S47" s="170">
        <f t="shared" si="104"/>
        <v>7604941.7018200001</v>
      </c>
      <c r="T47" s="171">
        <f t="shared" si="104"/>
        <v>6071940.2348525012</v>
      </c>
      <c r="U47" s="170">
        <f t="shared" si="104"/>
        <v>2498380.2113283328</v>
      </c>
      <c r="V47" s="171">
        <f t="shared" si="104"/>
        <v>202358.63461458331</v>
      </c>
      <c r="W47" s="170">
        <f t="shared" si="104"/>
        <v>48898.562697916663</v>
      </c>
      <c r="X47" s="171">
        <f t="shared" si="104"/>
        <v>6947465.2079950003</v>
      </c>
      <c r="Y47" s="170">
        <f t="shared" si="104"/>
        <v>472308.35853541666</v>
      </c>
      <c r="Z47" s="171">
        <f t="shared" si="104"/>
        <v>2400863.37262</v>
      </c>
      <c r="AA47" s="170">
        <f t="shared" si="88"/>
        <v>3235389.6109104166</v>
      </c>
      <c r="AB47" s="171">
        <f t="shared" si="88"/>
        <v>6199376.8908893336</v>
      </c>
      <c r="AC47" s="170">
        <f t="shared" si="89"/>
        <v>64424.008884494287</v>
      </c>
      <c r="AD47" s="171">
        <f t="shared" si="90"/>
        <v>175471.67055666665</v>
      </c>
      <c r="AE47" s="172">
        <f t="shared" si="90"/>
        <v>105417.85547999998</v>
      </c>
      <c r="AF47" s="171">
        <f t="shared" si="90"/>
        <v>1614940.8851641321</v>
      </c>
      <c r="AG47" s="172">
        <f t="shared" si="90"/>
        <v>225422.1200529167</v>
      </c>
      <c r="AH47" s="171">
        <f t="shared" si="90"/>
        <v>4353822.2359283324</v>
      </c>
      <c r="AI47" s="172">
        <f t="shared" si="90"/>
        <v>21746.157461666666</v>
      </c>
      <c r="AJ47" s="171">
        <f t="shared" si="90"/>
        <v>617096.09545833338</v>
      </c>
      <c r="AK47" s="172">
        <f t="shared" si="90"/>
        <v>41630.660351666666</v>
      </c>
      <c r="AL47" s="171">
        <f t="shared" si="90"/>
        <v>2872001.6288012499</v>
      </c>
      <c r="AM47" s="172">
        <f t="shared" si="90"/>
        <v>1247032.0002129166</v>
      </c>
      <c r="AN47" s="173">
        <f t="shared" si="90"/>
        <v>3200344.7136195833</v>
      </c>
      <c r="AO47" s="172">
        <f t="shared" si="90"/>
        <v>488791.14122321852</v>
      </c>
      <c r="AP47" s="171">
        <f t="shared" si="90"/>
        <v>2783717.3431817042</v>
      </c>
      <c r="AQ47" s="170">
        <f t="shared" si="90"/>
        <v>91.485080661924641</v>
      </c>
      <c r="AR47" s="171">
        <f t="shared" si="90"/>
        <v>2267606.4829111462</v>
      </c>
      <c r="AS47" s="170">
        <f t="shared" si="90"/>
        <v>0</v>
      </c>
      <c r="AT47" s="171">
        <f t="shared" si="90"/>
        <v>16157795.981194805</v>
      </c>
      <c r="AU47" s="172">
        <f t="shared" ref="AU47" si="105">AU78+AU108</f>
        <v>7517610.2666796623</v>
      </c>
      <c r="AV47" s="171">
        <f t="shared" si="92"/>
        <v>3279735.0857124999</v>
      </c>
      <c r="AW47" s="170">
        <f t="shared" ref="AW47" si="106">AW78+AW108</f>
        <v>4292629.9896587506</v>
      </c>
    </row>
    <row r="48" spans="2:49">
      <c r="B48" s="201"/>
      <c r="C48" s="682">
        <v>45778</v>
      </c>
      <c r="D48" s="171">
        <f t="shared" ref="D48:Z48" si="107">D79+D109</f>
        <v>89753710.932695016</v>
      </c>
      <c r="E48" s="172">
        <f t="shared" si="107"/>
        <v>52855267.541693628</v>
      </c>
      <c r="F48" s="171">
        <f t="shared" si="107"/>
        <v>100633459.41340452</v>
      </c>
      <c r="G48" s="172">
        <f t="shared" si="107"/>
        <v>4541885.0611296687</v>
      </c>
      <c r="H48" s="171">
        <f t="shared" si="107"/>
        <v>1058486.7165859996</v>
      </c>
      <c r="I48" s="172">
        <f t="shared" si="107"/>
        <v>1711253.7258310001</v>
      </c>
      <c r="J48" s="171">
        <f t="shared" si="107"/>
        <v>187409.09673325016</v>
      </c>
      <c r="K48" s="172">
        <f t="shared" si="107"/>
        <v>460032.2635623333</v>
      </c>
      <c r="L48" s="171">
        <f t="shared" si="107"/>
        <v>9402080.145065004</v>
      </c>
      <c r="M48" s="172">
        <f t="shared" si="107"/>
        <v>76152562.123742968</v>
      </c>
      <c r="N48" s="173">
        <f t="shared" si="107"/>
        <v>21122070.927262336</v>
      </c>
      <c r="O48" s="172">
        <f t="shared" si="107"/>
        <v>19195777.733881254</v>
      </c>
      <c r="P48" s="171">
        <f t="shared" si="107"/>
        <v>184491943.94167554</v>
      </c>
      <c r="Q48" s="170">
        <f t="shared" si="107"/>
        <v>6713370.7464851253</v>
      </c>
      <c r="R48" s="171">
        <f t="shared" si="107"/>
        <v>18808879.359048624</v>
      </c>
      <c r="S48" s="170">
        <f t="shared" si="107"/>
        <v>7584724.3602520004</v>
      </c>
      <c r="T48" s="171">
        <f t="shared" si="107"/>
        <v>6056225.1315877512</v>
      </c>
      <c r="U48" s="170">
        <f t="shared" si="107"/>
        <v>2492028.7252111663</v>
      </c>
      <c r="V48" s="171">
        <f t="shared" si="107"/>
        <v>201773.34307604164</v>
      </c>
      <c r="W48" s="170">
        <f t="shared" si="107"/>
        <v>48757.193967708328</v>
      </c>
      <c r="X48" s="171">
        <f t="shared" si="107"/>
        <v>6930365.5720445001</v>
      </c>
      <c r="Y48" s="170">
        <f t="shared" si="107"/>
        <v>470801.0496389583</v>
      </c>
      <c r="Z48" s="171">
        <f t="shared" si="107"/>
        <v>2395206.235632</v>
      </c>
      <c r="AA48" s="170">
        <f t="shared" si="88"/>
        <v>3227841.1387514584</v>
      </c>
      <c r="AB48" s="171">
        <f t="shared" si="88"/>
        <v>6185470.0008880831</v>
      </c>
      <c r="AC48" s="170">
        <f t="shared" si="89"/>
        <v>64253.238272943716</v>
      </c>
      <c r="AD48" s="171">
        <f t="shared" si="90"/>
        <v>175002.6551123333</v>
      </c>
      <c r="AE48" s="172">
        <f t="shared" si="90"/>
        <v>105167.40277799999</v>
      </c>
      <c r="AF48" s="171">
        <f t="shared" si="90"/>
        <v>1611378.0473991761</v>
      </c>
      <c r="AG48" s="172">
        <f t="shared" si="90"/>
        <v>224746.11805820835</v>
      </c>
      <c r="AH48" s="171">
        <f t="shared" si="90"/>
        <v>4342868.5737711657</v>
      </c>
      <c r="AI48" s="172">
        <f t="shared" si="90"/>
        <v>21694.172457833334</v>
      </c>
      <c r="AJ48" s="171">
        <f t="shared" si="90"/>
        <v>615209.11100416665</v>
      </c>
      <c r="AK48" s="172">
        <f t="shared" si="90"/>
        <v>41531.603136833335</v>
      </c>
      <c r="AL48" s="171">
        <f t="shared" si="90"/>
        <v>2864628.6716813748</v>
      </c>
      <c r="AM48" s="172">
        <f t="shared" si="90"/>
        <v>1242929.2062342085</v>
      </c>
      <c r="AN48" s="173">
        <f t="shared" si="90"/>
        <v>3193141.0192315415</v>
      </c>
      <c r="AO48" s="172">
        <f t="shared" si="90"/>
        <v>487703.63609554037</v>
      </c>
      <c r="AP48" s="171">
        <f t="shared" si="90"/>
        <v>2777507.4831249015</v>
      </c>
      <c r="AQ48" s="170">
        <f t="shared" si="90"/>
        <v>91.280082994598359</v>
      </c>
      <c r="AR48" s="171">
        <f t="shared" si="90"/>
        <v>2262581.5808173213</v>
      </c>
      <c r="AS48" s="170">
        <f t="shared" si="90"/>
        <v>0</v>
      </c>
      <c r="AT48" s="171">
        <f t="shared" si="90"/>
        <v>16122149.100092774</v>
      </c>
      <c r="AU48" s="172">
        <f t="shared" ref="AU48" si="108">AU79+AU109</f>
        <v>7501025.1235289723</v>
      </c>
      <c r="AV48" s="171">
        <f t="shared" si="92"/>
        <v>3272151.0227837497</v>
      </c>
      <c r="AW48" s="170">
        <f t="shared" ref="AW48" si="109">AW79+AW109</f>
        <v>4282665.886624625</v>
      </c>
    </row>
    <row r="49" spans="2:51">
      <c r="B49" s="201"/>
      <c r="C49" s="682">
        <v>45809</v>
      </c>
      <c r="D49" s="171">
        <f t="shared" ref="D49:Z49" si="110">D80+D110</f>
        <v>89477791.702940017</v>
      </c>
      <c r="E49" s="172">
        <f t="shared" si="110"/>
        <v>52683180.260938503</v>
      </c>
      <c r="F49" s="171">
        <f t="shared" si="110"/>
        <v>100374086.77280495</v>
      </c>
      <c r="G49" s="172">
        <f t="shared" si="110"/>
        <v>4520606.4775960017</v>
      </c>
      <c r="H49" s="171">
        <f t="shared" si="110"/>
        <v>1055788.7949119997</v>
      </c>
      <c r="I49" s="172">
        <f t="shared" si="110"/>
        <v>1706784.2454520001</v>
      </c>
      <c r="J49" s="171">
        <f t="shared" si="110"/>
        <v>187371.61620900017</v>
      </c>
      <c r="K49" s="172">
        <f t="shared" si="110"/>
        <v>458812.68206799997</v>
      </c>
      <c r="L49" s="171">
        <f t="shared" si="110"/>
        <v>9368019.9709800035</v>
      </c>
      <c r="M49" s="172">
        <f t="shared" si="110"/>
        <v>75794846.651355982</v>
      </c>
      <c r="N49" s="173">
        <f t="shared" si="110"/>
        <v>21065253.332468003</v>
      </c>
      <c r="O49" s="172">
        <f t="shared" si="110"/>
        <v>19133108.213325005</v>
      </c>
      <c r="P49" s="171">
        <f t="shared" si="110"/>
        <v>184032059.37364605</v>
      </c>
      <c r="Q49" s="170">
        <f t="shared" si="110"/>
        <v>6697277.7852564994</v>
      </c>
      <c r="R49" s="171">
        <f t="shared" si="110"/>
        <v>18764741.640098497</v>
      </c>
      <c r="S49" s="170">
        <f t="shared" si="110"/>
        <v>7564507.0186839998</v>
      </c>
      <c r="T49" s="171">
        <f t="shared" si="110"/>
        <v>6040510.0283230012</v>
      </c>
      <c r="U49" s="170">
        <f t="shared" si="110"/>
        <v>2485677.2390939994</v>
      </c>
      <c r="V49" s="171">
        <f t="shared" si="110"/>
        <v>201188.0515375</v>
      </c>
      <c r="W49" s="170">
        <f t="shared" si="110"/>
        <v>48615.825237499994</v>
      </c>
      <c r="X49" s="171">
        <f t="shared" si="110"/>
        <v>6913265.936094</v>
      </c>
      <c r="Y49" s="170">
        <f t="shared" si="110"/>
        <v>469293.74074249994</v>
      </c>
      <c r="Z49" s="171">
        <f t="shared" si="110"/>
        <v>2389549.098644</v>
      </c>
      <c r="AA49" s="170">
        <f t="shared" si="88"/>
        <v>3220292.6665924997</v>
      </c>
      <c r="AB49" s="171">
        <f t="shared" si="88"/>
        <v>6171563.1108868336</v>
      </c>
      <c r="AC49" s="170">
        <f t="shared" si="89"/>
        <v>64082.467661393144</v>
      </c>
      <c r="AD49" s="171">
        <f t="shared" si="90"/>
        <v>174533.63966799999</v>
      </c>
      <c r="AE49" s="172">
        <f t="shared" si="90"/>
        <v>104916.95007599999</v>
      </c>
      <c r="AF49" s="171">
        <f t="shared" si="90"/>
        <v>1607815.2096342202</v>
      </c>
      <c r="AG49" s="172">
        <f t="shared" si="90"/>
        <v>224070.11606350003</v>
      </c>
      <c r="AH49" s="171">
        <f t="shared" si="90"/>
        <v>4331914.9116139989</v>
      </c>
      <c r="AI49" s="172">
        <f t="shared" si="90"/>
        <v>21642.187453999999</v>
      </c>
      <c r="AJ49" s="171">
        <f t="shared" si="90"/>
        <v>613322.12655000004</v>
      </c>
      <c r="AK49" s="172">
        <f t="shared" si="90"/>
        <v>41432.545922000005</v>
      </c>
      <c r="AL49" s="171">
        <f t="shared" si="90"/>
        <v>2857255.7145615001</v>
      </c>
      <c r="AM49" s="172">
        <f t="shared" si="90"/>
        <v>1238826.4122555</v>
      </c>
      <c r="AN49" s="173">
        <f t="shared" si="90"/>
        <v>3185937.3248434998</v>
      </c>
      <c r="AO49" s="172">
        <f t="shared" si="90"/>
        <v>486616.13096786221</v>
      </c>
      <c r="AP49" s="171">
        <f t="shared" si="90"/>
        <v>2771297.6230680994</v>
      </c>
      <c r="AQ49" s="170">
        <f t="shared" si="90"/>
        <v>91.075085327272078</v>
      </c>
      <c r="AR49" s="171">
        <f t="shared" si="90"/>
        <v>2257556.6787234964</v>
      </c>
      <c r="AS49" s="170">
        <f t="shared" si="90"/>
        <v>3030568.7500647819</v>
      </c>
      <c r="AT49" s="171">
        <f t="shared" si="90"/>
        <v>16086502.218990743</v>
      </c>
      <c r="AU49" s="172">
        <f t="shared" ref="AU49" si="111">AU80+AU110</f>
        <v>7484439.9803782851</v>
      </c>
      <c r="AV49" s="171">
        <f t="shared" si="92"/>
        <v>3264566.9598549996</v>
      </c>
      <c r="AW49" s="170">
        <f t="shared" ref="AW49" si="112">AW80+AW110</f>
        <v>4272701.7835905002</v>
      </c>
      <c r="AX49" s="538"/>
      <c r="AY49" s="165"/>
    </row>
    <row r="50" spans="2:51">
      <c r="B50" s="201"/>
      <c r="C50" s="682">
        <v>45839</v>
      </c>
      <c r="D50" s="171">
        <f t="shared" ref="D50:Z50" si="113">D81+D111</f>
        <v>89201872.473185018</v>
      </c>
      <c r="E50" s="172">
        <f t="shared" si="113"/>
        <v>52511092.980183378</v>
      </c>
      <c r="F50" s="171">
        <f t="shared" si="113"/>
        <v>100114714.13220537</v>
      </c>
      <c r="G50" s="172">
        <f t="shared" si="113"/>
        <v>4499327.8940623347</v>
      </c>
      <c r="H50" s="171">
        <f t="shared" si="113"/>
        <v>1053090.8732379996</v>
      </c>
      <c r="I50" s="172">
        <f t="shared" si="113"/>
        <v>1702314.765073</v>
      </c>
      <c r="J50" s="171">
        <f t="shared" si="113"/>
        <v>187334.13568475019</v>
      </c>
      <c r="K50" s="172">
        <f t="shared" si="113"/>
        <v>457593.10057366668</v>
      </c>
      <c r="L50" s="171">
        <f t="shared" si="113"/>
        <v>9333959.7968950048</v>
      </c>
      <c r="M50" s="172">
        <f t="shared" si="113"/>
        <v>75437131.178968966</v>
      </c>
      <c r="N50" s="173">
        <f t="shared" si="113"/>
        <v>21008435.73767367</v>
      </c>
      <c r="O50" s="172">
        <f t="shared" si="113"/>
        <v>19070438.692768756</v>
      </c>
      <c r="P50" s="171">
        <f t="shared" si="113"/>
        <v>183572174.80561656</v>
      </c>
      <c r="Q50" s="170">
        <f t="shared" si="113"/>
        <v>6681184.8240278754</v>
      </c>
      <c r="R50" s="171">
        <f t="shared" si="113"/>
        <v>18720603.921148375</v>
      </c>
      <c r="S50" s="170">
        <f t="shared" si="113"/>
        <v>7544289.6771160001</v>
      </c>
      <c r="T50" s="171">
        <f t="shared" si="113"/>
        <v>6024794.9250582512</v>
      </c>
      <c r="U50" s="170">
        <f t="shared" si="113"/>
        <v>2479325.7529768329</v>
      </c>
      <c r="V50" s="171">
        <f t="shared" si="113"/>
        <v>200602.75999895833</v>
      </c>
      <c r="W50" s="170">
        <f t="shared" si="113"/>
        <v>48474.456507291659</v>
      </c>
      <c r="X50" s="171">
        <f t="shared" si="113"/>
        <v>6896166.3001434999</v>
      </c>
      <c r="Y50" s="170">
        <f t="shared" si="113"/>
        <v>467786.43184604164</v>
      </c>
      <c r="Z50" s="171">
        <f t="shared" si="113"/>
        <v>2383891.961656</v>
      </c>
      <c r="AA50" s="170">
        <f t="shared" si="88"/>
        <v>3212744.1944335415</v>
      </c>
      <c r="AB50" s="171">
        <f t="shared" si="88"/>
        <v>6157656.2208855841</v>
      </c>
      <c r="AC50" s="170">
        <f t="shared" si="89"/>
        <v>63911.697049842573</v>
      </c>
      <c r="AD50" s="171">
        <f t="shared" si="90"/>
        <v>174064.62422366664</v>
      </c>
      <c r="AE50" s="172">
        <f t="shared" si="90"/>
        <v>104666.49737399998</v>
      </c>
      <c r="AF50" s="171">
        <f t="shared" si="90"/>
        <v>1604252.3718692642</v>
      </c>
      <c r="AG50" s="172">
        <f t="shared" si="90"/>
        <v>223394.11406879168</v>
      </c>
      <c r="AH50" s="171">
        <f t="shared" si="90"/>
        <v>4320961.2494568331</v>
      </c>
      <c r="AI50" s="172">
        <f t="shared" si="90"/>
        <v>21590.202450166667</v>
      </c>
      <c r="AJ50" s="171">
        <f t="shared" si="90"/>
        <v>611435.14209583332</v>
      </c>
      <c r="AK50" s="172">
        <f t="shared" si="90"/>
        <v>41333.488707166667</v>
      </c>
      <c r="AL50" s="171">
        <f t="shared" si="90"/>
        <v>2849882.7574416255</v>
      </c>
      <c r="AM50" s="172">
        <f t="shared" si="90"/>
        <v>1234723.6182767916</v>
      </c>
      <c r="AN50" s="173">
        <f t="shared" si="90"/>
        <v>3178733.6304554581</v>
      </c>
      <c r="AO50" s="172">
        <f t="shared" si="90"/>
        <v>485528.62584018405</v>
      </c>
      <c r="AP50" s="171">
        <f t="shared" si="90"/>
        <v>2765087.7630112967</v>
      </c>
      <c r="AQ50" s="170">
        <f t="shared" si="90"/>
        <v>90.870087659945781</v>
      </c>
      <c r="AR50" s="171">
        <f t="shared" si="90"/>
        <v>2252531.776629671</v>
      </c>
      <c r="AS50" s="170">
        <f t="shared" si="90"/>
        <v>3023912.1645376096</v>
      </c>
      <c r="AT50" s="171">
        <f t="shared" si="90"/>
        <v>16050855.337888712</v>
      </c>
      <c r="AU50" s="172">
        <f t="shared" ref="AU50" si="114">AU81+AU111</f>
        <v>7467854.837227596</v>
      </c>
      <c r="AV50" s="171">
        <f t="shared" si="92"/>
        <v>3256982.8969262498</v>
      </c>
      <c r="AW50" s="170">
        <f t="shared" ref="AW50" si="115">AW81+AW111</f>
        <v>4262737.6805563755</v>
      </c>
      <c r="AX50" s="538"/>
      <c r="AY50" s="165"/>
    </row>
    <row r="51" spans="2:51">
      <c r="B51" s="201"/>
      <c r="C51" s="682">
        <v>45870</v>
      </c>
      <c r="D51" s="171">
        <f t="shared" ref="D51:Z51" si="116">D82+D112</f>
        <v>88925953.243430018</v>
      </c>
      <c r="E51" s="172">
        <f t="shared" si="116"/>
        <v>52339005.699428253</v>
      </c>
      <c r="F51" s="171">
        <f t="shared" si="116"/>
        <v>99855341.491605774</v>
      </c>
      <c r="G51" s="172">
        <f t="shared" si="116"/>
        <v>4478049.3105286676</v>
      </c>
      <c r="H51" s="171">
        <f t="shared" si="116"/>
        <v>1050392.9515639995</v>
      </c>
      <c r="I51" s="172">
        <f t="shared" si="116"/>
        <v>1697845.2846940001</v>
      </c>
      <c r="J51" s="171">
        <f t="shared" si="116"/>
        <v>187296.6551605002</v>
      </c>
      <c r="K51" s="172">
        <f t="shared" si="116"/>
        <v>456373.51907933335</v>
      </c>
      <c r="L51" s="171">
        <f t="shared" si="116"/>
        <v>9299899.6228100061</v>
      </c>
      <c r="M51" s="172">
        <f t="shared" si="116"/>
        <v>75079415.70658198</v>
      </c>
      <c r="N51" s="173">
        <f t="shared" si="116"/>
        <v>20951618.142879337</v>
      </c>
      <c r="O51" s="172">
        <f t="shared" si="116"/>
        <v>19007769.172212504</v>
      </c>
      <c r="P51" s="171">
        <f t="shared" si="116"/>
        <v>183112290.23758706</v>
      </c>
      <c r="Q51" s="170">
        <f t="shared" si="116"/>
        <v>6665091.8627992496</v>
      </c>
      <c r="R51" s="171">
        <f t="shared" si="116"/>
        <v>18676466.202198248</v>
      </c>
      <c r="S51" s="170">
        <f t="shared" si="116"/>
        <v>7524072.3355480004</v>
      </c>
      <c r="T51" s="171">
        <f t="shared" si="116"/>
        <v>6009079.8217935013</v>
      </c>
      <c r="U51" s="170">
        <f t="shared" si="116"/>
        <v>2472974.266859666</v>
      </c>
      <c r="V51" s="171">
        <f t="shared" si="116"/>
        <v>200017.46846041665</v>
      </c>
      <c r="W51" s="170">
        <f t="shared" si="116"/>
        <v>48333.087777083332</v>
      </c>
      <c r="X51" s="171">
        <f t="shared" si="116"/>
        <v>6879066.6641929997</v>
      </c>
      <c r="Y51" s="170">
        <f t="shared" si="116"/>
        <v>466279.12294958334</v>
      </c>
      <c r="Z51" s="171">
        <f t="shared" si="116"/>
        <v>2378234.824668</v>
      </c>
      <c r="AA51" s="170">
        <f t="shared" si="88"/>
        <v>3205195.7222745833</v>
      </c>
      <c r="AB51" s="171">
        <f t="shared" si="88"/>
        <v>6143749.3308843337</v>
      </c>
      <c r="AC51" s="170">
        <f t="shared" si="89"/>
        <v>63740.926438292001</v>
      </c>
      <c r="AD51" s="171">
        <f t="shared" si="90"/>
        <v>173595.6087793333</v>
      </c>
      <c r="AE51" s="172">
        <f t="shared" si="90"/>
        <v>104416.04467199999</v>
      </c>
      <c r="AF51" s="171">
        <f t="shared" si="90"/>
        <v>1600689.5341043081</v>
      </c>
      <c r="AG51" s="172">
        <f t="shared" si="90"/>
        <v>222718.11207408336</v>
      </c>
      <c r="AH51" s="171">
        <f t="shared" si="90"/>
        <v>4310007.5872996654</v>
      </c>
      <c r="AI51" s="172">
        <f t="shared" si="90"/>
        <v>21538.217446333332</v>
      </c>
      <c r="AJ51" s="171">
        <f t="shared" si="90"/>
        <v>609548.15764166671</v>
      </c>
      <c r="AK51" s="172">
        <f t="shared" si="90"/>
        <v>41234.431492333337</v>
      </c>
      <c r="AL51" s="171">
        <f t="shared" si="90"/>
        <v>2842509.8003217503</v>
      </c>
      <c r="AM51" s="172">
        <f t="shared" si="90"/>
        <v>1230620.8242980835</v>
      </c>
      <c r="AN51" s="173">
        <f t="shared" si="90"/>
        <v>3171529.9360674163</v>
      </c>
      <c r="AO51" s="172">
        <f t="shared" si="90"/>
        <v>484441.12071250589</v>
      </c>
      <c r="AP51" s="171">
        <f t="shared" si="90"/>
        <v>2758877.9029544941</v>
      </c>
      <c r="AQ51" s="170">
        <f t="shared" si="90"/>
        <v>90.6650899926195</v>
      </c>
      <c r="AR51" s="171">
        <f t="shared" si="90"/>
        <v>2247506.8745358461</v>
      </c>
      <c r="AS51" s="170">
        <f t="shared" si="90"/>
        <v>3017255.5790104372</v>
      </c>
      <c r="AT51" s="171">
        <f t="shared" si="90"/>
        <v>16015208.456786681</v>
      </c>
      <c r="AU51" s="172">
        <f t="shared" ref="AU51" si="117">AU82+AU112</f>
        <v>7451269.6940769069</v>
      </c>
      <c r="AV51" s="171">
        <f t="shared" si="92"/>
        <v>3249398.8339974997</v>
      </c>
      <c r="AW51" s="170">
        <f t="shared" ref="AW51" si="118">AW82+AW112</f>
        <v>4252773.5775222499</v>
      </c>
      <c r="AX51" s="538"/>
      <c r="AY51" s="165"/>
    </row>
    <row r="52" spans="2:51">
      <c r="B52" s="201"/>
      <c r="C52" s="682">
        <v>45901</v>
      </c>
      <c r="D52" s="171">
        <f t="shared" ref="D52:Z52" si="119">D83+D113</f>
        <v>88650034.013675019</v>
      </c>
      <c r="E52" s="172">
        <f t="shared" si="119"/>
        <v>52166918.418673128</v>
      </c>
      <c r="F52" s="171">
        <f t="shared" si="119"/>
        <v>99595968.85100618</v>
      </c>
      <c r="G52" s="172">
        <f t="shared" si="119"/>
        <v>4456770.7269950006</v>
      </c>
      <c r="H52" s="171">
        <f t="shared" si="119"/>
        <v>1047695.0298899997</v>
      </c>
      <c r="I52" s="172">
        <f t="shared" si="119"/>
        <v>1693375.8043150001</v>
      </c>
      <c r="J52" s="171">
        <f t="shared" si="119"/>
        <v>187259.17463625022</v>
      </c>
      <c r="K52" s="172">
        <f t="shared" si="119"/>
        <v>455153.93758500001</v>
      </c>
      <c r="L52" s="171">
        <f t="shared" si="119"/>
        <v>9265839.4487250056</v>
      </c>
      <c r="M52" s="172">
        <f t="shared" si="119"/>
        <v>74721700.234194964</v>
      </c>
      <c r="N52" s="173">
        <f t="shared" si="119"/>
        <v>20894800.548085004</v>
      </c>
      <c r="O52" s="172">
        <f t="shared" si="119"/>
        <v>18945099.651656255</v>
      </c>
      <c r="P52" s="171">
        <f t="shared" si="119"/>
        <v>182652405.66955757</v>
      </c>
      <c r="Q52" s="170">
        <f t="shared" si="119"/>
        <v>6648998.9015706256</v>
      </c>
      <c r="R52" s="171">
        <f t="shared" si="119"/>
        <v>18632328.483248126</v>
      </c>
      <c r="S52" s="170">
        <f t="shared" si="119"/>
        <v>7503854.9939799998</v>
      </c>
      <c r="T52" s="171">
        <f t="shared" si="119"/>
        <v>5993364.7185287513</v>
      </c>
      <c r="U52" s="170">
        <f t="shared" si="119"/>
        <v>2466622.7807424995</v>
      </c>
      <c r="V52" s="171">
        <f t="shared" si="119"/>
        <v>199432.17692187498</v>
      </c>
      <c r="W52" s="170">
        <f t="shared" si="119"/>
        <v>48191.719046874998</v>
      </c>
      <c r="X52" s="171">
        <f t="shared" si="119"/>
        <v>6861967.0282424996</v>
      </c>
      <c r="Y52" s="170">
        <f t="shared" si="119"/>
        <v>464771.81405312498</v>
      </c>
      <c r="Z52" s="171">
        <f t="shared" si="119"/>
        <v>2372577.68768</v>
      </c>
      <c r="AA52" s="170">
        <f t="shared" si="88"/>
        <v>3197647.2501156246</v>
      </c>
      <c r="AB52" s="171">
        <f t="shared" si="88"/>
        <v>6129842.4408830833</v>
      </c>
      <c r="AC52" s="170">
        <f t="shared" si="89"/>
        <v>63570.155826741429</v>
      </c>
      <c r="AD52" s="171">
        <f t="shared" si="90"/>
        <v>173126.59333499998</v>
      </c>
      <c r="AE52" s="172">
        <f t="shared" si="90"/>
        <v>104165.59196999999</v>
      </c>
      <c r="AF52" s="171">
        <f t="shared" si="90"/>
        <v>1597126.6963393523</v>
      </c>
      <c r="AG52" s="172">
        <f t="shared" si="90"/>
        <v>222042.11007937501</v>
      </c>
      <c r="AH52" s="171">
        <f t="shared" si="90"/>
        <v>4299053.9251424996</v>
      </c>
      <c r="AI52" s="172">
        <f t="shared" si="90"/>
        <v>21486.232442500001</v>
      </c>
      <c r="AJ52" s="171">
        <f t="shared" si="90"/>
        <v>607661.17318749998</v>
      </c>
      <c r="AK52" s="172">
        <f t="shared" si="90"/>
        <v>41135.374277499999</v>
      </c>
      <c r="AL52" s="171">
        <f t="shared" si="90"/>
        <v>2835136.8432018752</v>
      </c>
      <c r="AM52" s="172">
        <f t="shared" si="90"/>
        <v>1226518.030319375</v>
      </c>
      <c r="AN52" s="173">
        <f t="shared" si="90"/>
        <v>3164326.2416793751</v>
      </c>
      <c r="AO52" s="172">
        <f t="shared" si="90"/>
        <v>483353.61558482778</v>
      </c>
      <c r="AP52" s="171">
        <f t="shared" si="90"/>
        <v>2752668.042897692</v>
      </c>
      <c r="AQ52" s="170">
        <f t="shared" si="90"/>
        <v>90.460092325293218</v>
      </c>
      <c r="AR52" s="171">
        <f t="shared" si="90"/>
        <v>2242481.9724420207</v>
      </c>
      <c r="AS52" s="170">
        <f t="shared" si="90"/>
        <v>3010598.9934832649</v>
      </c>
      <c r="AT52" s="171">
        <f t="shared" si="90"/>
        <v>15979561.57568465</v>
      </c>
      <c r="AU52" s="172">
        <f t="shared" ref="AU52" si="120">AU83+AU113</f>
        <v>7434684.5509262187</v>
      </c>
      <c r="AV52" s="171">
        <f t="shared" si="92"/>
        <v>3241814.7710687499</v>
      </c>
      <c r="AW52" s="170">
        <f t="shared" ref="AW52" si="121">AW83+AW113</f>
        <v>4242809.4744881252</v>
      </c>
      <c r="AX52" s="538"/>
      <c r="AY52" s="165"/>
    </row>
    <row r="53" spans="2:51">
      <c r="B53" s="201"/>
      <c r="C53" s="682">
        <v>45931</v>
      </c>
      <c r="D53" s="171">
        <f t="shared" ref="D53:Z53" si="122">D84+D114</f>
        <v>88374114.78392002</v>
      </c>
      <c r="E53" s="172">
        <f t="shared" si="122"/>
        <v>51994831.137918003</v>
      </c>
      <c r="F53" s="171">
        <f t="shared" si="122"/>
        <v>99336596.210406601</v>
      </c>
      <c r="G53" s="172">
        <f t="shared" si="122"/>
        <v>4435492.1434613336</v>
      </c>
      <c r="H53" s="171">
        <f t="shared" si="122"/>
        <v>1044997.1082159996</v>
      </c>
      <c r="I53" s="172">
        <f t="shared" si="122"/>
        <v>1688906.323936</v>
      </c>
      <c r="J53" s="171">
        <f t="shared" si="122"/>
        <v>187221.69411200023</v>
      </c>
      <c r="K53" s="172">
        <f t="shared" si="122"/>
        <v>453934.35609066667</v>
      </c>
      <c r="L53" s="171">
        <f t="shared" si="122"/>
        <v>9231779.2746400051</v>
      </c>
      <c r="M53" s="172">
        <f t="shared" si="122"/>
        <v>74363984.761807978</v>
      </c>
      <c r="N53" s="173">
        <f t="shared" si="122"/>
        <v>20837982.953290671</v>
      </c>
      <c r="O53" s="172">
        <f t="shared" si="122"/>
        <v>18882430.131100006</v>
      </c>
      <c r="P53" s="171">
        <f t="shared" si="122"/>
        <v>182192521.10152805</v>
      </c>
      <c r="Q53" s="170">
        <f t="shared" si="122"/>
        <v>6632905.9403419998</v>
      </c>
      <c r="R53" s="171">
        <f t="shared" si="122"/>
        <v>18588190.764297999</v>
      </c>
      <c r="S53" s="170">
        <f t="shared" si="122"/>
        <v>7483637.6524120001</v>
      </c>
      <c r="T53" s="171">
        <f t="shared" si="122"/>
        <v>5977649.6152640013</v>
      </c>
      <c r="U53" s="170">
        <f t="shared" si="122"/>
        <v>2460271.2946253326</v>
      </c>
      <c r="V53" s="171">
        <f t="shared" si="122"/>
        <v>198846.88538333331</v>
      </c>
      <c r="W53" s="170">
        <f t="shared" si="122"/>
        <v>48050.350316666663</v>
      </c>
      <c r="X53" s="171">
        <f t="shared" si="122"/>
        <v>6844867.3922919994</v>
      </c>
      <c r="Y53" s="170">
        <f t="shared" si="122"/>
        <v>463264.50515666662</v>
      </c>
      <c r="Z53" s="171">
        <f t="shared" si="122"/>
        <v>2366920.550692</v>
      </c>
      <c r="AA53" s="170">
        <f t="shared" si="88"/>
        <v>3190098.7779566664</v>
      </c>
      <c r="AB53" s="171">
        <f t="shared" si="88"/>
        <v>6115935.5508818328</v>
      </c>
      <c r="AC53" s="170">
        <f t="shared" si="89"/>
        <v>63399.385215190858</v>
      </c>
      <c r="AD53" s="171">
        <f t="shared" si="90"/>
        <v>172657.57789066664</v>
      </c>
      <c r="AE53" s="172">
        <f t="shared" si="90"/>
        <v>103915.13926799998</v>
      </c>
      <c r="AF53" s="171">
        <f t="shared" si="90"/>
        <v>1593563.8585743962</v>
      </c>
      <c r="AG53" s="172">
        <f t="shared" si="90"/>
        <v>221366.10808466669</v>
      </c>
      <c r="AH53" s="171">
        <f t="shared" si="90"/>
        <v>4288100.2629853329</v>
      </c>
      <c r="AI53" s="172">
        <f t="shared" si="90"/>
        <v>21434.247438666665</v>
      </c>
      <c r="AJ53" s="171">
        <f t="shared" si="90"/>
        <v>605774.18873333337</v>
      </c>
      <c r="AK53" s="172">
        <f t="shared" si="90"/>
        <v>41036.317062666669</v>
      </c>
      <c r="AL53" s="171">
        <f t="shared" si="90"/>
        <v>2827763.8860820001</v>
      </c>
      <c r="AM53" s="172">
        <f t="shared" si="90"/>
        <v>1222415.2363406667</v>
      </c>
      <c r="AN53" s="173">
        <f t="shared" si="90"/>
        <v>3157122.5472913333</v>
      </c>
      <c r="AO53" s="172">
        <f t="shared" si="90"/>
        <v>482266.11045714963</v>
      </c>
      <c r="AP53" s="171">
        <f t="shared" si="90"/>
        <v>2746458.1828408893</v>
      </c>
      <c r="AQ53" s="170">
        <f t="shared" si="90"/>
        <v>90.255094657966922</v>
      </c>
      <c r="AR53" s="171">
        <f t="shared" si="90"/>
        <v>2237457.0703481957</v>
      </c>
      <c r="AS53" s="170">
        <f t="shared" si="90"/>
        <v>3003942.4079560922</v>
      </c>
      <c r="AT53" s="171">
        <f t="shared" si="90"/>
        <v>15943914.694582619</v>
      </c>
      <c r="AU53" s="172">
        <f t="shared" ref="AU53" si="123">AU84+AU114</f>
        <v>7418099.4077755306</v>
      </c>
      <c r="AV53" s="171">
        <f t="shared" si="92"/>
        <v>3234230.7081399998</v>
      </c>
      <c r="AW53" s="170">
        <f t="shared" ref="AW53" si="124">AW84+AW114</f>
        <v>4232845.3714540005</v>
      </c>
      <c r="AX53" s="538"/>
      <c r="AY53" s="165"/>
    </row>
    <row r="54" spans="2:51">
      <c r="B54" s="201"/>
      <c r="C54" s="682">
        <v>45962</v>
      </c>
      <c r="D54" s="171">
        <f t="shared" ref="D54:Z54" si="125">D85+D115</f>
        <v>88098195.554165021</v>
      </c>
      <c r="E54" s="172">
        <f t="shared" si="125"/>
        <v>51822743.857162878</v>
      </c>
      <c r="F54" s="171">
        <f t="shared" si="125"/>
        <v>99077223.569807023</v>
      </c>
      <c r="G54" s="172">
        <f t="shared" si="125"/>
        <v>4414213.5599276666</v>
      </c>
      <c r="H54" s="171">
        <f t="shared" si="125"/>
        <v>1042299.1865419996</v>
      </c>
      <c r="I54" s="172">
        <f t="shared" si="125"/>
        <v>1684436.8435569999</v>
      </c>
      <c r="J54" s="171">
        <f t="shared" si="125"/>
        <v>187184.21358775024</v>
      </c>
      <c r="K54" s="172">
        <f t="shared" si="125"/>
        <v>452714.77459633333</v>
      </c>
      <c r="L54" s="171">
        <f t="shared" si="125"/>
        <v>9197719.1005550064</v>
      </c>
      <c r="M54" s="172">
        <f t="shared" si="125"/>
        <v>74006269.289420962</v>
      </c>
      <c r="N54" s="173">
        <f t="shared" si="125"/>
        <v>20781165.358496338</v>
      </c>
      <c r="O54" s="172">
        <f t="shared" si="125"/>
        <v>18819760.610543758</v>
      </c>
      <c r="P54" s="171">
        <f t="shared" si="125"/>
        <v>181732636.53349856</v>
      </c>
      <c r="Q54" s="170">
        <f t="shared" si="125"/>
        <v>6616812.9791133748</v>
      </c>
      <c r="R54" s="171">
        <f t="shared" si="125"/>
        <v>18544053.045347873</v>
      </c>
      <c r="S54" s="170">
        <f t="shared" si="125"/>
        <v>7463420.3108439995</v>
      </c>
      <c r="T54" s="171">
        <f t="shared" si="125"/>
        <v>5961934.5119992513</v>
      </c>
      <c r="U54" s="170">
        <f t="shared" si="125"/>
        <v>2453919.8085081661</v>
      </c>
      <c r="V54" s="171">
        <f t="shared" si="125"/>
        <v>198261.59384479164</v>
      </c>
      <c r="W54" s="170">
        <f t="shared" si="125"/>
        <v>47908.981586458329</v>
      </c>
      <c r="X54" s="171">
        <f t="shared" si="125"/>
        <v>6827767.7563415002</v>
      </c>
      <c r="Y54" s="170">
        <f t="shared" si="125"/>
        <v>461757.19626020832</v>
      </c>
      <c r="Z54" s="171">
        <f t="shared" si="125"/>
        <v>2361263.4137039999</v>
      </c>
      <c r="AA54" s="170">
        <f>AA85+AA115</f>
        <v>3182550.3057977082</v>
      </c>
      <c r="AB54" s="171">
        <f>AB85+AB115</f>
        <v>6102028.6608805833</v>
      </c>
      <c r="AC54" s="170">
        <f t="shared" si="89"/>
        <v>63228.614603640286</v>
      </c>
      <c r="AD54" s="171">
        <f t="shared" ref="AD54:AT54" si="126">AD85+AD115</f>
        <v>172188.56244633332</v>
      </c>
      <c r="AE54" s="172">
        <f t="shared" si="126"/>
        <v>103664.68656599999</v>
      </c>
      <c r="AF54" s="171">
        <f t="shared" si="126"/>
        <v>1590001.0208094402</v>
      </c>
      <c r="AG54" s="172">
        <f t="shared" si="126"/>
        <v>220690.10608995834</v>
      </c>
      <c r="AH54" s="171">
        <f t="shared" si="126"/>
        <v>4277146.6008281661</v>
      </c>
      <c r="AI54" s="172">
        <f t="shared" si="126"/>
        <v>21382.262434833334</v>
      </c>
      <c r="AJ54" s="171">
        <f t="shared" si="126"/>
        <v>603887.20427916665</v>
      </c>
      <c r="AK54" s="172">
        <f t="shared" si="126"/>
        <v>40937.259847833338</v>
      </c>
      <c r="AL54" s="171">
        <f t="shared" si="126"/>
        <v>2820390.9289621254</v>
      </c>
      <c r="AM54" s="172">
        <f t="shared" si="126"/>
        <v>1218312.4423619583</v>
      </c>
      <c r="AN54" s="173">
        <f t="shared" si="126"/>
        <v>3149918.8529032916</v>
      </c>
      <c r="AO54" s="172">
        <f t="shared" si="126"/>
        <v>481178.60532947147</v>
      </c>
      <c r="AP54" s="171">
        <f t="shared" si="126"/>
        <v>2740248.3227840867</v>
      </c>
      <c r="AQ54" s="170">
        <f t="shared" si="126"/>
        <v>90.05009699064064</v>
      </c>
      <c r="AR54" s="171">
        <f t="shared" si="126"/>
        <v>2232432.1682543708</v>
      </c>
      <c r="AS54" s="170">
        <f t="shared" si="126"/>
        <v>2997285.8224289198</v>
      </c>
      <c r="AT54" s="171">
        <f t="shared" si="126"/>
        <v>15908267.813480588</v>
      </c>
      <c r="AU54" s="172">
        <f t="shared" ref="AU54" si="127">AU85+AU115</f>
        <v>7401514.2646248406</v>
      </c>
      <c r="AV54" s="171">
        <f t="shared" si="92"/>
        <v>3226646.6452112496</v>
      </c>
      <c r="AW54" s="170">
        <f t="shared" ref="AW54" si="128">AW85+AW115</f>
        <v>4222881.2684198748</v>
      </c>
      <c r="AX54" s="538"/>
      <c r="AY54" s="165"/>
    </row>
    <row r="55" spans="2:51">
      <c r="B55" s="201"/>
      <c r="C55" s="713">
        <v>45992</v>
      </c>
      <c r="D55" s="200">
        <f t="shared" ref="D55:Z55" si="129">D86+D116</f>
        <v>87822276.324410021</v>
      </c>
      <c r="E55" s="199">
        <f t="shared" si="129"/>
        <v>51650656.576407753</v>
      </c>
      <c r="F55" s="200">
        <f t="shared" si="129"/>
        <v>98817850.929207429</v>
      </c>
      <c r="G55" s="199">
        <f t="shared" si="129"/>
        <v>4392934.9763939995</v>
      </c>
      <c r="H55" s="200">
        <f t="shared" si="129"/>
        <v>1039601.2648679996</v>
      </c>
      <c r="I55" s="199">
        <f t="shared" si="129"/>
        <v>1679967.3631779999</v>
      </c>
      <c r="J55" s="200">
        <f t="shared" si="129"/>
        <v>187146.73306350026</v>
      </c>
      <c r="K55" s="199">
        <f t="shared" si="129"/>
        <v>451495.19310199999</v>
      </c>
      <c r="L55" s="200">
        <f t="shared" si="129"/>
        <v>9163658.9264700077</v>
      </c>
      <c r="M55" s="199">
        <f t="shared" si="129"/>
        <v>73648553.817033976</v>
      </c>
      <c r="N55" s="209">
        <f t="shared" si="129"/>
        <v>20724347.763702005</v>
      </c>
      <c r="O55" s="199">
        <f t="shared" si="129"/>
        <v>18757091.089987509</v>
      </c>
      <c r="P55" s="200">
        <f t="shared" si="129"/>
        <v>181272751.96546906</v>
      </c>
      <c r="Q55" s="208">
        <f t="shared" si="129"/>
        <v>6600720.0178847499</v>
      </c>
      <c r="R55" s="200">
        <f t="shared" si="129"/>
        <v>18499915.326397751</v>
      </c>
      <c r="S55" s="208">
        <f t="shared" si="129"/>
        <v>7443202.9692759998</v>
      </c>
      <c r="T55" s="200">
        <f t="shared" si="129"/>
        <v>5946219.4087345013</v>
      </c>
      <c r="U55" s="208">
        <f t="shared" si="129"/>
        <v>2447568.3223909996</v>
      </c>
      <c r="V55" s="200">
        <f t="shared" si="129"/>
        <v>197676.30230624997</v>
      </c>
      <c r="W55" s="208">
        <f t="shared" si="129"/>
        <v>47767.612856249994</v>
      </c>
      <c r="X55" s="200">
        <f t="shared" si="129"/>
        <v>6810668.1203910001</v>
      </c>
      <c r="Y55" s="208">
        <f t="shared" si="129"/>
        <v>460249.88736375002</v>
      </c>
      <c r="Z55" s="171">
        <f t="shared" si="129"/>
        <v>2355606.2767159999</v>
      </c>
      <c r="AA55" s="170">
        <f>AA86+AA116</f>
        <v>3175001.83363875</v>
      </c>
      <c r="AB55" s="200">
        <f>AB86+AB116</f>
        <v>6088121.7708793338</v>
      </c>
      <c r="AC55" s="170">
        <f t="shared" si="89"/>
        <v>63057.843992089714</v>
      </c>
      <c r="AD55" s="200">
        <f t="shared" ref="AD55:AT55" si="130">AD86+AD116</f>
        <v>171719.54700199998</v>
      </c>
      <c r="AE55" s="199">
        <f t="shared" si="130"/>
        <v>103414.23386399999</v>
      </c>
      <c r="AF55" s="200">
        <f t="shared" si="130"/>
        <v>1586438.1830444844</v>
      </c>
      <c r="AG55" s="199">
        <f t="shared" si="130"/>
        <v>220014.10409525002</v>
      </c>
      <c r="AH55" s="200">
        <f t="shared" si="130"/>
        <v>4266192.9386709994</v>
      </c>
      <c r="AI55" s="199">
        <f t="shared" si="130"/>
        <v>21330.277430999999</v>
      </c>
      <c r="AJ55" s="200">
        <f t="shared" si="130"/>
        <v>602000.21982500004</v>
      </c>
      <c r="AK55" s="199">
        <f t="shared" si="130"/>
        <v>40838.202633000001</v>
      </c>
      <c r="AL55" s="200">
        <f t="shared" si="130"/>
        <v>2813017.9718422503</v>
      </c>
      <c r="AM55" s="199">
        <f t="shared" si="130"/>
        <v>1214209.64838325</v>
      </c>
      <c r="AN55" s="209">
        <f t="shared" si="130"/>
        <v>3142715.1585152498</v>
      </c>
      <c r="AO55" s="199">
        <f t="shared" si="130"/>
        <v>480091.10020179331</v>
      </c>
      <c r="AP55" s="200">
        <f t="shared" si="130"/>
        <v>2734038.4627272841</v>
      </c>
      <c r="AQ55" s="208">
        <f t="shared" si="130"/>
        <v>89.845099323314358</v>
      </c>
      <c r="AR55" s="200">
        <f t="shared" si="130"/>
        <v>2227407.2661605454</v>
      </c>
      <c r="AS55" s="208">
        <f t="shared" si="130"/>
        <v>2990629.2369017475</v>
      </c>
      <c r="AT55" s="200">
        <f t="shared" si="130"/>
        <v>15872620.932378557</v>
      </c>
      <c r="AU55" s="199">
        <f t="shared" ref="AU55" si="131">AU86+AU116</f>
        <v>7384929.1214741524</v>
      </c>
      <c r="AV55" s="200">
        <f t="shared" si="92"/>
        <v>3219062.5822824999</v>
      </c>
      <c r="AW55" s="208">
        <f t="shared" ref="AW55" si="132">AW86+AW116</f>
        <v>4212917.1653857501</v>
      </c>
      <c r="AX55" s="538"/>
      <c r="AY55" s="165"/>
    </row>
    <row r="56" spans="2:51">
      <c r="B56" s="198"/>
      <c r="C56" s="197" t="s">
        <v>572</v>
      </c>
      <c r="D56" s="166">
        <f t="shared" ref="D56:M56" si="133">AVERAGE(D43:D55)</f>
        <v>89477791.702940002</v>
      </c>
      <c r="E56" s="166">
        <f t="shared" si="133"/>
        <v>52683180.260938495</v>
      </c>
      <c r="F56" s="166">
        <f t="shared" si="133"/>
        <v>100374086.77280495</v>
      </c>
      <c r="G56" s="166">
        <f t="shared" si="133"/>
        <v>4520606.4775959998</v>
      </c>
      <c r="H56" s="166">
        <f t="shared" si="133"/>
        <v>1055788.7949119993</v>
      </c>
      <c r="I56" s="166">
        <f t="shared" si="133"/>
        <v>1706784.2454520001</v>
      </c>
      <c r="J56" s="166">
        <f t="shared" si="133"/>
        <v>187371.61620900017</v>
      </c>
      <c r="K56" s="166">
        <f t="shared" si="133"/>
        <v>458812.68206800002</v>
      </c>
      <c r="L56" s="166">
        <f t="shared" si="133"/>
        <v>9368019.9709800053</v>
      </c>
      <c r="M56" s="166">
        <f t="shared" si="133"/>
        <v>75794846.651355967</v>
      </c>
      <c r="N56" s="166">
        <f t="shared" ref="N56:W56" si="134">AVERAGE(N43:N55)</f>
        <v>21065253.332468007</v>
      </c>
      <c r="O56" s="166">
        <f t="shared" si="134"/>
        <v>19133108.213325001</v>
      </c>
      <c r="P56" s="166">
        <f t="shared" si="134"/>
        <v>184032059.37364605</v>
      </c>
      <c r="Q56" s="166">
        <f t="shared" si="134"/>
        <v>6697277.7852564994</v>
      </c>
      <c r="R56" s="166">
        <f t="shared" si="134"/>
        <v>18764741.640098497</v>
      </c>
      <c r="S56" s="166">
        <f t="shared" si="134"/>
        <v>7564507.0186840007</v>
      </c>
      <c r="T56" s="166">
        <f t="shared" si="134"/>
        <v>6040510.0283230012</v>
      </c>
      <c r="U56" s="166">
        <f>AVERAGE(U43:U55)</f>
        <v>2485677.2390939994</v>
      </c>
      <c r="V56" s="166">
        <f t="shared" si="134"/>
        <v>201188.05153749997</v>
      </c>
      <c r="W56" s="166">
        <f t="shared" si="134"/>
        <v>48615.825237500001</v>
      </c>
      <c r="X56" s="166">
        <f t="shared" ref="X56:AN56" si="135">AVERAGE(X43:X55)</f>
        <v>6913265.936094</v>
      </c>
      <c r="Y56" s="166">
        <f>AVERAGE(Y43:Y55)</f>
        <v>469293.7407425</v>
      </c>
      <c r="Z56" s="166">
        <f t="shared" si="135"/>
        <v>2389549.098644</v>
      </c>
      <c r="AA56" s="166">
        <f>AVERAGE(AA43:AA55)</f>
        <v>3220292.6665925002</v>
      </c>
      <c r="AB56" s="166">
        <f>AVERAGE(AB43:AB55)</f>
        <v>6171563.1108868327</v>
      </c>
      <c r="AC56" s="166">
        <f t="shared" si="135"/>
        <v>64082.467661393144</v>
      </c>
      <c r="AD56" s="166">
        <f t="shared" si="135"/>
        <v>174533.63966799996</v>
      </c>
      <c r="AE56" s="166">
        <f t="shared" si="135"/>
        <v>104916.95007599998</v>
      </c>
      <c r="AF56" s="166">
        <f t="shared" si="135"/>
        <v>1357444.3146586083</v>
      </c>
      <c r="AG56" s="166">
        <f t="shared" si="135"/>
        <v>224070.1160635</v>
      </c>
      <c r="AH56" s="166">
        <f t="shared" si="135"/>
        <v>4331914.9116139989</v>
      </c>
      <c r="AI56" s="166">
        <f t="shared" si="135"/>
        <v>21642.187453999999</v>
      </c>
      <c r="AJ56" s="166">
        <f t="shared" si="135"/>
        <v>613322.12655000004</v>
      </c>
      <c r="AK56" s="166">
        <f t="shared" si="135"/>
        <v>41432.545922000005</v>
      </c>
      <c r="AL56" s="166">
        <f t="shared" si="135"/>
        <v>2857255.7145615001</v>
      </c>
      <c r="AM56" s="166">
        <f t="shared" si="135"/>
        <v>1238826.4122555</v>
      </c>
      <c r="AN56" s="166">
        <f t="shared" si="135"/>
        <v>3185937.3248435003</v>
      </c>
      <c r="AO56" s="166">
        <f t="shared" ref="AO56:AU56" si="136">AVERAGE(AO43:AO55)</f>
        <v>486616.13096786221</v>
      </c>
      <c r="AP56" s="166">
        <f t="shared" si="136"/>
        <v>2771297.6230680994</v>
      </c>
      <c r="AQ56" s="166">
        <f t="shared" si="136"/>
        <v>91.075085327272063</v>
      </c>
      <c r="AR56" s="166">
        <f t="shared" si="136"/>
        <v>2257556.6787234964</v>
      </c>
      <c r="AS56" s="166">
        <f t="shared" si="136"/>
        <v>1621091.7657217581</v>
      </c>
      <c r="AT56" s="166">
        <f t="shared" si="136"/>
        <v>13581492.978213526</v>
      </c>
      <c r="AU56" s="166">
        <f t="shared" si="136"/>
        <v>6318954.093038734</v>
      </c>
      <c r="AV56" s="166">
        <f t="shared" ref="AV56:AW56" si="137">AVERAGE(AV43:AV55)</f>
        <v>3264566.959855</v>
      </c>
      <c r="AW56" s="166">
        <f t="shared" si="137"/>
        <v>4272701.7835905002</v>
      </c>
      <c r="AX56" s="320"/>
      <c r="AY56" s="537">
        <f>ROUND(SUM(D56:AX56)-SUM('ATC Att GG ER21-2601'!I$74:I$124),0)</f>
        <v>0</v>
      </c>
    </row>
    <row r="57" spans="2:51">
      <c r="B57" s="186"/>
      <c r="C57" s="192"/>
      <c r="D57" s="191"/>
      <c r="E57" s="191"/>
      <c r="F57" s="191"/>
      <c r="G57" s="191"/>
      <c r="H57" s="191"/>
      <c r="I57" s="187"/>
      <c r="J57" s="187"/>
      <c r="K57" s="189"/>
      <c r="L57" s="188"/>
      <c r="M57" s="190"/>
      <c r="N57" s="190"/>
      <c r="O57" s="189"/>
      <c r="P57" s="188"/>
      <c r="Q57" s="187"/>
      <c r="R57" s="188"/>
      <c r="S57" s="187"/>
      <c r="T57" s="188"/>
      <c r="U57" s="187"/>
      <c r="V57" s="188"/>
      <c r="W57" s="187"/>
      <c r="X57" s="188"/>
      <c r="Y57" s="187"/>
      <c r="Z57" s="188"/>
      <c r="AA57" s="187"/>
      <c r="AB57" s="188"/>
      <c r="AC57" s="187"/>
      <c r="AD57" s="191"/>
      <c r="AE57" s="191"/>
      <c r="AF57" s="191"/>
      <c r="AG57" s="191"/>
      <c r="AH57" s="191"/>
      <c r="AI57" s="187"/>
      <c r="AJ57" s="187"/>
      <c r="AK57" s="189"/>
      <c r="AL57" s="188"/>
      <c r="AM57" s="190"/>
      <c r="AN57" s="190"/>
      <c r="AO57" s="189"/>
      <c r="AP57" s="188"/>
      <c r="AQ57" s="187"/>
      <c r="AR57" s="188"/>
      <c r="AS57" s="187"/>
      <c r="AT57" s="188"/>
      <c r="AU57" s="190"/>
      <c r="AV57" s="188"/>
      <c r="AW57" s="187"/>
      <c r="AX57" s="327"/>
      <c r="AY57" s="165"/>
    </row>
    <row r="58" spans="2:51">
      <c r="B58" s="186"/>
      <c r="C58" s="185"/>
      <c r="D58" s="182"/>
      <c r="E58" s="182"/>
      <c r="F58" s="182"/>
      <c r="G58" s="182"/>
      <c r="H58" s="182"/>
      <c r="I58" s="182"/>
      <c r="J58" s="182"/>
      <c r="K58" s="183"/>
      <c r="L58" s="183"/>
      <c r="M58" s="184"/>
      <c r="N58" s="184"/>
      <c r="O58" s="183"/>
      <c r="P58" s="183"/>
      <c r="Q58" s="182"/>
      <c r="R58" s="183"/>
      <c r="S58" s="182"/>
      <c r="T58" s="183"/>
      <c r="U58" s="182"/>
      <c r="V58" s="183"/>
      <c r="W58" s="182"/>
      <c r="X58" s="183"/>
      <c r="Y58" s="182"/>
      <c r="Z58" s="183"/>
      <c r="AA58" s="182"/>
      <c r="AB58" s="183"/>
      <c r="AC58" s="182"/>
      <c r="AD58" s="182"/>
      <c r="AE58" s="182"/>
      <c r="AF58" s="182"/>
      <c r="AG58" s="182"/>
      <c r="AH58" s="182"/>
      <c r="AI58" s="182"/>
      <c r="AJ58" s="182"/>
      <c r="AK58" s="183"/>
      <c r="AL58" s="183"/>
      <c r="AM58" s="184"/>
      <c r="AN58" s="184"/>
      <c r="AO58" s="183"/>
      <c r="AP58" s="183"/>
      <c r="AQ58" s="182"/>
      <c r="AR58" s="183"/>
      <c r="AS58" s="182"/>
      <c r="AT58" s="183"/>
      <c r="AU58" s="184"/>
      <c r="AV58" s="183"/>
      <c r="AW58" s="182"/>
      <c r="AX58" s="539"/>
      <c r="AY58" s="165"/>
    </row>
    <row r="59" spans="2:51">
      <c r="B59" s="181" t="s">
        <v>571</v>
      </c>
      <c r="C59" s="180" t="s">
        <v>500</v>
      </c>
      <c r="D59" s="177">
        <f>D70</f>
        <v>3311030.7570600011</v>
      </c>
      <c r="E59" s="178">
        <f>E70</f>
        <v>2065047.3690614772</v>
      </c>
      <c r="F59" s="177">
        <f t="shared" ref="F59:AT59" si="138">F70</f>
        <v>3112471.6871949998</v>
      </c>
      <c r="G59" s="178">
        <f t="shared" si="138"/>
        <v>255343.00240400006</v>
      </c>
      <c r="H59" s="177">
        <f t="shared" si="138"/>
        <v>32375.060088000002</v>
      </c>
      <c r="I59" s="178">
        <f t="shared" si="138"/>
        <v>53633.764548000006</v>
      </c>
      <c r="J59" s="177">
        <f t="shared" si="138"/>
        <v>449.76629100000014</v>
      </c>
      <c r="K59" s="178">
        <f t="shared" si="138"/>
        <v>14634.977932</v>
      </c>
      <c r="L59" s="177">
        <f t="shared" si="138"/>
        <v>408722.08902000001</v>
      </c>
      <c r="M59" s="178">
        <f t="shared" si="138"/>
        <v>4292585.6686439998</v>
      </c>
      <c r="N59" s="177">
        <f t="shared" si="138"/>
        <v>681811.13753200008</v>
      </c>
      <c r="O59" s="178">
        <f t="shared" si="138"/>
        <v>752034.24667499994</v>
      </c>
      <c r="P59" s="177">
        <f t="shared" si="138"/>
        <v>5518614.816354</v>
      </c>
      <c r="Q59" s="178">
        <f t="shared" si="138"/>
        <v>193115.5347435</v>
      </c>
      <c r="R59" s="177">
        <f t="shared" si="138"/>
        <v>529652.62740149989</v>
      </c>
      <c r="S59" s="178">
        <f t="shared" si="138"/>
        <v>242608.09881600001</v>
      </c>
      <c r="T59" s="177">
        <f t="shared" si="138"/>
        <v>188581.2391770001</v>
      </c>
      <c r="U59" s="178">
        <f t="shared" si="138"/>
        <v>76217.833405999976</v>
      </c>
      <c r="V59" s="177">
        <f t="shared" si="138"/>
        <v>7023.4984624999988</v>
      </c>
      <c r="W59" s="178">
        <f t="shared" si="138"/>
        <v>1696.4247624999998</v>
      </c>
      <c r="X59" s="177">
        <f t="shared" si="138"/>
        <v>205195.631406</v>
      </c>
      <c r="Y59" s="178">
        <f t="shared" si="138"/>
        <v>18087.706757499996</v>
      </c>
      <c r="Z59" s="177">
        <f t="shared" si="138"/>
        <v>67885.643855999995</v>
      </c>
      <c r="AA59" s="178">
        <f t="shared" si="138"/>
        <v>90581.665907500006</v>
      </c>
      <c r="AB59" s="177">
        <f t="shared" si="138"/>
        <v>166882.68001499999</v>
      </c>
      <c r="AC59" s="178">
        <f t="shared" si="138"/>
        <v>2049.24733860686</v>
      </c>
      <c r="AD59" s="177">
        <f t="shared" si="138"/>
        <v>5628.1853319999982</v>
      </c>
      <c r="AE59" s="178">
        <f t="shared" si="138"/>
        <v>3005.4324240000001</v>
      </c>
      <c r="AF59" s="177">
        <f t="shared" si="138"/>
        <v>39191.21541451574</v>
      </c>
      <c r="AG59" s="178">
        <f t="shared" si="138"/>
        <v>8112.0239364999979</v>
      </c>
      <c r="AH59" s="177">
        <f t="shared" si="138"/>
        <v>131443.94588599994</v>
      </c>
      <c r="AI59" s="178">
        <f t="shared" si="138"/>
        <v>623.82004599999982</v>
      </c>
      <c r="AJ59" s="177">
        <f t="shared" si="138"/>
        <v>22643.813450000001</v>
      </c>
      <c r="AK59" s="178">
        <f t="shared" si="138"/>
        <v>1188.6865780000001</v>
      </c>
      <c r="AL59" s="177">
        <f t="shared" si="138"/>
        <v>88475.485438499978</v>
      </c>
      <c r="AM59" s="178">
        <f t="shared" si="138"/>
        <v>49233.52774450001</v>
      </c>
      <c r="AN59" s="177">
        <f t="shared" si="138"/>
        <v>86444.332656500002</v>
      </c>
      <c r="AO59" s="178">
        <f t="shared" si="138"/>
        <v>13050.061532137805</v>
      </c>
      <c r="AP59" s="177">
        <f t="shared" si="138"/>
        <v>74518.320681630066</v>
      </c>
      <c r="AQ59" s="178">
        <f t="shared" si="138"/>
        <v>2.459972007915431</v>
      </c>
      <c r="AR59" s="177">
        <f t="shared" si="138"/>
        <v>60298.825125901167</v>
      </c>
      <c r="AS59" s="178">
        <f t="shared" si="138"/>
        <v>46596.098690206578</v>
      </c>
      <c r="AT59" s="177">
        <f t="shared" si="138"/>
        <v>392115.69212234265</v>
      </c>
      <c r="AU59" s="178">
        <f t="shared" ref="AU59" si="139">AU70</f>
        <v>182436.57465757578</v>
      </c>
      <c r="AV59" s="177">
        <f t="shared" ref="AV59:AW59" si="140">AV70</f>
        <v>91008.755145000003</v>
      </c>
      <c r="AW59" s="176">
        <f t="shared" si="140"/>
        <v>119569.23640949999</v>
      </c>
      <c r="AX59" s="538"/>
      <c r="AY59" s="165"/>
    </row>
    <row r="60" spans="2:51">
      <c r="B60" s="175" t="s">
        <v>570</v>
      </c>
      <c r="C60" s="174" t="s">
        <v>569</v>
      </c>
      <c r="D60" s="171">
        <v>0</v>
      </c>
      <c r="E60" s="172">
        <v>0</v>
      </c>
      <c r="F60" s="171">
        <v>0</v>
      </c>
      <c r="G60" s="172">
        <v>0</v>
      </c>
      <c r="H60" s="171">
        <v>0</v>
      </c>
      <c r="I60" s="172">
        <v>0</v>
      </c>
      <c r="J60" s="171">
        <v>0</v>
      </c>
      <c r="K60" s="172">
        <v>0</v>
      </c>
      <c r="L60" s="171">
        <v>0</v>
      </c>
      <c r="M60" s="172">
        <v>0</v>
      </c>
      <c r="N60" s="173">
        <v>0</v>
      </c>
      <c r="O60" s="172">
        <v>0</v>
      </c>
      <c r="P60" s="171">
        <v>0</v>
      </c>
      <c r="Q60" s="170">
        <v>0</v>
      </c>
      <c r="R60" s="173">
        <v>0</v>
      </c>
      <c r="S60" s="170">
        <v>0</v>
      </c>
      <c r="T60" s="171">
        <v>0</v>
      </c>
      <c r="U60" s="170">
        <v>0</v>
      </c>
      <c r="V60" s="171">
        <v>0</v>
      </c>
      <c r="W60" s="170">
        <v>0</v>
      </c>
      <c r="X60" s="171">
        <v>0</v>
      </c>
      <c r="Y60" s="170">
        <v>0</v>
      </c>
      <c r="Z60" s="171">
        <v>0</v>
      </c>
      <c r="AA60" s="170">
        <v>0</v>
      </c>
      <c r="AB60" s="171">
        <v>0</v>
      </c>
      <c r="AC60" s="170">
        <v>0</v>
      </c>
      <c r="AD60" s="171">
        <v>0</v>
      </c>
      <c r="AE60" s="172">
        <v>0</v>
      </c>
      <c r="AF60" s="171">
        <v>0</v>
      </c>
      <c r="AG60" s="172">
        <v>0</v>
      </c>
      <c r="AH60" s="171">
        <v>0</v>
      </c>
      <c r="AI60" s="172">
        <v>0</v>
      </c>
      <c r="AJ60" s="171">
        <v>0</v>
      </c>
      <c r="AK60" s="172">
        <v>0</v>
      </c>
      <c r="AL60" s="171">
        <v>0</v>
      </c>
      <c r="AM60" s="172">
        <v>0</v>
      </c>
      <c r="AN60" s="171">
        <v>0</v>
      </c>
      <c r="AO60" s="170">
        <v>0</v>
      </c>
      <c r="AP60" s="173">
        <v>0</v>
      </c>
      <c r="AQ60" s="172">
        <v>0</v>
      </c>
      <c r="AR60" s="173">
        <v>0</v>
      </c>
      <c r="AS60" s="172">
        <v>0</v>
      </c>
      <c r="AT60" s="173">
        <v>0</v>
      </c>
      <c r="AU60" s="172">
        <v>0</v>
      </c>
      <c r="AV60" s="173">
        <v>0</v>
      </c>
      <c r="AW60" s="170">
        <v>0</v>
      </c>
      <c r="AX60" s="538"/>
      <c r="AY60" s="165"/>
    </row>
    <row r="61" spans="2:51">
      <c r="B61" s="194"/>
      <c r="C61" s="193" t="s">
        <v>568</v>
      </c>
      <c r="D61" s="166">
        <f t="shared" ref="D61:M61" si="141">SUM(D59:D60)</f>
        <v>3311030.7570600011</v>
      </c>
      <c r="E61" s="166">
        <f t="shared" si="141"/>
        <v>2065047.3690614772</v>
      </c>
      <c r="F61" s="166">
        <f t="shared" si="141"/>
        <v>3112471.6871949998</v>
      </c>
      <c r="G61" s="166">
        <f t="shared" si="141"/>
        <v>255343.00240400006</v>
      </c>
      <c r="H61" s="166">
        <f t="shared" si="141"/>
        <v>32375.060088000002</v>
      </c>
      <c r="I61" s="166">
        <f t="shared" si="141"/>
        <v>53633.764548000006</v>
      </c>
      <c r="J61" s="166">
        <f t="shared" si="141"/>
        <v>449.76629100000014</v>
      </c>
      <c r="K61" s="166">
        <f t="shared" si="141"/>
        <v>14634.977932</v>
      </c>
      <c r="L61" s="166">
        <f t="shared" si="141"/>
        <v>408722.08902000001</v>
      </c>
      <c r="M61" s="166">
        <f t="shared" si="141"/>
        <v>4292585.6686439998</v>
      </c>
      <c r="N61" s="166">
        <f t="shared" ref="N61:S61" si="142">SUM(N59:N60)</f>
        <v>681811.13753200008</v>
      </c>
      <c r="O61" s="166">
        <f t="shared" si="142"/>
        <v>752034.24667499994</v>
      </c>
      <c r="P61" s="166">
        <f t="shared" si="142"/>
        <v>5518614.816354</v>
      </c>
      <c r="Q61" s="166">
        <f t="shared" si="142"/>
        <v>193115.5347435</v>
      </c>
      <c r="R61" s="166">
        <f>SUM(R59:R60)</f>
        <v>529652.62740149989</v>
      </c>
      <c r="S61" s="166">
        <f t="shared" si="142"/>
        <v>242608.09881600001</v>
      </c>
      <c r="T61" s="166">
        <f>SUM(T59:T60)</f>
        <v>188581.2391770001</v>
      </c>
      <c r="U61" s="166">
        <f>SUM(U59:U60)</f>
        <v>76217.833405999976</v>
      </c>
      <c r="V61" s="166">
        <f>SUM(V59:V60)</f>
        <v>7023.4984624999988</v>
      </c>
      <c r="W61" s="166">
        <f>SUM(W59:W60)</f>
        <v>1696.4247624999998</v>
      </c>
      <c r="X61" s="166">
        <f t="shared" ref="X61:AT61" si="143">SUM(X59:X60)</f>
        <v>205195.631406</v>
      </c>
      <c r="Y61" s="166">
        <f>SUM(Y59:Y60)</f>
        <v>18087.706757499996</v>
      </c>
      <c r="Z61" s="166">
        <f t="shared" si="143"/>
        <v>67885.643855999995</v>
      </c>
      <c r="AA61" s="166">
        <f>SUM(AA59:AA60)</f>
        <v>90581.665907500006</v>
      </c>
      <c r="AB61" s="166">
        <f>SUM(AB59:AB60)</f>
        <v>166882.68001499999</v>
      </c>
      <c r="AC61" s="166">
        <f t="shared" si="143"/>
        <v>2049.24733860686</v>
      </c>
      <c r="AD61" s="166">
        <f t="shared" si="143"/>
        <v>5628.1853319999982</v>
      </c>
      <c r="AE61" s="166">
        <f t="shared" si="143"/>
        <v>3005.4324240000001</v>
      </c>
      <c r="AF61" s="166">
        <f t="shared" si="143"/>
        <v>39191.21541451574</v>
      </c>
      <c r="AG61" s="166">
        <f t="shared" si="143"/>
        <v>8112.0239364999979</v>
      </c>
      <c r="AH61" s="166">
        <f t="shared" si="143"/>
        <v>131443.94588599994</v>
      </c>
      <c r="AI61" s="166">
        <f t="shared" si="143"/>
        <v>623.82004599999982</v>
      </c>
      <c r="AJ61" s="166">
        <f t="shared" si="143"/>
        <v>22643.813450000001</v>
      </c>
      <c r="AK61" s="166">
        <f t="shared" si="143"/>
        <v>1188.6865780000001</v>
      </c>
      <c r="AL61" s="166">
        <f t="shared" si="143"/>
        <v>88475.485438499978</v>
      </c>
      <c r="AM61" s="166">
        <f t="shared" si="143"/>
        <v>49233.52774450001</v>
      </c>
      <c r="AN61" s="166">
        <f t="shared" si="143"/>
        <v>86444.332656500002</v>
      </c>
      <c r="AO61" s="166">
        <f t="shared" si="143"/>
        <v>13050.061532137805</v>
      </c>
      <c r="AP61" s="166">
        <f t="shared" si="143"/>
        <v>74518.320681630066</v>
      </c>
      <c r="AQ61" s="166">
        <f t="shared" si="143"/>
        <v>2.459972007915431</v>
      </c>
      <c r="AR61" s="166">
        <f t="shared" si="143"/>
        <v>60298.825125901167</v>
      </c>
      <c r="AS61" s="166">
        <f t="shared" si="143"/>
        <v>46596.098690206578</v>
      </c>
      <c r="AT61" s="166">
        <f t="shared" si="143"/>
        <v>392115.69212234265</v>
      </c>
      <c r="AU61" s="166">
        <f t="shared" ref="AU61" si="144">SUM(AU59:AU60)</f>
        <v>182436.57465757578</v>
      </c>
      <c r="AV61" s="166">
        <f t="shared" ref="AV61" si="145">SUM(AV59:AV60)</f>
        <v>91008.755145000003</v>
      </c>
      <c r="AW61" s="166">
        <f>SUM(AW59:AW60)</f>
        <v>119569.23640949999</v>
      </c>
      <c r="AX61" s="320"/>
      <c r="AY61" s="537">
        <f>ROUND(SUM(D61:AX61)-SUM('ATC Att GG ER21-2601'!L$74:L$124),0)</f>
        <v>0</v>
      </c>
    </row>
    <row r="62" spans="2:51">
      <c r="B62" s="186"/>
      <c r="C62" s="192"/>
      <c r="D62" s="191"/>
      <c r="E62" s="191"/>
      <c r="F62" s="191"/>
      <c r="G62" s="191"/>
      <c r="H62" s="191"/>
      <c r="I62" s="187"/>
      <c r="J62" s="187"/>
      <c r="K62" s="187"/>
      <c r="L62" s="188"/>
      <c r="M62" s="190"/>
      <c r="N62" s="190"/>
      <c r="O62" s="189"/>
      <c r="P62" s="188"/>
      <c r="Q62" s="187"/>
      <c r="R62" s="190"/>
      <c r="S62" s="187"/>
      <c r="T62" s="188"/>
      <c r="U62" s="187"/>
      <c r="V62" s="188"/>
      <c r="W62" s="187"/>
      <c r="X62" s="188"/>
      <c r="Y62" s="187"/>
      <c r="Z62" s="188"/>
      <c r="AA62" s="187"/>
      <c r="AB62" s="188"/>
      <c r="AC62" s="187"/>
      <c r="AD62" s="191"/>
      <c r="AE62" s="191"/>
      <c r="AF62" s="191"/>
      <c r="AG62" s="191"/>
      <c r="AH62" s="188"/>
      <c r="AI62" s="187"/>
      <c r="AJ62" s="187"/>
      <c r="AK62" s="187"/>
      <c r="AL62" s="188"/>
      <c r="AM62" s="190"/>
      <c r="AN62" s="188"/>
      <c r="AO62" s="187"/>
      <c r="AP62" s="190"/>
      <c r="AQ62" s="191"/>
      <c r="AR62" s="190"/>
      <c r="AS62" s="191"/>
      <c r="AT62" s="190"/>
      <c r="AU62" s="190"/>
      <c r="AV62" s="190"/>
      <c r="AX62" s="327"/>
      <c r="AY62" s="165"/>
    </row>
    <row r="63" spans="2:51">
      <c r="B63" s="186"/>
      <c r="C63" s="185"/>
      <c r="D63" s="182"/>
      <c r="E63" s="182"/>
      <c r="F63" s="182"/>
      <c r="G63" s="182"/>
      <c r="H63" s="182"/>
      <c r="I63" s="182"/>
      <c r="J63" s="182"/>
      <c r="K63" s="182"/>
      <c r="L63" s="183"/>
      <c r="M63" s="184"/>
      <c r="N63" s="184"/>
      <c r="O63" s="183"/>
      <c r="P63" s="183"/>
      <c r="Q63" s="182"/>
      <c r="R63" s="184"/>
      <c r="S63" s="182"/>
      <c r="T63" s="183"/>
      <c r="U63" s="182"/>
      <c r="V63" s="183"/>
      <c r="W63" s="182"/>
      <c r="X63" s="183"/>
      <c r="Y63" s="182"/>
      <c r="Z63" s="183"/>
      <c r="AA63" s="182"/>
      <c r="AB63" s="183"/>
      <c r="AC63" s="182"/>
      <c r="AD63" s="182"/>
      <c r="AE63" s="182"/>
      <c r="AF63" s="182"/>
      <c r="AG63" s="182"/>
      <c r="AH63" s="183"/>
      <c r="AI63" s="182"/>
      <c r="AJ63" s="182"/>
      <c r="AK63" s="182"/>
      <c r="AL63" s="183"/>
      <c r="AM63" s="184"/>
      <c r="AN63" s="183"/>
      <c r="AO63" s="182"/>
      <c r="AP63" s="184"/>
      <c r="AQ63" s="182"/>
      <c r="AR63" s="184"/>
      <c r="AS63" s="182"/>
      <c r="AT63" s="184"/>
      <c r="AU63" s="184"/>
      <c r="AV63" s="184"/>
      <c r="AW63" s="318"/>
      <c r="AX63" s="539"/>
      <c r="AY63" s="165"/>
    </row>
    <row r="64" spans="2:51">
      <c r="B64" s="181" t="s">
        <v>567</v>
      </c>
      <c r="C64" s="180" t="s">
        <v>566</v>
      </c>
      <c r="D64" s="177">
        <f>D71</f>
        <v>0</v>
      </c>
      <c r="E64" s="178">
        <f>E71</f>
        <v>0</v>
      </c>
      <c r="F64" s="177">
        <f t="shared" ref="F64:AT64" si="146">F71</f>
        <v>0</v>
      </c>
      <c r="G64" s="178">
        <f t="shared" si="146"/>
        <v>0</v>
      </c>
      <c r="H64" s="177">
        <f t="shared" si="146"/>
        <v>0</v>
      </c>
      <c r="I64" s="178">
        <f t="shared" si="146"/>
        <v>0</v>
      </c>
      <c r="J64" s="177">
        <f t="shared" si="146"/>
        <v>0</v>
      </c>
      <c r="K64" s="178">
        <f t="shared" si="146"/>
        <v>0</v>
      </c>
      <c r="L64" s="177">
        <f t="shared" si="146"/>
        <v>0</v>
      </c>
      <c r="M64" s="178">
        <f t="shared" si="146"/>
        <v>0</v>
      </c>
      <c r="N64" s="177">
        <f t="shared" si="146"/>
        <v>0</v>
      </c>
      <c r="O64" s="178">
        <f t="shared" si="146"/>
        <v>0</v>
      </c>
      <c r="P64" s="177">
        <f t="shared" si="146"/>
        <v>0</v>
      </c>
      <c r="Q64" s="178">
        <f t="shared" si="146"/>
        <v>0</v>
      </c>
      <c r="R64" s="177">
        <f t="shared" si="146"/>
        <v>0</v>
      </c>
      <c r="S64" s="178">
        <f t="shared" si="146"/>
        <v>0</v>
      </c>
      <c r="T64" s="177">
        <f t="shared" si="146"/>
        <v>0</v>
      </c>
      <c r="U64" s="178">
        <f t="shared" si="146"/>
        <v>0</v>
      </c>
      <c r="V64" s="177">
        <f t="shared" si="146"/>
        <v>0</v>
      </c>
      <c r="W64" s="178">
        <f t="shared" si="146"/>
        <v>0</v>
      </c>
      <c r="X64" s="177">
        <f t="shared" si="146"/>
        <v>0</v>
      </c>
      <c r="Y64" s="178">
        <f t="shared" si="146"/>
        <v>0</v>
      </c>
      <c r="Z64" s="177">
        <f t="shared" si="146"/>
        <v>0</v>
      </c>
      <c r="AA64" s="178">
        <f t="shared" si="146"/>
        <v>0</v>
      </c>
      <c r="AB64" s="177">
        <f t="shared" si="146"/>
        <v>0</v>
      </c>
      <c r="AC64" s="178">
        <f t="shared" si="146"/>
        <v>0</v>
      </c>
      <c r="AD64" s="177">
        <f t="shared" si="146"/>
        <v>0</v>
      </c>
      <c r="AE64" s="178">
        <f t="shared" si="146"/>
        <v>0</v>
      </c>
      <c r="AF64" s="177">
        <f t="shared" si="146"/>
        <v>0</v>
      </c>
      <c r="AG64" s="178">
        <f t="shared" si="146"/>
        <v>0</v>
      </c>
      <c r="AH64" s="177">
        <f t="shared" si="146"/>
        <v>0</v>
      </c>
      <c r="AI64" s="178">
        <f t="shared" si="146"/>
        <v>0</v>
      </c>
      <c r="AJ64" s="177">
        <f t="shared" si="146"/>
        <v>0</v>
      </c>
      <c r="AK64" s="178">
        <f t="shared" si="146"/>
        <v>0</v>
      </c>
      <c r="AL64" s="177">
        <f t="shared" si="146"/>
        <v>0</v>
      </c>
      <c r="AM64" s="178">
        <f t="shared" si="146"/>
        <v>0</v>
      </c>
      <c r="AN64" s="177">
        <f t="shared" si="146"/>
        <v>0</v>
      </c>
      <c r="AO64" s="178">
        <f t="shared" si="146"/>
        <v>0</v>
      </c>
      <c r="AP64" s="177">
        <f t="shared" si="146"/>
        <v>0</v>
      </c>
      <c r="AQ64" s="178">
        <f t="shared" si="146"/>
        <v>0</v>
      </c>
      <c r="AR64" s="177">
        <f t="shared" si="146"/>
        <v>0</v>
      </c>
      <c r="AS64" s="178">
        <f t="shared" si="146"/>
        <v>0</v>
      </c>
      <c r="AT64" s="177">
        <f t="shared" si="146"/>
        <v>0</v>
      </c>
      <c r="AU64" s="178">
        <f t="shared" ref="AU64" si="147">AU71</f>
        <v>0</v>
      </c>
      <c r="AV64" s="177">
        <f t="shared" ref="AV64:AW64" si="148">AV71</f>
        <v>0</v>
      </c>
      <c r="AW64" s="176">
        <f t="shared" si="148"/>
        <v>0</v>
      </c>
      <c r="AX64" s="538"/>
      <c r="AY64" s="165"/>
    </row>
    <row r="65" spans="2:51">
      <c r="B65" s="175" t="s">
        <v>565</v>
      </c>
      <c r="C65" s="174"/>
      <c r="D65" s="171">
        <v>0</v>
      </c>
      <c r="E65" s="172"/>
      <c r="F65" s="171"/>
      <c r="G65" s="172"/>
      <c r="H65" s="171"/>
      <c r="I65" s="172"/>
      <c r="J65" s="171"/>
      <c r="K65" s="172"/>
      <c r="L65" s="171"/>
      <c r="M65" s="172"/>
      <c r="N65" s="173"/>
      <c r="O65" s="172"/>
      <c r="P65" s="171"/>
      <c r="Q65" s="170"/>
      <c r="R65" s="173"/>
      <c r="S65" s="170"/>
      <c r="T65" s="171"/>
      <c r="U65" s="170"/>
      <c r="V65" s="171"/>
      <c r="W65" s="170"/>
      <c r="X65" s="171"/>
      <c r="Y65" s="170"/>
      <c r="Z65" s="171"/>
      <c r="AA65" s="170"/>
      <c r="AB65" s="171"/>
      <c r="AC65" s="170"/>
      <c r="AD65" s="171"/>
      <c r="AE65" s="172"/>
      <c r="AF65" s="171"/>
      <c r="AG65" s="172"/>
      <c r="AH65" s="171"/>
      <c r="AI65" s="172"/>
      <c r="AJ65" s="171"/>
      <c r="AK65" s="172"/>
      <c r="AL65" s="171"/>
      <c r="AM65" s="172"/>
      <c r="AN65" s="171"/>
      <c r="AO65" s="170"/>
      <c r="AP65" s="173"/>
      <c r="AQ65" s="172"/>
      <c r="AR65" s="173"/>
      <c r="AS65" s="172"/>
      <c r="AT65" s="173"/>
      <c r="AU65" s="172"/>
      <c r="AV65" s="173"/>
      <c r="AW65" s="170"/>
      <c r="AX65" s="538"/>
      <c r="AY65" s="165"/>
    </row>
    <row r="66" spans="2:51">
      <c r="B66" s="169"/>
      <c r="C66" s="168" t="s">
        <v>564</v>
      </c>
      <c r="D66" s="167">
        <f t="shared" ref="D66:M66" si="149">SUM(D64:D65)</f>
        <v>0</v>
      </c>
      <c r="E66" s="167">
        <f t="shared" si="149"/>
        <v>0</v>
      </c>
      <c r="F66" s="167">
        <f t="shared" si="149"/>
        <v>0</v>
      </c>
      <c r="G66" s="167">
        <f t="shared" si="149"/>
        <v>0</v>
      </c>
      <c r="H66" s="167">
        <f t="shared" si="149"/>
        <v>0</v>
      </c>
      <c r="I66" s="167">
        <f t="shared" si="149"/>
        <v>0</v>
      </c>
      <c r="J66" s="167">
        <f t="shared" si="149"/>
        <v>0</v>
      </c>
      <c r="K66" s="167">
        <f t="shared" si="149"/>
        <v>0</v>
      </c>
      <c r="L66" s="167">
        <f t="shared" si="149"/>
        <v>0</v>
      </c>
      <c r="M66" s="167">
        <f t="shared" si="149"/>
        <v>0</v>
      </c>
      <c r="N66" s="166">
        <f t="shared" ref="N66:W66" si="150">SUM(N64:N65)</f>
        <v>0</v>
      </c>
      <c r="O66" s="167">
        <f t="shared" si="150"/>
        <v>0</v>
      </c>
      <c r="P66" s="167">
        <f t="shared" si="150"/>
        <v>0</v>
      </c>
      <c r="Q66" s="166">
        <f t="shared" si="150"/>
        <v>0</v>
      </c>
      <c r="R66" s="166">
        <f>SUM(R64:R65)</f>
        <v>0</v>
      </c>
      <c r="S66" s="166">
        <f t="shared" si="150"/>
        <v>0</v>
      </c>
      <c r="T66" s="167">
        <f t="shared" si="150"/>
        <v>0</v>
      </c>
      <c r="U66" s="166">
        <f>SUM(U64:U65)</f>
        <v>0</v>
      </c>
      <c r="V66" s="167">
        <f t="shared" si="150"/>
        <v>0</v>
      </c>
      <c r="W66" s="166">
        <f t="shared" si="150"/>
        <v>0</v>
      </c>
      <c r="X66" s="167">
        <f t="shared" ref="X66:AT66" si="151">SUM(X64:X65)</f>
        <v>0</v>
      </c>
      <c r="Y66" s="166">
        <f>SUM(Y64:Y65)</f>
        <v>0</v>
      </c>
      <c r="Z66" s="167">
        <f t="shared" si="151"/>
        <v>0</v>
      </c>
      <c r="AA66" s="166">
        <f>SUM(AA64:AA65)</f>
        <v>0</v>
      </c>
      <c r="AB66" s="167">
        <f>SUM(AB64:AB65)</f>
        <v>0</v>
      </c>
      <c r="AC66" s="166">
        <f t="shared" si="151"/>
        <v>0</v>
      </c>
      <c r="AD66" s="167">
        <f t="shared" si="151"/>
        <v>0</v>
      </c>
      <c r="AE66" s="167">
        <f t="shared" si="151"/>
        <v>0</v>
      </c>
      <c r="AF66" s="167">
        <f t="shared" si="151"/>
        <v>0</v>
      </c>
      <c r="AG66" s="167">
        <f t="shared" si="151"/>
        <v>0</v>
      </c>
      <c r="AH66" s="167">
        <f t="shared" si="151"/>
        <v>0</v>
      </c>
      <c r="AI66" s="167">
        <f t="shared" si="151"/>
        <v>0</v>
      </c>
      <c r="AJ66" s="167">
        <f t="shared" si="151"/>
        <v>0</v>
      </c>
      <c r="AK66" s="167">
        <f t="shared" si="151"/>
        <v>0</v>
      </c>
      <c r="AL66" s="167">
        <f t="shared" si="151"/>
        <v>0</v>
      </c>
      <c r="AM66" s="167">
        <f t="shared" si="151"/>
        <v>0</v>
      </c>
      <c r="AN66" s="167">
        <f t="shared" si="151"/>
        <v>0</v>
      </c>
      <c r="AO66" s="167">
        <f t="shared" si="151"/>
        <v>0</v>
      </c>
      <c r="AP66" s="167">
        <f t="shared" si="151"/>
        <v>0</v>
      </c>
      <c r="AQ66" s="167">
        <f t="shared" si="151"/>
        <v>0</v>
      </c>
      <c r="AR66" s="167">
        <f t="shared" si="151"/>
        <v>0</v>
      </c>
      <c r="AS66" s="167">
        <f t="shared" si="151"/>
        <v>0</v>
      </c>
      <c r="AT66" s="167">
        <f t="shared" si="151"/>
        <v>0</v>
      </c>
      <c r="AU66" s="167">
        <f t="shared" ref="AU66" si="152">SUM(AU64:AU65)</f>
        <v>0</v>
      </c>
      <c r="AV66" s="167">
        <f t="shared" ref="AV66" si="153">SUM(AV64:AV65)</f>
        <v>0</v>
      </c>
      <c r="AW66" s="166">
        <f>SUM(AW64:AW65)</f>
        <v>0</v>
      </c>
      <c r="AX66" s="320"/>
      <c r="AY66" s="537">
        <f>ROUND(SUM(D66:AX66)-SUM('ATC Att GG ER21-2601'!M$74:M$124),0)</f>
        <v>0</v>
      </c>
    </row>
    <row r="67" spans="2:51">
      <c r="AY67" s="165"/>
    </row>
    <row r="68" spans="2:51">
      <c r="AY68" s="165"/>
    </row>
    <row r="69" spans="2:51">
      <c r="AY69" s="165"/>
    </row>
    <row r="70" spans="2:51" hidden="1" outlineLevel="1">
      <c r="B70" s="717" t="s">
        <v>575</v>
      </c>
      <c r="C70" s="718"/>
      <c r="D70" s="715">
        <v>3311030.7570600011</v>
      </c>
      <c r="E70" s="715">
        <v>2065047.3690614772</v>
      </c>
      <c r="F70" s="715">
        <v>3112471.6871949998</v>
      </c>
      <c r="G70" s="715">
        <v>255343.00240400006</v>
      </c>
      <c r="H70" s="715">
        <v>32375.060088000002</v>
      </c>
      <c r="I70" s="715">
        <v>53633.764548000006</v>
      </c>
      <c r="J70" s="715">
        <v>449.76629100000014</v>
      </c>
      <c r="K70" s="715">
        <v>14634.977932</v>
      </c>
      <c r="L70" s="715">
        <v>408722.08902000001</v>
      </c>
      <c r="M70" s="715">
        <v>4292585.6686439998</v>
      </c>
      <c r="N70" s="715">
        <v>681811.13753200008</v>
      </c>
      <c r="O70" s="715">
        <v>752034.24667499994</v>
      </c>
      <c r="P70" s="715">
        <v>5518614.816354</v>
      </c>
      <c r="Q70" s="715">
        <v>193115.5347435</v>
      </c>
      <c r="R70" s="715">
        <v>529652.62740149989</v>
      </c>
      <c r="S70" s="715">
        <v>242608.09881600001</v>
      </c>
      <c r="T70" s="715">
        <v>188581.2391770001</v>
      </c>
      <c r="U70" s="715">
        <v>76217.833405999976</v>
      </c>
      <c r="V70" s="715">
        <v>7023.4984624999988</v>
      </c>
      <c r="W70" s="715">
        <v>1696.4247624999998</v>
      </c>
      <c r="X70" s="715">
        <v>205195.631406</v>
      </c>
      <c r="Y70" s="715">
        <v>18087.706757499996</v>
      </c>
      <c r="Z70" s="715">
        <v>67885.643855999995</v>
      </c>
      <c r="AA70" s="715">
        <v>90581.665907500006</v>
      </c>
      <c r="AB70" s="715">
        <v>166882.68001499999</v>
      </c>
      <c r="AC70" s="715">
        <v>2049.24733860686</v>
      </c>
      <c r="AD70" s="715">
        <v>5628.1853319999982</v>
      </c>
      <c r="AE70" s="715">
        <v>3005.4324240000001</v>
      </c>
      <c r="AF70" s="715">
        <v>39191.21541451574</v>
      </c>
      <c r="AG70" s="715">
        <v>8112.0239364999979</v>
      </c>
      <c r="AH70" s="715">
        <v>131443.94588599994</v>
      </c>
      <c r="AI70" s="715">
        <v>623.82004599999982</v>
      </c>
      <c r="AJ70" s="715">
        <v>22643.813450000001</v>
      </c>
      <c r="AK70" s="715">
        <v>1188.6865780000001</v>
      </c>
      <c r="AL70" s="715">
        <v>88475.485438499978</v>
      </c>
      <c r="AM70" s="715">
        <v>49233.52774450001</v>
      </c>
      <c r="AN70" s="715">
        <v>86444.332656500002</v>
      </c>
      <c r="AO70" s="715">
        <v>13050.061532137805</v>
      </c>
      <c r="AP70" s="715">
        <v>74518.320681630066</v>
      </c>
      <c r="AQ70" s="715">
        <v>2.459972007915431</v>
      </c>
      <c r="AR70" s="715">
        <v>60298.825125901167</v>
      </c>
      <c r="AS70" s="715">
        <v>46596.098690206578</v>
      </c>
      <c r="AT70" s="715">
        <v>392115.69212234265</v>
      </c>
      <c r="AU70" s="715">
        <v>182436.57465757578</v>
      </c>
      <c r="AV70" s="715">
        <v>91008.755145000003</v>
      </c>
      <c r="AW70" s="715">
        <v>119569.23640949999</v>
      </c>
    </row>
    <row r="71" spans="2:51" hidden="1" outlineLevel="1">
      <c r="B71" s="719" t="s">
        <v>432</v>
      </c>
      <c r="C71" s="720"/>
      <c r="D71" s="716">
        <v>0</v>
      </c>
      <c r="E71" s="716">
        <v>0</v>
      </c>
      <c r="F71" s="716">
        <v>0</v>
      </c>
      <c r="G71" s="716">
        <v>0</v>
      </c>
      <c r="H71" s="716">
        <v>0</v>
      </c>
      <c r="I71" s="716">
        <v>0</v>
      </c>
      <c r="J71" s="716">
        <v>0</v>
      </c>
      <c r="K71" s="716">
        <v>0</v>
      </c>
      <c r="L71" s="716">
        <v>0</v>
      </c>
      <c r="M71" s="716">
        <v>0</v>
      </c>
      <c r="N71" s="716">
        <v>0</v>
      </c>
      <c r="O71" s="716">
        <v>0</v>
      </c>
      <c r="P71" s="716">
        <v>0</v>
      </c>
      <c r="Q71" s="716">
        <v>0</v>
      </c>
      <c r="R71" s="716">
        <v>0</v>
      </c>
      <c r="S71" s="716">
        <v>0</v>
      </c>
      <c r="T71" s="716">
        <v>0</v>
      </c>
      <c r="U71" s="716">
        <v>0</v>
      </c>
      <c r="V71" s="716">
        <v>0</v>
      </c>
      <c r="W71" s="716">
        <v>0</v>
      </c>
      <c r="X71" s="716">
        <v>0</v>
      </c>
      <c r="Y71" s="716">
        <v>0</v>
      </c>
      <c r="Z71" s="716">
        <v>0</v>
      </c>
      <c r="AA71" s="716">
        <v>0</v>
      </c>
      <c r="AB71" s="716">
        <v>0</v>
      </c>
      <c r="AC71" s="716">
        <v>0</v>
      </c>
      <c r="AD71" s="716">
        <v>0</v>
      </c>
      <c r="AE71" s="716">
        <v>0</v>
      </c>
      <c r="AF71" s="716">
        <v>0</v>
      </c>
      <c r="AG71" s="716">
        <v>0</v>
      </c>
      <c r="AH71" s="716">
        <v>0</v>
      </c>
      <c r="AI71" s="716">
        <v>0</v>
      </c>
      <c r="AJ71" s="716">
        <v>0</v>
      </c>
      <c r="AK71" s="716">
        <v>0</v>
      </c>
      <c r="AL71" s="716">
        <v>0</v>
      </c>
      <c r="AM71" s="716">
        <v>0</v>
      </c>
      <c r="AN71" s="716">
        <v>0</v>
      </c>
      <c r="AO71" s="716">
        <v>0</v>
      </c>
      <c r="AP71" s="716">
        <v>0</v>
      </c>
      <c r="AQ71" s="716">
        <v>0</v>
      </c>
      <c r="AR71" s="716">
        <v>0</v>
      </c>
      <c r="AS71" s="716">
        <v>0</v>
      </c>
      <c r="AT71" s="716">
        <v>0</v>
      </c>
      <c r="AU71" s="716">
        <v>0</v>
      </c>
      <c r="AV71" s="716">
        <v>0</v>
      </c>
      <c r="AW71" s="716">
        <v>0</v>
      </c>
    </row>
    <row r="72" spans="2:51" hidden="1" outlineLevel="1">
      <c r="C72" s="680"/>
    </row>
    <row r="73" spans="2:51" hidden="1" outlineLevel="1">
      <c r="C73" s="680"/>
    </row>
    <row r="74" spans="2:51" hidden="1" outlineLevel="1">
      <c r="B74" s="685" t="s">
        <v>343</v>
      </c>
      <c r="C74" s="686">
        <v>45627</v>
      </c>
      <c r="D74" s="178">
        <v>0</v>
      </c>
      <c r="E74" s="178">
        <v>0</v>
      </c>
      <c r="F74" s="178">
        <v>0</v>
      </c>
      <c r="G74" s="178">
        <v>0</v>
      </c>
      <c r="H74" s="178">
        <v>0</v>
      </c>
      <c r="I74" s="178">
        <v>0</v>
      </c>
      <c r="J74" s="178">
        <v>0</v>
      </c>
      <c r="K74" s="178">
        <v>0</v>
      </c>
      <c r="L74" s="178">
        <v>0</v>
      </c>
      <c r="M74" s="178">
        <v>0</v>
      </c>
      <c r="N74" s="176">
        <v>0</v>
      </c>
      <c r="O74" s="178">
        <v>0</v>
      </c>
      <c r="P74" s="178">
        <v>0</v>
      </c>
      <c r="Q74" s="176">
        <v>0</v>
      </c>
      <c r="R74" s="176">
        <v>0</v>
      </c>
      <c r="S74" s="176">
        <v>0</v>
      </c>
      <c r="T74" s="178">
        <v>0</v>
      </c>
      <c r="U74" s="176">
        <v>0</v>
      </c>
      <c r="V74" s="178">
        <v>0</v>
      </c>
      <c r="W74" s="176">
        <v>0</v>
      </c>
      <c r="X74" s="178">
        <v>0</v>
      </c>
      <c r="Y74" s="176">
        <v>0</v>
      </c>
      <c r="Z74" s="178">
        <v>0</v>
      </c>
      <c r="AA74" s="176">
        <v>0</v>
      </c>
      <c r="AB74" s="178">
        <v>0</v>
      </c>
      <c r="AC74" s="176">
        <v>0</v>
      </c>
      <c r="AD74" s="176">
        <v>0</v>
      </c>
      <c r="AE74" s="176">
        <v>0</v>
      </c>
      <c r="AF74" s="176">
        <v>0</v>
      </c>
      <c r="AG74" s="176">
        <v>0</v>
      </c>
      <c r="AH74" s="178">
        <v>0</v>
      </c>
      <c r="AI74" s="178">
        <v>0</v>
      </c>
      <c r="AJ74" s="178">
        <v>0</v>
      </c>
      <c r="AK74" s="178">
        <v>0</v>
      </c>
      <c r="AL74" s="178">
        <v>0</v>
      </c>
      <c r="AM74" s="178">
        <v>0</v>
      </c>
      <c r="AN74" s="178">
        <v>0</v>
      </c>
      <c r="AO74" s="178">
        <v>0</v>
      </c>
      <c r="AP74" s="178">
        <v>0</v>
      </c>
      <c r="AQ74" s="178">
        <v>0</v>
      </c>
      <c r="AR74" s="178">
        <v>0</v>
      </c>
      <c r="AS74" s="178">
        <v>0</v>
      </c>
      <c r="AT74" s="178">
        <v>0</v>
      </c>
      <c r="AU74" s="178">
        <v>0</v>
      </c>
      <c r="AV74" s="178">
        <v>0</v>
      </c>
      <c r="AW74" s="176">
        <v>0</v>
      </c>
      <c r="AY74" s="843">
        <f t="shared" ref="AY74:AY86" si="154">SUM(D74:AX74)</f>
        <v>0</v>
      </c>
    </row>
    <row r="75" spans="2:51" hidden="1" outlineLevel="1">
      <c r="B75" s="683"/>
      <c r="C75" s="681">
        <v>45658</v>
      </c>
      <c r="D75" s="172">
        <v>0</v>
      </c>
      <c r="E75" s="172">
        <v>0</v>
      </c>
      <c r="F75" s="172">
        <v>0</v>
      </c>
      <c r="G75" s="172">
        <v>0</v>
      </c>
      <c r="H75" s="172">
        <v>0</v>
      </c>
      <c r="I75" s="172">
        <v>0</v>
      </c>
      <c r="J75" s="172">
        <v>0</v>
      </c>
      <c r="K75" s="172">
        <v>0</v>
      </c>
      <c r="L75" s="172">
        <v>0</v>
      </c>
      <c r="M75" s="172">
        <v>0</v>
      </c>
      <c r="N75" s="170">
        <v>0</v>
      </c>
      <c r="O75" s="172">
        <v>0</v>
      </c>
      <c r="P75" s="172">
        <v>0</v>
      </c>
      <c r="Q75" s="170">
        <v>0</v>
      </c>
      <c r="R75" s="170">
        <v>0</v>
      </c>
      <c r="S75" s="170">
        <v>0</v>
      </c>
      <c r="T75" s="172">
        <v>0</v>
      </c>
      <c r="U75" s="170">
        <v>0</v>
      </c>
      <c r="V75" s="172">
        <v>0</v>
      </c>
      <c r="W75" s="170">
        <v>0</v>
      </c>
      <c r="X75" s="172">
        <v>0</v>
      </c>
      <c r="Y75" s="170">
        <v>0</v>
      </c>
      <c r="Z75" s="172">
        <v>0</v>
      </c>
      <c r="AA75" s="170">
        <v>0</v>
      </c>
      <c r="AB75" s="172">
        <v>0</v>
      </c>
      <c r="AC75" s="170">
        <v>0</v>
      </c>
      <c r="AD75" s="170">
        <v>0</v>
      </c>
      <c r="AE75" s="170">
        <v>0</v>
      </c>
      <c r="AF75" s="170">
        <v>0</v>
      </c>
      <c r="AG75" s="170">
        <v>0</v>
      </c>
      <c r="AH75" s="172">
        <v>0</v>
      </c>
      <c r="AI75" s="172">
        <v>0</v>
      </c>
      <c r="AJ75" s="172">
        <v>0</v>
      </c>
      <c r="AK75" s="172">
        <v>0</v>
      </c>
      <c r="AL75" s="172">
        <v>0</v>
      </c>
      <c r="AM75" s="172">
        <v>0</v>
      </c>
      <c r="AN75" s="172">
        <v>0</v>
      </c>
      <c r="AO75" s="172">
        <v>0</v>
      </c>
      <c r="AP75" s="172">
        <v>0</v>
      </c>
      <c r="AQ75" s="172">
        <v>0</v>
      </c>
      <c r="AR75" s="172">
        <v>0</v>
      </c>
      <c r="AS75" s="172">
        <v>0</v>
      </c>
      <c r="AT75" s="172">
        <v>0</v>
      </c>
      <c r="AU75" s="172">
        <v>0</v>
      </c>
      <c r="AV75" s="172">
        <v>0</v>
      </c>
      <c r="AW75" s="170">
        <v>0</v>
      </c>
      <c r="AY75" s="844">
        <f t="shared" si="154"/>
        <v>0</v>
      </c>
    </row>
    <row r="76" spans="2:51" hidden="1" outlineLevel="1">
      <c r="B76" s="683"/>
      <c r="C76" s="682">
        <v>45689</v>
      </c>
      <c r="D76" s="172">
        <v>0</v>
      </c>
      <c r="E76" s="172">
        <v>0</v>
      </c>
      <c r="F76" s="172">
        <v>0</v>
      </c>
      <c r="G76" s="172">
        <v>0</v>
      </c>
      <c r="H76" s="172">
        <v>0</v>
      </c>
      <c r="I76" s="172">
        <v>0</v>
      </c>
      <c r="J76" s="172">
        <v>0</v>
      </c>
      <c r="K76" s="172">
        <v>0</v>
      </c>
      <c r="L76" s="172">
        <v>0</v>
      </c>
      <c r="M76" s="172">
        <v>0</v>
      </c>
      <c r="N76" s="170">
        <v>0</v>
      </c>
      <c r="O76" s="172">
        <v>0</v>
      </c>
      <c r="P76" s="172">
        <v>0</v>
      </c>
      <c r="Q76" s="170">
        <v>0</v>
      </c>
      <c r="R76" s="170">
        <v>0</v>
      </c>
      <c r="S76" s="170">
        <v>0</v>
      </c>
      <c r="T76" s="172">
        <v>0</v>
      </c>
      <c r="U76" s="170">
        <v>0</v>
      </c>
      <c r="V76" s="172">
        <v>0</v>
      </c>
      <c r="W76" s="170">
        <v>0</v>
      </c>
      <c r="X76" s="172">
        <v>0</v>
      </c>
      <c r="Y76" s="170">
        <v>0</v>
      </c>
      <c r="Z76" s="172">
        <v>0</v>
      </c>
      <c r="AA76" s="170">
        <v>0</v>
      </c>
      <c r="AB76" s="172">
        <v>0</v>
      </c>
      <c r="AC76" s="170">
        <v>0</v>
      </c>
      <c r="AD76" s="170">
        <v>0</v>
      </c>
      <c r="AE76" s="170">
        <v>0</v>
      </c>
      <c r="AF76" s="170">
        <v>0</v>
      </c>
      <c r="AG76" s="170">
        <v>0</v>
      </c>
      <c r="AH76" s="172">
        <v>0</v>
      </c>
      <c r="AI76" s="172">
        <v>0</v>
      </c>
      <c r="AJ76" s="172">
        <v>0</v>
      </c>
      <c r="AK76" s="172">
        <v>0</v>
      </c>
      <c r="AL76" s="172">
        <v>0</v>
      </c>
      <c r="AM76" s="172">
        <v>0</v>
      </c>
      <c r="AN76" s="172">
        <v>0</v>
      </c>
      <c r="AO76" s="172">
        <v>0</v>
      </c>
      <c r="AP76" s="172">
        <v>0</v>
      </c>
      <c r="AQ76" s="172">
        <v>0</v>
      </c>
      <c r="AR76" s="172">
        <v>0</v>
      </c>
      <c r="AS76" s="172">
        <v>0</v>
      </c>
      <c r="AT76" s="172">
        <v>0</v>
      </c>
      <c r="AU76" s="172">
        <v>0</v>
      </c>
      <c r="AV76" s="172">
        <v>0</v>
      </c>
      <c r="AW76" s="170">
        <v>0</v>
      </c>
      <c r="AY76" s="844">
        <f t="shared" si="154"/>
        <v>0</v>
      </c>
    </row>
    <row r="77" spans="2:51" hidden="1" outlineLevel="1">
      <c r="B77" s="683"/>
      <c r="C77" s="682">
        <v>45717</v>
      </c>
      <c r="D77" s="172">
        <v>0</v>
      </c>
      <c r="E77" s="172">
        <v>0</v>
      </c>
      <c r="F77" s="172">
        <v>0</v>
      </c>
      <c r="G77" s="172">
        <v>0</v>
      </c>
      <c r="H77" s="172">
        <v>0</v>
      </c>
      <c r="I77" s="172">
        <v>0</v>
      </c>
      <c r="J77" s="172">
        <v>0</v>
      </c>
      <c r="K77" s="172">
        <v>0</v>
      </c>
      <c r="L77" s="172">
        <v>0</v>
      </c>
      <c r="M77" s="172">
        <v>0</v>
      </c>
      <c r="N77" s="170">
        <v>0</v>
      </c>
      <c r="O77" s="172">
        <v>0</v>
      </c>
      <c r="P77" s="172">
        <v>0</v>
      </c>
      <c r="Q77" s="170">
        <v>0</v>
      </c>
      <c r="R77" s="170">
        <v>0</v>
      </c>
      <c r="S77" s="170">
        <v>0</v>
      </c>
      <c r="T77" s="172">
        <v>0</v>
      </c>
      <c r="U77" s="170">
        <v>0</v>
      </c>
      <c r="V77" s="172">
        <v>0</v>
      </c>
      <c r="W77" s="170">
        <v>0</v>
      </c>
      <c r="X77" s="172">
        <v>0</v>
      </c>
      <c r="Y77" s="170">
        <v>0</v>
      </c>
      <c r="Z77" s="172">
        <v>0</v>
      </c>
      <c r="AA77" s="170">
        <v>0</v>
      </c>
      <c r="AB77" s="172">
        <v>0</v>
      </c>
      <c r="AC77" s="170">
        <v>0</v>
      </c>
      <c r="AD77" s="170">
        <v>0</v>
      </c>
      <c r="AE77" s="170">
        <v>0</v>
      </c>
      <c r="AF77" s="170">
        <v>0</v>
      </c>
      <c r="AG77" s="170">
        <v>0</v>
      </c>
      <c r="AH77" s="172">
        <v>0</v>
      </c>
      <c r="AI77" s="172">
        <v>0</v>
      </c>
      <c r="AJ77" s="172">
        <v>0</v>
      </c>
      <c r="AK77" s="172">
        <v>0</v>
      </c>
      <c r="AL77" s="172">
        <v>0</v>
      </c>
      <c r="AM77" s="172">
        <v>0</v>
      </c>
      <c r="AN77" s="172">
        <v>0</v>
      </c>
      <c r="AO77" s="172">
        <v>0</v>
      </c>
      <c r="AP77" s="172">
        <v>0</v>
      </c>
      <c r="AQ77" s="172">
        <v>0</v>
      </c>
      <c r="AR77" s="172">
        <v>0</v>
      </c>
      <c r="AS77" s="172">
        <v>0</v>
      </c>
      <c r="AT77" s="172">
        <v>0</v>
      </c>
      <c r="AU77" s="172">
        <v>0</v>
      </c>
      <c r="AV77" s="172">
        <v>0</v>
      </c>
      <c r="AW77" s="170">
        <v>0</v>
      </c>
      <c r="AY77" s="844">
        <f t="shared" si="154"/>
        <v>0</v>
      </c>
    </row>
    <row r="78" spans="2:51" hidden="1" outlineLevel="1">
      <c r="B78" s="683"/>
      <c r="C78" s="682">
        <v>45748</v>
      </c>
      <c r="D78" s="172">
        <v>0</v>
      </c>
      <c r="E78" s="172">
        <v>0</v>
      </c>
      <c r="F78" s="172">
        <v>0</v>
      </c>
      <c r="G78" s="172">
        <v>0</v>
      </c>
      <c r="H78" s="172">
        <v>0</v>
      </c>
      <c r="I78" s="172">
        <v>0</v>
      </c>
      <c r="J78" s="172">
        <v>0</v>
      </c>
      <c r="K78" s="172">
        <v>0</v>
      </c>
      <c r="L78" s="172">
        <v>0</v>
      </c>
      <c r="M78" s="172">
        <v>0</v>
      </c>
      <c r="N78" s="170">
        <v>0</v>
      </c>
      <c r="O78" s="172">
        <v>0</v>
      </c>
      <c r="P78" s="172">
        <v>0</v>
      </c>
      <c r="Q78" s="170">
        <v>0</v>
      </c>
      <c r="R78" s="170">
        <v>0</v>
      </c>
      <c r="S78" s="170">
        <v>0</v>
      </c>
      <c r="T78" s="172">
        <v>0</v>
      </c>
      <c r="U78" s="170">
        <v>0</v>
      </c>
      <c r="V78" s="172">
        <v>0</v>
      </c>
      <c r="W78" s="170">
        <v>0</v>
      </c>
      <c r="X78" s="172">
        <v>0</v>
      </c>
      <c r="Y78" s="170">
        <v>0</v>
      </c>
      <c r="Z78" s="172">
        <v>0</v>
      </c>
      <c r="AA78" s="170">
        <v>0</v>
      </c>
      <c r="AB78" s="172">
        <v>0</v>
      </c>
      <c r="AC78" s="170">
        <v>0</v>
      </c>
      <c r="AD78" s="170">
        <v>0</v>
      </c>
      <c r="AE78" s="170">
        <v>0</v>
      </c>
      <c r="AF78" s="170">
        <v>0</v>
      </c>
      <c r="AG78" s="170">
        <v>0</v>
      </c>
      <c r="AH78" s="172">
        <v>0</v>
      </c>
      <c r="AI78" s="172">
        <v>0</v>
      </c>
      <c r="AJ78" s="172">
        <v>0</v>
      </c>
      <c r="AK78" s="172">
        <v>0</v>
      </c>
      <c r="AL78" s="172">
        <v>0</v>
      </c>
      <c r="AM78" s="172">
        <v>0</v>
      </c>
      <c r="AN78" s="172">
        <v>0</v>
      </c>
      <c r="AO78" s="172">
        <v>0</v>
      </c>
      <c r="AP78" s="172">
        <v>0</v>
      </c>
      <c r="AQ78" s="172">
        <v>0</v>
      </c>
      <c r="AR78" s="172">
        <v>0</v>
      </c>
      <c r="AS78" s="172">
        <v>0</v>
      </c>
      <c r="AT78" s="172">
        <v>0</v>
      </c>
      <c r="AU78" s="172">
        <v>0</v>
      </c>
      <c r="AV78" s="172">
        <v>0</v>
      </c>
      <c r="AW78" s="170">
        <v>0</v>
      </c>
      <c r="AY78" s="844">
        <f t="shared" si="154"/>
        <v>0</v>
      </c>
    </row>
    <row r="79" spans="2:51" hidden="1" outlineLevel="1">
      <c r="B79" s="683"/>
      <c r="C79" s="682">
        <v>45778</v>
      </c>
      <c r="D79" s="172">
        <v>0</v>
      </c>
      <c r="E79" s="172">
        <v>0</v>
      </c>
      <c r="F79" s="172">
        <v>0</v>
      </c>
      <c r="G79" s="172">
        <v>0</v>
      </c>
      <c r="H79" s="172">
        <v>0</v>
      </c>
      <c r="I79" s="172">
        <v>0</v>
      </c>
      <c r="J79" s="172">
        <v>0</v>
      </c>
      <c r="K79" s="172">
        <v>0</v>
      </c>
      <c r="L79" s="172">
        <v>0</v>
      </c>
      <c r="M79" s="172">
        <v>0</v>
      </c>
      <c r="N79" s="170">
        <v>0</v>
      </c>
      <c r="O79" s="172">
        <v>0</v>
      </c>
      <c r="P79" s="172">
        <v>0</v>
      </c>
      <c r="Q79" s="170">
        <v>0</v>
      </c>
      <c r="R79" s="170">
        <v>0</v>
      </c>
      <c r="S79" s="170">
        <v>0</v>
      </c>
      <c r="T79" s="172">
        <v>0</v>
      </c>
      <c r="U79" s="170">
        <v>0</v>
      </c>
      <c r="V79" s="172">
        <v>0</v>
      </c>
      <c r="W79" s="170">
        <v>0</v>
      </c>
      <c r="X79" s="172">
        <v>0</v>
      </c>
      <c r="Y79" s="170">
        <v>0</v>
      </c>
      <c r="Z79" s="172">
        <v>0</v>
      </c>
      <c r="AA79" s="170">
        <v>0</v>
      </c>
      <c r="AB79" s="172">
        <v>0</v>
      </c>
      <c r="AC79" s="170">
        <v>0</v>
      </c>
      <c r="AD79" s="170">
        <v>0</v>
      </c>
      <c r="AE79" s="170">
        <v>0</v>
      </c>
      <c r="AF79" s="170">
        <v>0</v>
      </c>
      <c r="AG79" s="170">
        <v>0</v>
      </c>
      <c r="AH79" s="172">
        <v>0</v>
      </c>
      <c r="AI79" s="172">
        <v>0</v>
      </c>
      <c r="AJ79" s="172">
        <v>0</v>
      </c>
      <c r="AK79" s="172">
        <v>0</v>
      </c>
      <c r="AL79" s="172">
        <v>0</v>
      </c>
      <c r="AM79" s="172">
        <v>0</v>
      </c>
      <c r="AN79" s="172">
        <v>0</v>
      </c>
      <c r="AO79" s="172">
        <v>0</v>
      </c>
      <c r="AP79" s="172">
        <v>0</v>
      </c>
      <c r="AQ79" s="172">
        <v>0</v>
      </c>
      <c r="AR79" s="172">
        <v>0</v>
      </c>
      <c r="AS79" s="172">
        <v>0</v>
      </c>
      <c r="AT79" s="172">
        <v>0</v>
      </c>
      <c r="AU79" s="172">
        <v>0</v>
      </c>
      <c r="AV79" s="172">
        <v>0</v>
      </c>
      <c r="AW79" s="170">
        <v>0</v>
      </c>
      <c r="AY79" s="844">
        <f t="shared" si="154"/>
        <v>0</v>
      </c>
    </row>
    <row r="80" spans="2:51" hidden="1" outlineLevel="1">
      <c r="B80" s="683"/>
      <c r="C80" s="682">
        <v>45809</v>
      </c>
      <c r="D80" s="172">
        <v>0</v>
      </c>
      <c r="E80" s="172">
        <v>0</v>
      </c>
      <c r="F80" s="172">
        <v>0</v>
      </c>
      <c r="G80" s="172">
        <v>0</v>
      </c>
      <c r="H80" s="172">
        <v>0</v>
      </c>
      <c r="I80" s="172">
        <v>0</v>
      </c>
      <c r="J80" s="172">
        <v>0</v>
      </c>
      <c r="K80" s="172">
        <v>0</v>
      </c>
      <c r="L80" s="172">
        <v>0</v>
      </c>
      <c r="M80" s="172">
        <v>0</v>
      </c>
      <c r="N80" s="170">
        <v>0</v>
      </c>
      <c r="O80" s="172">
        <v>0</v>
      </c>
      <c r="P80" s="172">
        <v>0</v>
      </c>
      <c r="Q80" s="170">
        <v>0</v>
      </c>
      <c r="R80" s="170">
        <v>0</v>
      </c>
      <c r="S80" s="170">
        <v>0</v>
      </c>
      <c r="T80" s="172">
        <v>0</v>
      </c>
      <c r="U80" s="170">
        <v>0</v>
      </c>
      <c r="V80" s="172">
        <v>0</v>
      </c>
      <c r="W80" s="170">
        <v>0</v>
      </c>
      <c r="X80" s="172">
        <v>0</v>
      </c>
      <c r="Y80" s="170">
        <v>0</v>
      </c>
      <c r="Z80" s="172">
        <v>0</v>
      </c>
      <c r="AA80" s="170">
        <v>0</v>
      </c>
      <c r="AB80" s="172">
        <v>0</v>
      </c>
      <c r="AC80" s="170">
        <v>0</v>
      </c>
      <c r="AD80" s="170">
        <v>0</v>
      </c>
      <c r="AE80" s="170">
        <v>0</v>
      </c>
      <c r="AF80" s="170">
        <v>0</v>
      </c>
      <c r="AG80" s="170">
        <v>0</v>
      </c>
      <c r="AH80" s="172">
        <v>0</v>
      </c>
      <c r="AI80" s="172">
        <v>0</v>
      </c>
      <c r="AJ80" s="172">
        <v>0</v>
      </c>
      <c r="AK80" s="172">
        <v>0</v>
      </c>
      <c r="AL80" s="172">
        <v>0</v>
      </c>
      <c r="AM80" s="172">
        <v>0</v>
      </c>
      <c r="AN80" s="172">
        <v>0</v>
      </c>
      <c r="AO80" s="172">
        <v>0</v>
      </c>
      <c r="AP80" s="172">
        <v>0</v>
      </c>
      <c r="AQ80" s="172">
        <v>0</v>
      </c>
      <c r="AR80" s="172">
        <v>0</v>
      </c>
      <c r="AS80" s="172">
        <v>0</v>
      </c>
      <c r="AT80" s="172">
        <v>0</v>
      </c>
      <c r="AU80" s="172">
        <v>0</v>
      </c>
      <c r="AV80" s="172">
        <v>0</v>
      </c>
      <c r="AW80" s="170">
        <v>0</v>
      </c>
      <c r="AY80" s="844">
        <f t="shared" si="154"/>
        <v>0</v>
      </c>
    </row>
    <row r="81" spans="2:51" hidden="1" outlineLevel="1">
      <c r="B81" s="683"/>
      <c r="C81" s="682">
        <v>45839</v>
      </c>
      <c r="D81" s="172">
        <v>0</v>
      </c>
      <c r="E81" s="172">
        <v>0</v>
      </c>
      <c r="F81" s="172">
        <v>0</v>
      </c>
      <c r="G81" s="172">
        <v>0</v>
      </c>
      <c r="H81" s="172">
        <v>0</v>
      </c>
      <c r="I81" s="172">
        <v>0</v>
      </c>
      <c r="J81" s="172">
        <v>0</v>
      </c>
      <c r="K81" s="172">
        <v>0</v>
      </c>
      <c r="L81" s="172">
        <v>0</v>
      </c>
      <c r="M81" s="172">
        <v>0</v>
      </c>
      <c r="N81" s="170">
        <v>0</v>
      </c>
      <c r="O81" s="172">
        <v>0</v>
      </c>
      <c r="P81" s="172">
        <v>0</v>
      </c>
      <c r="Q81" s="170">
        <v>0</v>
      </c>
      <c r="R81" s="170">
        <v>0</v>
      </c>
      <c r="S81" s="170">
        <v>0</v>
      </c>
      <c r="T81" s="172">
        <v>0</v>
      </c>
      <c r="U81" s="170">
        <v>0</v>
      </c>
      <c r="V81" s="172">
        <v>0</v>
      </c>
      <c r="W81" s="170">
        <v>0</v>
      </c>
      <c r="X81" s="172">
        <v>0</v>
      </c>
      <c r="Y81" s="170">
        <v>0</v>
      </c>
      <c r="Z81" s="172">
        <v>0</v>
      </c>
      <c r="AA81" s="170">
        <v>0</v>
      </c>
      <c r="AB81" s="172">
        <v>0</v>
      </c>
      <c r="AC81" s="170">
        <v>0</v>
      </c>
      <c r="AD81" s="170">
        <v>0</v>
      </c>
      <c r="AE81" s="170">
        <v>0</v>
      </c>
      <c r="AF81" s="170">
        <v>0</v>
      </c>
      <c r="AG81" s="170">
        <v>0</v>
      </c>
      <c r="AH81" s="172">
        <v>0</v>
      </c>
      <c r="AI81" s="172">
        <v>0</v>
      </c>
      <c r="AJ81" s="172">
        <v>0</v>
      </c>
      <c r="AK81" s="172">
        <v>0</v>
      </c>
      <c r="AL81" s="172">
        <v>0</v>
      </c>
      <c r="AM81" s="172">
        <v>0</v>
      </c>
      <c r="AN81" s="172">
        <v>0</v>
      </c>
      <c r="AO81" s="172">
        <v>0</v>
      </c>
      <c r="AP81" s="172">
        <v>0</v>
      </c>
      <c r="AQ81" s="172">
        <v>0</v>
      </c>
      <c r="AR81" s="172">
        <v>0</v>
      </c>
      <c r="AS81" s="172">
        <v>0</v>
      </c>
      <c r="AT81" s="172">
        <v>0</v>
      </c>
      <c r="AU81" s="172">
        <v>0</v>
      </c>
      <c r="AV81" s="172">
        <v>0</v>
      </c>
      <c r="AW81" s="170">
        <v>0</v>
      </c>
      <c r="AY81" s="844">
        <f t="shared" si="154"/>
        <v>0</v>
      </c>
    </row>
    <row r="82" spans="2:51" hidden="1" outlineLevel="1">
      <c r="B82" s="683"/>
      <c r="C82" s="682">
        <v>45870</v>
      </c>
      <c r="D82" s="172">
        <v>0</v>
      </c>
      <c r="E82" s="172">
        <v>0</v>
      </c>
      <c r="F82" s="172">
        <v>0</v>
      </c>
      <c r="G82" s="172">
        <v>0</v>
      </c>
      <c r="H82" s="172">
        <v>0</v>
      </c>
      <c r="I82" s="172">
        <v>0</v>
      </c>
      <c r="J82" s="172">
        <v>0</v>
      </c>
      <c r="K82" s="172">
        <v>0</v>
      </c>
      <c r="L82" s="172">
        <v>0</v>
      </c>
      <c r="M82" s="172">
        <v>0</v>
      </c>
      <c r="N82" s="170">
        <v>0</v>
      </c>
      <c r="O82" s="172">
        <v>0</v>
      </c>
      <c r="P82" s="172">
        <v>0</v>
      </c>
      <c r="Q82" s="170">
        <v>0</v>
      </c>
      <c r="R82" s="170">
        <v>0</v>
      </c>
      <c r="S82" s="170">
        <v>0</v>
      </c>
      <c r="T82" s="172">
        <v>0</v>
      </c>
      <c r="U82" s="170">
        <v>0</v>
      </c>
      <c r="V82" s="172">
        <v>0</v>
      </c>
      <c r="W82" s="170">
        <v>0</v>
      </c>
      <c r="X82" s="172">
        <v>0</v>
      </c>
      <c r="Y82" s="170">
        <v>0</v>
      </c>
      <c r="Z82" s="172">
        <v>0</v>
      </c>
      <c r="AA82" s="170">
        <v>0</v>
      </c>
      <c r="AB82" s="172">
        <v>0</v>
      </c>
      <c r="AC82" s="170">
        <v>0</v>
      </c>
      <c r="AD82" s="170">
        <v>0</v>
      </c>
      <c r="AE82" s="170">
        <v>0</v>
      </c>
      <c r="AF82" s="170">
        <v>0</v>
      </c>
      <c r="AG82" s="170">
        <v>0</v>
      </c>
      <c r="AH82" s="172">
        <v>0</v>
      </c>
      <c r="AI82" s="172">
        <v>0</v>
      </c>
      <c r="AJ82" s="172">
        <v>0</v>
      </c>
      <c r="AK82" s="172">
        <v>0</v>
      </c>
      <c r="AL82" s="172">
        <v>0</v>
      </c>
      <c r="AM82" s="172">
        <v>0</v>
      </c>
      <c r="AN82" s="172">
        <v>0</v>
      </c>
      <c r="AO82" s="172">
        <v>0</v>
      </c>
      <c r="AP82" s="172">
        <v>0</v>
      </c>
      <c r="AQ82" s="172">
        <v>0</v>
      </c>
      <c r="AR82" s="172">
        <v>0</v>
      </c>
      <c r="AS82" s="172">
        <v>0</v>
      </c>
      <c r="AT82" s="172">
        <v>0</v>
      </c>
      <c r="AU82" s="172">
        <v>0</v>
      </c>
      <c r="AV82" s="172">
        <v>0</v>
      </c>
      <c r="AW82" s="170">
        <v>0</v>
      </c>
      <c r="AY82" s="844">
        <f t="shared" si="154"/>
        <v>0</v>
      </c>
    </row>
    <row r="83" spans="2:51" hidden="1" outlineLevel="1">
      <c r="B83" s="683"/>
      <c r="C83" s="682">
        <v>45901</v>
      </c>
      <c r="D83" s="172">
        <v>0</v>
      </c>
      <c r="E83" s="172">
        <v>0</v>
      </c>
      <c r="F83" s="172">
        <v>0</v>
      </c>
      <c r="G83" s="172">
        <v>0</v>
      </c>
      <c r="H83" s="172">
        <v>0</v>
      </c>
      <c r="I83" s="172">
        <v>0</v>
      </c>
      <c r="J83" s="172">
        <v>0</v>
      </c>
      <c r="K83" s="172">
        <v>0</v>
      </c>
      <c r="L83" s="172">
        <v>0</v>
      </c>
      <c r="M83" s="172">
        <v>0</v>
      </c>
      <c r="N83" s="170">
        <v>0</v>
      </c>
      <c r="O83" s="172">
        <v>0</v>
      </c>
      <c r="P83" s="172">
        <v>0</v>
      </c>
      <c r="Q83" s="170">
        <v>0</v>
      </c>
      <c r="R83" s="170">
        <v>0</v>
      </c>
      <c r="S83" s="170">
        <v>0</v>
      </c>
      <c r="T83" s="172">
        <v>0</v>
      </c>
      <c r="U83" s="170">
        <v>0</v>
      </c>
      <c r="V83" s="172">
        <v>0</v>
      </c>
      <c r="W83" s="170">
        <v>0</v>
      </c>
      <c r="X83" s="172">
        <v>0</v>
      </c>
      <c r="Y83" s="170">
        <v>0</v>
      </c>
      <c r="Z83" s="172">
        <v>0</v>
      </c>
      <c r="AA83" s="170">
        <v>0</v>
      </c>
      <c r="AB83" s="172">
        <v>0</v>
      </c>
      <c r="AC83" s="170">
        <v>0</v>
      </c>
      <c r="AD83" s="170">
        <v>0</v>
      </c>
      <c r="AE83" s="170">
        <v>0</v>
      </c>
      <c r="AF83" s="170">
        <v>0</v>
      </c>
      <c r="AG83" s="170">
        <v>0</v>
      </c>
      <c r="AH83" s="172">
        <v>0</v>
      </c>
      <c r="AI83" s="172">
        <v>0</v>
      </c>
      <c r="AJ83" s="172">
        <v>0</v>
      </c>
      <c r="AK83" s="172">
        <v>0</v>
      </c>
      <c r="AL83" s="172">
        <v>0</v>
      </c>
      <c r="AM83" s="172">
        <v>0</v>
      </c>
      <c r="AN83" s="172">
        <v>0</v>
      </c>
      <c r="AO83" s="172">
        <v>0</v>
      </c>
      <c r="AP83" s="172">
        <v>0</v>
      </c>
      <c r="AQ83" s="172">
        <v>0</v>
      </c>
      <c r="AR83" s="172">
        <v>0</v>
      </c>
      <c r="AS83" s="172">
        <v>0</v>
      </c>
      <c r="AT83" s="172">
        <v>0</v>
      </c>
      <c r="AU83" s="172">
        <v>0</v>
      </c>
      <c r="AV83" s="172">
        <v>0</v>
      </c>
      <c r="AW83" s="170">
        <v>0</v>
      </c>
      <c r="AY83" s="844">
        <f t="shared" si="154"/>
        <v>0</v>
      </c>
    </row>
    <row r="84" spans="2:51" hidden="1" outlineLevel="1">
      <c r="B84" s="683"/>
      <c r="C84" s="682">
        <v>45931</v>
      </c>
      <c r="D84" s="172">
        <v>0</v>
      </c>
      <c r="E84" s="172">
        <v>0</v>
      </c>
      <c r="F84" s="172">
        <v>0</v>
      </c>
      <c r="G84" s="172">
        <v>0</v>
      </c>
      <c r="H84" s="172">
        <v>0</v>
      </c>
      <c r="I84" s="172">
        <v>0</v>
      </c>
      <c r="J84" s="172">
        <v>0</v>
      </c>
      <c r="K84" s="172">
        <v>0</v>
      </c>
      <c r="L84" s="172">
        <v>0</v>
      </c>
      <c r="M84" s="172">
        <v>0</v>
      </c>
      <c r="N84" s="170">
        <v>0</v>
      </c>
      <c r="O84" s="172">
        <v>0</v>
      </c>
      <c r="P84" s="172">
        <v>0</v>
      </c>
      <c r="Q84" s="170">
        <v>0</v>
      </c>
      <c r="R84" s="170">
        <v>0</v>
      </c>
      <c r="S84" s="170">
        <v>0</v>
      </c>
      <c r="T84" s="172">
        <v>0</v>
      </c>
      <c r="U84" s="170">
        <v>0</v>
      </c>
      <c r="V84" s="172">
        <v>0</v>
      </c>
      <c r="W84" s="170">
        <v>0</v>
      </c>
      <c r="X84" s="172">
        <v>0</v>
      </c>
      <c r="Y84" s="170">
        <v>0</v>
      </c>
      <c r="Z84" s="172">
        <v>0</v>
      </c>
      <c r="AA84" s="170">
        <v>0</v>
      </c>
      <c r="AB84" s="172">
        <v>0</v>
      </c>
      <c r="AC84" s="170">
        <v>0</v>
      </c>
      <c r="AD84" s="170">
        <v>0</v>
      </c>
      <c r="AE84" s="170">
        <v>0</v>
      </c>
      <c r="AF84" s="170">
        <v>0</v>
      </c>
      <c r="AG84" s="170">
        <v>0</v>
      </c>
      <c r="AH84" s="172">
        <v>0</v>
      </c>
      <c r="AI84" s="172">
        <v>0</v>
      </c>
      <c r="AJ84" s="172">
        <v>0</v>
      </c>
      <c r="AK84" s="172">
        <v>0</v>
      </c>
      <c r="AL84" s="172">
        <v>0</v>
      </c>
      <c r="AM84" s="172">
        <v>0</v>
      </c>
      <c r="AN84" s="172">
        <v>0</v>
      </c>
      <c r="AO84" s="172">
        <v>0</v>
      </c>
      <c r="AP84" s="172">
        <v>0</v>
      </c>
      <c r="AQ84" s="172">
        <v>0</v>
      </c>
      <c r="AR84" s="172">
        <v>0</v>
      </c>
      <c r="AS84" s="172">
        <v>0</v>
      </c>
      <c r="AT84" s="172">
        <v>0</v>
      </c>
      <c r="AU84" s="172">
        <v>0</v>
      </c>
      <c r="AV84" s="172">
        <v>0</v>
      </c>
      <c r="AW84" s="170">
        <v>0</v>
      </c>
      <c r="AY84" s="844">
        <f t="shared" si="154"/>
        <v>0</v>
      </c>
    </row>
    <row r="85" spans="2:51" hidden="1" outlineLevel="1">
      <c r="B85" s="683"/>
      <c r="C85" s="682">
        <v>45962</v>
      </c>
      <c r="D85" s="172">
        <v>0</v>
      </c>
      <c r="E85" s="172">
        <v>0</v>
      </c>
      <c r="F85" s="172">
        <v>0</v>
      </c>
      <c r="G85" s="172">
        <v>0</v>
      </c>
      <c r="H85" s="172">
        <v>0</v>
      </c>
      <c r="I85" s="172">
        <v>0</v>
      </c>
      <c r="J85" s="172">
        <v>0</v>
      </c>
      <c r="K85" s="172">
        <v>0</v>
      </c>
      <c r="L85" s="172">
        <v>0</v>
      </c>
      <c r="M85" s="172">
        <v>0</v>
      </c>
      <c r="N85" s="170">
        <v>0</v>
      </c>
      <c r="O85" s="172">
        <v>0</v>
      </c>
      <c r="P85" s="172">
        <v>0</v>
      </c>
      <c r="Q85" s="170">
        <v>0</v>
      </c>
      <c r="R85" s="170">
        <v>0</v>
      </c>
      <c r="S85" s="170">
        <v>0</v>
      </c>
      <c r="T85" s="172">
        <v>0</v>
      </c>
      <c r="U85" s="170">
        <v>0</v>
      </c>
      <c r="V85" s="172">
        <v>0</v>
      </c>
      <c r="W85" s="170">
        <v>0</v>
      </c>
      <c r="X85" s="172">
        <v>0</v>
      </c>
      <c r="Y85" s="170">
        <v>0</v>
      </c>
      <c r="Z85" s="172">
        <v>0</v>
      </c>
      <c r="AA85" s="170">
        <v>0</v>
      </c>
      <c r="AB85" s="172">
        <v>0</v>
      </c>
      <c r="AC85" s="170">
        <v>0</v>
      </c>
      <c r="AD85" s="170">
        <v>0</v>
      </c>
      <c r="AE85" s="170">
        <v>0</v>
      </c>
      <c r="AF85" s="170">
        <v>0</v>
      </c>
      <c r="AG85" s="170">
        <v>0</v>
      </c>
      <c r="AH85" s="172">
        <v>0</v>
      </c>
      <c r="AI85" s="172">
        <v>0</v>
      </c>
      <c r="AJ85" s="172">
        <v>0</v>
      </c>
      <c r="AK85" s="172">
        <v>0</v>
      </c>
      <c r="AL85" s="172">
        <v>0</v>
      </c>
      <c r="AM85" s="172">
        <v>0</v>
      </c>
      <c r="AN85" s="172">
        <v>0</v>
      </c>
      <c r="AO85" s="172">
        <v>0</v>
      </c>
      <c r="AP85" s="172">
        <v>0</v>
      </c>
      <c r="AQ85" s="172">
        <v>0</v>
      </c>
      <c r="AR85" s="172">
        <v>0</v>
      </c>
      <c r="AS85" s="172">
        <v>0</v>
      </c>
      <c r="AT85" s="172">
        <v>0</v>
      </c>
      <c r="AU85" s="172">
        <v>0</v>
      </c>
      <c r="AV85" s="172">
        <v>0</v>
      </c>
      <c r="AW85" s="170">
        <v>0</v>
      </c>
      <c r="AY85" s="844">
        <f t="shared" si="154"/>
        <v>0</v>
      </c>
    </row>
    <row r="86" spans="2:51" hidden="1" outlineLevel="1">
      <c r="B86" s="683"/>
      <c r="C86" s="681">
        <v>45992</v>
      </c>
      <c r="D86" s="199">
        <v>0</v>
      </c>
      <c r="E86" s="199">
        <v>0</v>
      </c>
      <c r="F86" s="199">
        <v>0</v>
      </c>
      <c r="G86" s="199">
        <v>0</v>
      </c>
      <c r="H86" s="199">
        <v>0</v>
      </c>
      <c r="I86" s="199">
        <v>0</v>
      </c>
      <c r="J86" s="199">
        <v>0</v>
      </c>
      <c r="K86" s="199">
        <v>0</v>
      </c>
      <c r="L86" s="199">
        <v>0</v>
      </c>
      <c r="M86" s="199">
        <v>0</v>
      </c>
      <c r="N86" s="208">
        <v>0</v>
      </c>
      <c r="O86" s="199">
        <v>0</v>
      </c>
      <c r="P86" s="199">
        <v>0</v>
      </c>
      <c r="Q86" s="208">
        <v>0</v>
      </c>
      <c r="R86" s="208">
        <v>0</v>
      </c>
      <c r="S86" s="208">
        <v>0</v>
      </c>
      <c r="T86" s="199">
        <v>0</v>
      </c>
      <c r="U86" s="208">
        <v>0</v>
      </c>
      <c r="V86" s="199">
        <v>0</v>
      </c>
      <c r="W86" s="208">
        <v>0</v>
      </c>
      <c r="X86" s="199">
        <v>0</v>
      </c>
      <c r="Y86" s="208">
        <v>0</v>
      </c>
      <c r="Z86" s="172">
        <v>0</v>
      </c>
      <c r="AA86" s="170">
        <v>0</v>
      </c>
      <c r="AB86" s="199">
        <v>0</v>
      </c>
      <c r="AC86" s="170">
        <v>0</v>
      </c>
      <c r="AD86" s="170">
        <v>0</v>
      </c>
      <c r="AE86" s="170">
        <v>0</v>
      </c>
      <c r="AF86" s="170">
        <v>0</v>
      </c>
      <c r="AG86" s="170">
        <v>0</v>
      </c>
      <c r="AH86" s="199">
        <v>0</v>
      </c>
      <c r="AI86" s="199">
        <v>0</v>
      </c>
      <c r="AJ86" s="199">
        <v>0</v>
      </c>
      <c r="AK86" s="199">
        <v>0</v>
      </c>
      <c r="AL86" s="199">
        <v>0</v>
      </c>
      <c r="AM86" s="199">
        <v>0</v>
      </c>
      <c r="AN86" s="199">
        <v>0</v>
      </c>
      <c r="AO86" s="199">
        <v>0</v>
      </c>
      <c r="AP86" s="199">
        <v>0</v>
      </c>
      <c r="AQ86" s="199">
        <v>0</v>
      </c>
      <c r="AR86" s="199">
        <v>0</v>
      </c>
      <c r="AS86" s="199">
        <v>0</v>
      </c>
      <c r="AT86" s="199">
        <v>0</v>
      </c>
      <c r="AU86" s="199">
        <v>0</v>
      </c>
      <c r="AV86" s="199">
        <v>0</v>
      </c>
      <c r="AW86" s="208">
        <v>0</v>
      </c>
      <c r="AY86" s="845">
        <f t="shared" si="154"/>
        <v>0</v>
      </c>
    </row>
    <row r="87" spans="2:51" hidden="1" outlineLevel="1">
      <c r="B87" s="684"/>
      <c r="C87" s="197" t="s">
        <v>992</v>
      </c>
      <c r="D87" s="166">
        <f t="shared" ref="D87:Z87" si="155">AVERAGE(D74:D86)</f>
        <v>0</v>
      </c>
      <c r="E87" s="166">
        <f t="shared" si="155"/>
        <v>0</v>
      </c>
      <c r="F87" s="166">
        <f t="shared" si="155"/>
        <v>0</v>
      </c>
      <c r="G87" s="166">
        <f t="shared" si="155"/>
        <v>0</v>
      </c>
      <c r="H87" s="166">
        <f t="shared" si="155"/>
        <v>0</v>
      </c>
      <c r="I87" s="166">
        <f t="shared" si="155"/>
        <v>0</v>
      </c>
      <c r="J87" s="166">
        <f t="shared" si="155"/>
        <v>0</v>
      </c>
      <c r="K87" s="166">
        <f t="shared" si="155"/>
        <v>0</v>
      </c>
      <c r="L87" s="166">
        <f t="shared" si="155"/>
        <v>0</v>
      </c>
      <c r="M87" s="166">
        <f t="shared" si="155"/>
        <v>0</v>
      </c>
      <c r="N87" s="166">
        <f t="shared" si="155"/>
        <v>0</v>
      </c>
      <c r="O87" s="166">
        <f t="shared" si="155"/>
        <v>0</v>
      </c>
      <c r="P87" s="166">
        <f t="shared" si="155"/>
        <v>0</v>
      </c>
      <c r="Q87" s="166">
        <f t="shared" si="155"/>
        <v>0</v>
      </c>
      <c r="R87" s="166">
        <f t="shared" si="155"/>
        <v>0</v>
      </c>
      <c r="S87" s="166">
        <f t="shared" si="155"/>
        <v>0</v>
      </c>
      <c r="T87" s="166">
        <f t="shared" si="155"/>
        <v>0</v>
      </c>
      <c r="U87" s="166">
        <f t="shared" si="155"/>
        <v>0</v>
      </c>
      <c r="V87" s="166">
        <f t="shared" si="155"/>
        <v>0</v>
      </c>
      <c r="W87" s="166">
        <f t="shared" si="155"/>
        <v>0</v>
      </c>
      <c r="X87" s="166">
        <f t="shared" si="155"/>
        <v>0</v>
      </c>
      <c r="Y87" s="166">
        <f t="shared" si="155"/>
        <v>0</v>
      </c>
      <c r="Z87" s="166">
        <f t="shared" si="155"/>
        <v>0</v>
      </c>
      <c r="AA87" s="166">
        <f t="shared" ref="AA87:AY87" si="156">AVERAGE(AA74:AA86)</f>
        <v>0</v>
      </c>
      <c r="AB87" s="166">
        <f t="shared" si="156"/>
        <v>0</v>
      </c>
      <c r="AC87" s="166">
        <f t="shared" si="156"/>
        <v>0</v>
      </c>
      <c r="AD87" s="166">
        <f t="shared" si="156"/>
        <v>0</v>
      </c>
      <c r="AE87" s="166">
        <f t="shared" si="156"/>
        <v>0</v>
      </c>
      <c r="AF87" s="166">
        <f t="shared" si="156"/>
        <v>0</v>
      </c>
      <c r="AG87" s="166">
        <f>AVERAGE(AG74:AG86)</f>
        <v>0</v>
      </c>
      <c r="AH87" s="166">
        <f>AVERAGE(AH74:AH86)</f>
        <v>0</v>
      </c>
      <c r="AI87" s="166">
        <f>AVERAGE(AI74:AI86)</f>
        <v>0</v>
      </c>
      <c r="AJ87" s="166">
        <f t="shared" si="156"/>
        <v>0</v>
      </c>
      <c r="AK87" s="166">
        <f t="shared" si="156"/>
        <v>0</v>
      </c>
      <c r="AL87" s="166">
        <f t="shared" ref="AL87:AP87" si="157">AVERAGE(AL74:AL86)</f>
        <v>0</v>
      </c>
      <c r="AM87" s="166">
        <f t="shared" si="157"/>
        <v>0</v>
      </c>
      <c r="AN87" s="166">
        <f t="shared" si="157"/>
        <v>0</v>
      </c>
      <c r="AO87" s="166">
        <f t="shared" si="157"/>
        <v>0</v>
      </c>
      <c r="AP87" s="166">
        <f t="shared" si="157"/>
        <v>0</v>
      </c>
      <c r="AQ87" s="166">
        <f t="shared" si="156"/>
        <v>0</v>
      </c>
      <c r="AR87" s="166">
        <f t="shared" si="156"/>
        <v>0</v>
      </c>
      <c r="AS87" s="166">
        <f t="shared" si="156"/>
        <v>0</v>
      </c>
      <c r="AT87" s="166">
        <f t="shared" si="156"/>
        <v>0</v>
      </c>
      <c r="AU87" s="166">
        <f t="shared" si="156"/>
        <v>0</v>
      </c>
      <c r="AV87" s="166">
        <f t="shared" ref="AV87:AW87" si="158">AVERAGE(AV74:AV86)</f>
        <v>0</v>
      </c>
      <c r="AW87" s="166">
        <f t="shared" si="158"/>
        <v>0</v>
      </c>
      <c r="AY87" s="166">
        <f t="shared" si="156"/>
        <v>0</v>
      </c>
    </row>
    <row r="88" spans="2:51" hidden="1" outlineLevel="1">
      <c r="C88" s="680"/>
      <c r="D88" s="677"/>
      <c r="E88" s="677"/>
      <c r="F88" s="677"/>
      <c r="G88" s="677"/>
      <c r="H88" s="677"/>
      <c r="I88" s="677"/>
      <c r="J88" s="677"/>
      <c r="K88" s="677"/>
      <c r="L88" s="661"/>
      <c r="M88" s="677"/>
      <c r="N88" s="677"/>
      <c r="O88" s="677"/>
      <c r="P88" s="677"/>
      <c r="Q88" s="661"/>
      <c r="R88" s="677"/>
      <c r="S88" s="661"/>
      <c r="T88" s="677"/>
      <c r="U88" s="661"/>
      <c r="V88" s="677"/>
      <c r="W88" s="661"/>
      <c r="X88" s="677"/>
      <c r="Y88" s="661"/>
      <c r="Z88" s="677"/>
      <c r="AA88" s="661"/>
      <c r="AB88" s="677"/>
      <c r="AC88" s="661"/>
      <c r="AD88" s="677"/>
      <c r="AE88" s="677"/>
      <c r="AF88" s="677"/>
      <c r="AG88" s="677"/>
      <c r="AH88" s="677"/>
      <c r="AI88" s="677"/>
      <c r="AJ88" s="677"/>
      <c r="AK88" s="677"/>
      <c r="AL88" s="677"/>
      <c r="AM88" s="677"/>
      <c r="AN88" s="677"/>
      <c r="AO88" s="677"/>
      <c r="AP88" s="677"/>
      <c r="AQ88" s="677"/>
      <c r="AR88" s="677"/>
      <c r="AS88" s="677"/>
      <c r="AT88" s="677"/>
      <c r="AU88" s="677"/>
      <c r="AV88" s="677"/>
      <c r="AW88" s="677"/>
    </row>
    <row r="89" spans="2:51" hidden="1" outlineLevel="1">
      <c r="B89" s="685" t="s">
        <v>578</v>
      </c>
      <c r="C89" s="686">
        <v>45627</v>
      </c>
      <c r="D89" s="176">
        <v>141497040.90000001</v>
      </c>
      <c r="E89" s="176">
        <v>88185651.480000004</v>
      </c>
      <c r="F89" s="176">
        <v>140835822.94999999</v>
      </c>
      <c r="G89" s="176">
        <v>8744623.370000001</v>
      </c>
      <c r="H89" s="176">
        <v>1250002.3199999998</v>
      </c>
      <c r="I89" s="176">
        <v>1964606.7600000002</v>
      </c>
      <c r="J89" s="176">
        <v>8871.1299999999992</v>
      </c>
      <c r="K89" s="176">
        <v>520817.72</v>
      </c>
      <c r="L89" s="176">
        <v>14493691.1</v>
      </c>
      <c r="M89" s="176">
        <v>120240494.91999999</v>
      </c>
      <c r="N89" s="176">
        <v>26023325.859999999</v>
      </c>
      <c r="O89" s="176">
        <v>26387166.550000001</v>
      </c>
      <c r="P89" s="176">
        <v>226959546.67000002</v>
      </c>
      <c r="Q89" s="176">
        <v>7445003.0549999997</v>
      </c>
      <c r="R89" s="176">
        <v>20293204.114999998</v>
      </c>
      <c r="S89" s="176">
        <v>8423892.3200000003</v>
      </c>
      <c r="T89" s="176">
        <v>6687277.9850000013</v>
      </c>
      <c r="U89" s="176">
        <v>2664959.2099999995</v>
      </c>
      <c r="V89" s="176">
        <v>216107.64499999999</v>
      </c>
      <c r="W89" s="176">
        <v>52197.684999999998</v>
      </c>
      <c r="X89" s="176">
        <v>7276440.8300000001</v>
      </c>
      <c r="Y89" s="176">
        <v>539931.54499999993</v>
      </c>
      <c r="Z89" s="176">
        <v>2495795.73</v>
      </c>
      <c r="AA89" s="176">
        <v>3367348.1749999998</v>
      </c>
      <c r="AB89" s="176">
        <v>6345349.0500000007</v>
      </c>
      <c r="AC89" s="176">
        <v>66596.285000000003</v>
      </c>
      <c r="AD89" s="176">
        <v>182733.28999999998</v>
      </c>
      <c r="AE89" s="176">
        <v>108109.07999999999</v>
      </c>
      <c r="AF89" s="176">
        <v>0</v>
      </c>
      <c r="AG89" s="176">
        <v>237889.26500000001</v>
      </c>
      <c r="AH89" s="176">
        <v>4543062.1449999996</v>
      </c>
      <c r="AI89" s="176">
        <v>22439.57</v>
      </c>
      <c r="AJ89" s="176">
        <v>637853.9</v>
      </c>
      <c r="AK89" s="176">
        <v>42758.51</v>
      </c>
      <c r="AL89" s="176">
        <v>2953111.68</v>
      </c>
      <c r="AM89" s="176">
        <v>1294205.33</v>
      </c>
      <c r="AN89" s="176">
        <v>3286856.7549999999</v>
      </c>
      <c r="AO89" s="176">
        <v>502255.58</v>
      </c>
      <c r="AP89" s="176">
        <v>2833396.2236361243</v>
      </c>
      <c r="AQ89" s="176">
        <v>93.535057335187503</v>
      </c>
      <c r="AR89" s="176">
        <v>2292730.9933802718</v>
      </c>
      <c r="AS89" s="176">
        <v>0</v>
      </c>
      <c r="AT89" s="176">
        <v>0</v>
      </c>
      <c r="AU89" s="176">
        <v>0</v>
      </c>
      <c r="AV89" s="176">
        <v>3370694.6349999998</v>
      </c>
      <c r="AW89" s="176">
        <v>4412148.9450000003</v>
      </c>
      <c r="AY89" s="843">
        <f t="shared" ref="AY89:AY101" si="159">SUM(D89:AX89)</f>
        <v>889706104.79707372</v>
      </c>
    </row>
    <row r="90" spans="2:51" hidden="1" outlineLevel="1">
      <c r="B90" s="683"/>
      <c r="C90" s="681">
        <v>45658</v>
      </c>
      <c r="D90" s="170">
        <v>141497040.90000001</v>
      </c>
      <c r="E90" s="170">
        <v>88185651.480000004</v>
      </c>
      <c r="F90" s="170">
        <v>140835822.94999999</v>
      </c>
      <c r="G90" s="170">
        <v>8744623.370000001</v>
      </c>
      <c r="H90" s="170">
        <v>1250002.3199999998</v>
      </c>
      <c r="I90" s="170">
        <v>1964606.7600000002</v>
      </c>
      <c r="J90" s="170">
        <v>8871.1299999999992</v>
      </c>
      <c r="K90" s="170">
        <v>520817.72</v>
      </c>
      <c r="L90" s="170">
        <v>14493691.1</v>
      </c>
      <c r="M90" s="170">
        <v>120240494.91999999</v>
      </c>
      <c r="N90" s="170">
        <v>26023325.859999999</v>
      </c>
      <c r="O90" s="170">
        <v>26387166.550000001</v>
      </c>
      <c r="P90" s="170">
        <v>226959546.67000002</v>
      </c>
      <c r="Q90" s="170">
        <v>7445003.0549999997</v>
      </c>
      <c r="R90" s="170">
        <v>20293204.114999998</v>
      </c>
      <c r="S90" s="170">
        <v>8423892.3200000003</v>
      </c>
      <c r="T90" s="170">
        <v>6687277.9850000013</v>
      </c>
      <c r="U90" s="170">
        <v>2664959.2099999995</v>
      </c>
      <c r="V90" s="170">
        <v>216107.64499999999</v>
      </c>
      <c r="W90" s="170">
        <v>52197.684999999998</v>
      </c>
      <c r="X90" s="170">
        <v>7276440.8300000001</v>
      </c>
      <c r="Y90" s="170">
        <v>539931.54499999993</v>
      </c>
      <c r="Z90" s="170">
        <v>2495795.73</v>
      </c>
      <c r="AA90" s="170">
        <v>3367348.1749999998</v>
      </c>
      <c r="AB90" s="170">
        <v>6345349.0500000007</v>
      </c>
      <c r="AC90" s="170">
        <v>66596.285000000003</v>
      </c>
      <c r="AD90" s="170">
        <v>182733.28999999998</v>
      </c>
      <c r="AE90" s="170">
        <v>108109.07999999999</v>
      </c>
      <c r="AF90" s="170">
        <v>0</v>
      </c>
      <c r="AG90" s="170">
        <v>237889.26500000001</v>
      </c>
      <c r="AH90" s="170">
        <v>4543062.1449999996</v>
      </c>
      <c r="AI90" s="170">
        <v>22439.57</v>
      </c>
      <c r="AJ90" s="170">
        <v>637853.9</v>
      </c>
      <c r="AK90" s="170">
        <v>42758.51</v>
      </c>
      <c r="AL90" s="170">
        <v>2953111.68</v>
      </c>
      <c r="AM90" s="170">
        <v>1294205.33</v>
      </c>
      <c r="AN90" s="170">
        <v>3286856.7549999999</v>
      </c>
      <c r="AO90" s="170">
        <v>502255.58</v>
      </c>
      <c r="AP90" s="170">
        <v>2833396.2236361243</v>
      </c>
      <c r="AQ90" s="170">
        <v>93.535057335187503</v>
      </c>
      <c r="AR90" s="170">
        <v>2292730.9933802718</v>
      </c>
      <c r="AS90" s="170">
        <v>0</v>
      </c>
      <c r="AT90" s="170">
        <v>0</v>
      </c>
      <c r="AU90" s="170">
        <v>0</v>
      </c>
      <c r="AV90" s="170">
        <v>3370694.6349999998</v>
      </c>
      <c r="AW90" s="170">
        <v>4412148.9450000003</v>
      </c>
      <c r="AY90" s="844">
        <f t="shared" si="159"/>
        <v>889706104.79707372</v>
      </c>
    </row>
    <row r="91" spans="2:51" hidden="1" outlineLevel="1">
      <c r="B91" s="683"/>
      <c r="C91" s="682">
        <v>45689</v>
      </c>
      <c r="D91" s="170">
        <v>141497040.90000001</v>
      </c>
      <c r="E91" s="170">
        <v>88185651.480000004</v>
      </c>
      <c r="F91" s="170">
        <v>140835822.94999999</v>
      </c>
      <c r="G91" s="170">
        <v>8744623.370000001</v>
      </c>
      <c r="H91" s="170">
        <v>1250002.3199999998</v>
      </c>
      <c r="I91" s="170">
        <v>1964606.7600000002</v>
      </c>
      <c r="J91" s="170">
        <v>8871.1299999999992</v>
      </c>
      <c r="K91" s="170">
        <v>520817.72</v>
      </c>
      <c r="L91" s="170">
        <v>14493691.1</v>
      </c>
      <c r="M91" s="170">
        <v>120240494.91999999</v>
      </c>
      <c r="N91" s="170">
        <v>26023325.859999999</v>
      </c>
      <c r="O91" s="170">
        <v>26387166.550000001</v>
      </c>
      <c r="P91" s="170">
        <v>226959546.67000002</v>
      </c>
      <c r="Q91" s="170">
        <v>7445003.0549999997</v>
      </c>
      <c r="R91" s="170">
        <v>20293204.114999998</v>
      </c>
      <c r="S91" s="170">
        <v>8423892.3200000003</v>
      </c>
      <c r="T91" s="170">
        <v>6687277.9850000013</v>
      </c>
      <c r="U91" s="170">
        <v>2664959.2099999995</v>
      </c>
      <c r="V91" s="170">
        <v>216107.64499999999</v>
      </c>
      <c r="W91" s="170">
        <v>52197.684999999998</v>
      </c>
      <c r="X91" s="170">
        <v>7276440.8300000001</v>
      </c>
      <c r="Y91" s="170">
        <v>539931.54499999993</v>
      </c>
      <c r="Z91" s="170">
        <v>2495795.73</v>
      </c>
      <c r="AA91" s="170">
        <v>3367348.1749999998</v>
      </c>
      <c r="AB91" s="170">
        <v>6345349.0500000007</v>
      </c>
      <c r="AC91" s="170">
        <v>66596.285000000003</v>
      </c>
      <c r="AD91" s="170">
        <v>182733.28999999998</v>
      </c>
      <c r="AE91" s="170">
        <v>108109.07999999999</v>
      </c>
      <c r="AF91" s="170">
        <v>1625629.398459</v>
      </c>
      <c r="AG91" s="170">
        <v>237889.26500000001</v>
      </c>
      <c r="AH91" s="170">
        <v>4543062.1449999996</v>
      </c>
      <c r="AI91" s="170">
        <v>22439.57</v>
      </c>
      <c r="AJ91" s="170">
        <v>637853.9</v>
      </c>
      <c r="AK91" s="170">
        <v>42758.51</v>
      </c>
      <c r="AL91" s="170">
        <v>2953111.68</v>
      </c>
      <c r="AM91" s="170">
        <v>1294205.33</v>
      </c>
      <c r="AN91" s="170">
        <v>3286856.7549999999</v>
      </c>
      <c r="AO91" s="170">
        <v>502255.58</v>
      </c>
      <c r="AP91" s="170">
        <v>2833396.2236361243</v>
      </c>
      <c r="AQ91" s="170">
        <v>93.535057335187503</v>
      </c>
      <c r="AR91" s="170">
        <v>2292730.9933802718</v>
      </c>
      <c r="AS91" s="170">
        <v>0</v>
      </c>
      <c r="AT91" s="170">
        <v>16264736.624500899</v>
      </c>
      <c r="AU91" s="170">
        <v>7567365.6961317286</v>
      </c>
      <c r="AV91" s="170">
        <v>3370694.6349999998</v>
      </c>
      <c r="AW91" s="170">
        <v>4412148.9450000003</v>
      </c>
      <c r="AY91" s="844">
        <f t="shared" si="159"/>
        <v>915163836.51616526</v>
      </c>
    </row>
    <row r="92" spans="2:51" hidden="1" outlineLevel="1">
      <c r="B92" s="683"/>
      <c r="C92" s="682">
        <v>45717</v>
      </c>
      <c r="D92" s="170">
        <v>141497040.90000001</v>
      </c>
      <c r="E92" s="170">
        <v>88185651.480000004</v>
      </c>
      <c r="F92" s="170">
        <v>140835822.94999999</v>
      </c>
      <c r="G92" s="170">
        <v>8744623.370000001</v>
      </c>
      <c r="H92" s="170">
        <v>1250002.3199999998</v>
      </c>
      <c r="I92" s="170">
        <v>1964606.7600000002</v>
      </c>
      <c r="J92" s="170">
        <v>8871.1299999999992</v>
      </c>
      <c r="K92" s="170">
        <v>520817.72</v>
      </c>
      <c r="L92" s="170">
        <v>14493691.1</v>
      </c>
      <c r="M92" s="170">
        <v>120240494.91999999</v>
      </c>
      <c r="N92" s="170">
        <v>26023325.859999999</v>
      </c>
      <c r="O92" s="170">
        <v>26387166.550000001</v>
      </c>
      <c r="P92" s="170">
        <v>226959546.67000002</v>
      </c>
      <c r="Q92" s="170">
        <v>7445003.0549999997</v>
      </c>
      <c r="R92" s="170">
        <v>20293204.114999998</v>
      </c>
      <c r="S92" s="170">
        <v>8423892.3200000003</v>
      </c>
      <c r="T92" s="170">
        <v>6687277.9850000013</v>
      </c>
      <c r="U92" s="170">
        <v>2664959.2099999995</v>
      </c>
      <c r="V92" s="170">
        <v>216107.64499999999</v>
      </c>
      <c r="W92" s="170">
        <v>52197.684999999998</v>
      </c>
      <c r="X92" s="170">
        <v>7276440.8300000001</v>
      </c>
      <c r="Y92" s="170">
        <v>539931.54499999993</v>
      </c>
      <c r="Z92" s="170">
        <v>2495795.73</v>
      </c>
      <c r="AA92" s="170">
        <v>3367348.1749999998</v>
      </c>
      <c r="AB92" s="170">
        <v>6345349.0500000007</v>
      </c>
      <c r="AC92" s="170">
        <v>66596.285000000003</v>
      </c>
      <c r="AD92" s="170">
        <v>182733.28999999998</v>
      </c>
      <c r="AE92" s="170">
        <v>108109.07999999999</v>
      </c>
      <c r="AF92" s="170">
        <v>1625629.398459</v>
      </c>
      <c r="AG92" s="170">
        <v>237889.26500000001</v>
      </c>
      <c r="AH92" s="170">
        <v>4543062.1449999996</v>
      </c>
      <c r="AI92" s="170">
        <v>22439.57</v>
      </c>
      <c r="AJ92" s="170">
        <v>637853.9</v>
      </c>
      <c r="AK92" s="170">
        <v>42758.51</v>
      </c>
      <c r="AL92" s="170">
        <v>2953111.68</v>
      </c>
      <c r="AM92" s="170">
        <v>1294205.33</v>
      </c>
      <c r="AN92" s="170">
        <v>3286856.7549999999</v>
      </c>
      <c r="AO92" s="170">
        <v>502255.58</v>
      </c>
      <c r="AP92" s="170">
        <v>2833396.2236361243</v>
      </c>
      <c r="AQ92" s="170">
        <v>93.535057335187503</v>
      </c>
      <c r="AR92" s="170">
        <v>2292730.9933802718</v>
      </c>
      <c r="AS92" s="170">
        <v>0</v>
      </c>
      <c r="AT92" s="170">
        <v>16264736.624500899</v>
      </c>
      <c r="AU92" s="170">
        <v>7567365.6961317286</v>
      </c>
      <c r="AV92" s="170">
        <v>3370694.6349999998</v>
      </c>
      <c r="AW92" s="170">
        <v>4412148.9450000003</v>
      </c>
      <c r="AY92" s="844">
        <f t="shared" si="159"/>
        <v>915163836.51616526</v>
      </c>
    </row>
    <row r="93" spans="2:51" hidden="1" outlineLevel="1">
      <c r="B93" s="683"/>
      <c r="C93" s="682">
        <v>45748</v>
      </c>
      <c r="D93" s="170">
        <v>141497040.90000001</v>
      </c>
      <c r="E93" s="170">
        <v>88185651.480000004</v>
      </c>
      <c r="F93" s="170">
        <v>140835822.94999999</v>
      </c>
      <c r="G93" s="170">
        <v>8744623.370000001</v>
      </c>
      <c r="H93" s="170">
        <v>1250002.3199999998</v>
      </c>
      <c r="I93" s="170">
        <v>1964606.7600000002</v>
      </c>
      <c r="J93" s="170">
        <v>8871.1299999999992</v>
      </c>
      <c r="K93" s="170">
        <v>520817.72</v>
      </c>
      <c r="L93" s="170">
        <v>14493691.1</v>
      </c>
      <c r="M93" s="170">
        <v>120240494.91999999</v>
      </c>
      <c r="N93" s="170">
        <v>26023325.859999999</v>
      </c>
      <c r="O93" s="170">
        <v>26387166.550000001</v>
      </c>
      <c r="P93" s="170">
        <v>226959546.67000002</v>
      </c>
      <c r="Q93" s="170">
        <v>7445003.0549999997</v>
      </c>
      <c r="R93" s="170">
        <v>20293204.114999998</v>
      </c>
      <c r="S93" s="170">
        <v>8423892.3200000003</v>
      </c>
      <c r="T93" s="170">
        <v>6687277.9850000013</v>
      </c>
      <c r="U93" s="170">
        <v>2664959.2099999995</v>
      </c>
      <c r="V93" s="170">
        <v>216107.64499999999</v>
      </c>
      <c r="W93" s="170">
        <v>52197.684999999998</v>
      </c>
      <c r="X93" s="170">
        <v>7276440.8300000001</v>
      </c>
      <c r="Y93" s="170">
        <v>539931.54499999993</v>
      </c>
      <c r="Z93" s="170">
        <v>2495795.73</v>
      </c>
      <c r="AA93" s="170">
        <v>3367348.1749999998</v>
      </c>
      <c r="AB93" s="170">
        <v>6345349.0500000007</v>
      </c>
      <c r="AC93" s="170">
        <v>66596.285000000003</v>
      </c>
      <c r="AD93" s="170">
        <v>182733.28999999998</v>
      </c>
      <c r="AE93" s="170">
        <v>108109.07999999999</v>
      </c>
      <c r="AF93" s="170">
        <v>1625629.398459</v>
      </c>
      <c r="AG93" s="170">
        <v>237889.26500000001</v>
      </c>
      <c r="AH93" s="170">
        <v>4543062.1449999996</v>
      </c>
      <c r="AI93" s="170">
        <v>22439.57</v>
      </c>
      <c r="AJ93" s="170">
        <v>637853.9</v>
      </c>
      <c r="AK93" s="170">
        <v>42758.51</v>
      </c>
      <c r="AL93" s="170">
        <v>2953111.68</v>
      </c>
      <c r="AM93" s="170">
        <v>1294205.33</v>
      </c>
      <c r="AN93" s="170">
        <v>3286856.7549999999</v>
      </c>
      <c r="AO93" s="170">
        <v>502255.58</v>
      </c>
      <c r="AP93" s="170">
        <v>2833396.2236361243</v>
      </c>
      <c r="AQ93" s="170">
        <v>93.535057335187503</v>
      </c>
      <c r="AR93" s="170">
        <v>2292730.9933802718</v>
      </c>
      <c r="AS93" s="170">
        <v>0</v>
      </c>
      <c r="AT93" s="170">
        <v>16264736.624500899</v>
      </c>
      <c r="AU93" s="170">
        <v>7567365.6961317286</v>
      </c>
      <c r="AV93" s="170">
        <v>3370694.6349999998</v>
      </c>
      <c r="AW93" s="170">
        <v>4412148.9450000003</v>
      </c>
      <c r="AY93" s="844">
        <f t="shared" si="159"/>
        <v>915163836.51616526</v>
      </c>
    </row>
    <row r="94" spans="2:51" hidden="1" outlineLevel="1">
      <c r="B94" s="683"/>
      <c r="C94" s="682">
        <v>45778</v>
      </c>
      <c r="D94" s="170">
        <v>141497040.90000001</v>
      </c>
      <c r="E94" s="170">
        <v>88185651.480000004</v>
      </c>
      <c r="F94" s="170">
        <v>140835822.94999999</v>
      </c>
      <c r="G94" s="170">
        <v>8744623.370000001</v>
      </c>
      <c r="H94" s="170">
        <v>1250002.3199999998</v>
      </c>
      <c r="I94" s="170">
        <v>1964606.7600000002</v>
      </c>
      <c r="J94" s="170">
        <v>8871.1299999999992</v>
      </c>
      <c r="K94" s="170">
        <v>520817.72</v>
      </c>
      <c r="L94" s="170">
        <v>14493691.1</v>
      </c>
      <c r="M94" s="170">
        <v>120240494.91999999</v>
      </c>
      <c r="N94" s="170">
        <v>26023325.859999999</v>
      </c>
      <c r="O94" s="170">
        <v>26387166.550000001</v>
      </c>
      <c r="P94" s="170">
        <v>226959546.67000002</v>
      </c>
      <c r="Q94" s="170">
        <v>7445003.0549999997</v>
      </c>
      <c r="R94" s="170">
        <v>20293204.114999998</v>
      </c>
      <c r="S94" s="170">
        <v>8423892.3200000003</v>
      </c>
      <c r="T94" s="170">
        <v>6687277.9850000013</v>
      </c>
      <c r="U94" s="170">
        <v>2664959.2099999995</v>
      </c>
      <c r="V94" s="170">
        <v>216107.64499999999</v>
      </c>
      <c r="W94" s="170">
        <v>52197.684999999998</v>
      </c>
      <c r="X94" s="170">
        <v>7276440.8300000001</v>
      </c>
      <c r="Y94" s="170">
        <v>539931.54499999993</v>
      </c>
      <c r="Z94" s="170">
        <v>2495795.73</v>
      </c>
      <c r="AA94" s="170">
        <v>3367348.1749999998</v>
      </c>
      <c r="AB94" s="170">
        <v>6345349.0500000007</v>
      </c>
      <c r="AC94" s="170">
        <v>66596.285000000003</v>
      </c>
      <c r="AD94" s="170">
        <v>182733.28999999998</v>
      </c>
      <c r="AE94" s="170">
        <v>108109.07999999999</v>
      </c>
      <c r="AF94" s="170">
        <v>1625629.398459</v>
      </c>
      <c r="AG94" s="170">
        <v>237889.26500000001</v>
      </c>
      <c r="AH94" s="170">
        <v>4543062.1449999996</v>
      </c>
      <c r="AI94" s="170">
        <v>22439.57</v>
      </c>
      <c r="AJ94" s="170">
        <v>637853.9</v>
      </c>
      <c r="AK94" s="170">
        <v>42758.51</v>
      </c>
      <c r="AL94" s="170">
        <v>2953111.68</v>
      </c>
      <c r="AM94" s="170">
        <v>1294205.33</v>
      </c>
      <c r="AN94" s="170">
        <v>3286856.7549999999</v>
      </c>
      <c r="AO94" s="170">
        <v>502255.58</v>
      </c>
      <c r="AP94" s="170">
        <v>2833396.2236361243</v>
      </c>
      <c r="AQ94" s="170">
        <v>93.535057335187503</v>
      </c>
      <c r="AR94" s="170">
        <v>2292730.9933802718</v>
      </c>
      <c r="AS94" s="170">
        <v>0</v>
      </c>
      <c r="AT94" s="170">
        <v>16264736.624500899</v>
      </c>
      <c r="AU94" s="170">
        <v>7567365.6961317286</v>
      </c>
      <c r="AV94" s="170">
        <v>3370694.6349999998</v>
      </c>
      <c r="AW94" s="170">
        <v>4412148.9450000003</v>
      </c>
      <c r="AY94" s="844">
        <f t="shared" si="159"/>
        <v>915163836.51616526</v>
      </c>
    </row>
    <row r="95" spans="2:51" hidden="1" outlineLevel="1">
      <c r="B95" s="683"/>
      <c r="C95" s="682">
        <v>45809</v>
      </c>
      <c r="D95" s="170">
        <v>141497040.90000001</v>
      </c>
      <c r="E95" s="170">
        <v>88185651.480000004</v>
      </c>
      <c r="F95" s="170">
        <v>140835822.94999999</v>
      </c>
      <c r="G95" s="170">
        <v>8744623.370000001</v>
      </c>
      <c r="H95" s="170">
        <v>1250002.3199999998</v>
      </c>
      <c r="I95" s="170">
        <v>1964606.7600000002</v>
      </c>
      <c r="J95" s="170">
        <v>8871.1299999999992</v>
      </c>
      <c r="K95" s="170">
        <v>520817.72</v>
      </c>
      <c r="L95" s="170">
        <v>14493691.1</v>
      </c>
      <c r="M95" s="170">
        <v>120240494.91999999</v>
      </c>
      <c r="N95" s="170">
        <v>26023325.859999999</v>
      </c>
      <c r="O95" s="170">
        <v>26387166.550000001</v>
      </c>
      <c r="P95" s="170">
        <v>226959546.67000002</v>
      </c>
      <c r="Q95" s="170">
        <v>7445003.0549999997</v>
      </c>
      <c r="R95" s="170">
        <v>20293204.114999998</v>
      </c>
      <c r="S95" s="170">
        <v>8423892.3200000003</v>
      </c>
      <c r="T95" s="170">
        <v>6687277.9850000013</v>
      </c>
      <c r="U95" s="170">
        <v>2664959.2099999995</v>
      </c>
      <c r="V95" s="170">
        <v>216107.64499999999</v>
      </c>
      <c r="W95" s="170">
        <v>52197.684999999998</v>
      </c>
      <c r="X95" s="170">
        <v>7276440.8300000001</v>
      </c>
      <c r="Y95" s="170">
        <v>539931.54499999993</v>
      </c>
      <c r="Z95" s="170">
        <v>2495795.73</v>
      </c>
      <c r="AA95" s="170">
        <v>3367348.1749999998</v>
      </c>
      <c r="AB95" s="170">
        <v>6345349.0500000007</v>
      </c>
      <c r="AC95" s="170">
        <v>66596.285000000003</v>
      </c>
      <c r="AD95" s="170">
        <v>182733.28999999998</v>
      </c>
      <c r="AE95" s="170">
        <v>108109.07999999999</v>
      </c>
      <c r="AF95" s="170">
        <v>1625629.398459</v>
      </c>
      <c r="AG95" s="170">
        <v>237889.26500000001</v>
      </c>
      <c r="AH95" s="170">
        <v>4543062.1449999996</v>
      </c>
      <c r="AI95" s="170">
        <v>22439.57</v>
      </c>
      <c r="AJ95" s="170">
        <v>637853.9</v>
      </c>
      <c r="AK95" s="170">
        <v>42758.51</v>
      </c>
      <c r="AL95" s="170">
        <v>2953111.68</v>
      </c>
      <c r="AM95" s="170">
        <v>1294205.33</v>
      </c>
      <c r="AN95" s="170">
        <v>3286856.7549999999</v>
      </c>
      <c r="AO95" s="170">
        <v>502255.58</v>
      </c>
      <c r="AP95" s="170">
        <v>2833396.2236361243</v>
      </c>
      <c r="AQ95" s="170">
        <v>93.535057335187503</v>
      </c>
      <c r="AR95" s="170">
        <v>2292730.9933802718</v>
      </c>
      <c r="AS95" s="170">
        <v>3037225.3355919542</v>
      </c>
      <c r="AT95" s="170">
        <v>16264736.624500899</v>
      </c>
      <c r="AU95" s="170">
        <v>7567365.6961317286</v>
      </c>
      <c r="AV95" s="170">
        <v>3370694.6349999998</v>
      </c>
      <c r="AW95" s="170">
        <v>4412148.9450000003</v>
      </c>
      <c r="AY95" s="844">
        <f t="shared" si="159"/>
        <v>918201061.85175717</v>
      </c>
    </row>
    <row r="96" spans="2:51" hidden="1" outlineLevel="1">
      <c r="B96" s="683"/>
      <c r="C96" s="682">
        <v>45839</v>
      </c>
      <c r="D96" s="170">
        <v>141497040.90000001</v>
      </c>
      <c r="E96" s="170">
        <v>88185651.480000004</v>
      </c>
      <c r="F96" s="170">
        <v>140835822.94999999</v>
      </c>
      <c r="G96" s="170">
        <v>8744623.370000001</v>
      </c>
      <c r="H96" s="170">
        <v>1250002.3199999998</v>
      </c>
      <c r="I96" s="170">
        <v>1964606.7600000002</v>
      </c>
      <c r="J96" s="170">
        <v>8871.1299999999992</v>
      </c>
      <c r="K96" s="170">
        <v>520817.72</v>
      </c>
      <c r="L96" s="170">
        <v>14493691.1</v>
      </c>
      <c r="M96" s="170">
        <v>120240494.91999999</v>
      </c>
      <c r="N96" s="170">
        <v>26023325.859999999</v>
      </c>
      <c r="O96" s="170">
        <v>26387166.550000001</v>
      </c>
      <c r="P96" s="170">
        <v>226959546.67000002</v>
      </c>
      <c r="Q96" s="170">
        <v>7445003.0549999997</v>
      </c>
      <c r="R96" s="170">
        <v>20293204.114999998</v>
      </c>
      <c r="S96" s="170">
        <v>8423892.3200000003</v>
      </c>
      <c r="T96" s="170">
        <v>6687277.9850000013</v>
      </c>
      <c r="U96" s="170">
        <v>2664959.2099999995</v>
      </c>
      <c r="V96" s="170">
        <v>216107.64499999999</v>
      </c>
      <c r="W96" s="170">
        <v>52197.684999999998</v>
      </c>
      <c r="X96" s="170">
        <v>7276440.8300000001</v>
      </c>
      <c r="Y96" s="170">
        <v>539931.54499999993</v>
      </c>
      <c r="Z96" s="170">
        <v>2495795.73</v>
      </c>
      <c r="AA96" s="170">
        <v>3367348.1749999998</v>
      </c>
      <c r="AB96" s="170">
        <v>6345349.0500000007</v>
      </c>
      <c r="AC96" s="170">
        <v>66596.285000000003</v>
      </c>
      <c r="AD96" s="170">
        <v>182733.28999999998</v>
      </c>
      <c r="AE96" s="170">
        <v>108109.07999999999</v>
      </c>
      <c r="AF96" s="170">
        <v>1625629.398459</v>
      </c>
      <c r="AG96" s="170">
        <v>237889.26500000001</v>
      </c>
      <c r="AH96" s="170">
        <v>4543062.1449999996</v>
      </c>
      <c r="AI96" s="170">
        <v>22439.57</v>
      </c>
      <c r="AJ96" s="170">
        <v>637853.9</v>
      </c>
      <c r="AK96" s="170">
        <v>42758.51</v>
      </c>
      <c r="AL96" s="170">
        <v>2953111.68</v>
      </c>
      <c r="AM96" s="170">
        <v>1294205.33</v>
      </c>
      <c r="AN96" s="170">
        <v>3286856.7549999999</v>
      </c>
      <c r="AO96" s="170">
        <v>502255.58</v>
      </c>
      <c r="AP96" s="170">
        <v>2833396.2236361243</v>
      </c>
      <c r="AQ96" s="170">
        <v>93.535057335187503</v>
      </c>
      <c r="AR96" s="170">
        <v>2292730.9933802718</v>
      </c>
      <c r="AS96" s="170">
        <v>3037225.3355919542</v>
      </c>
      <c r="AT96" s="170">
        <v>16264736.624500899</v>
      </c>
      <c r="AU96" s="170">
        <v>7567365.6961317286</v>
      </c>
      <c r="AV96" s="170">
        <v>3370694.6349999998</v>
      </c>
      <c r="AW96" s="170">
        <v>4412148.9450000003</v>
      </c>
      <c r="AY96" s="844">
        <f t="shared" si="159"/>
        <v>918201061.85175717</v>
      </c>
    </row>
    <row r="97" spans="2:51" hidden="1" outlineLevel="1">
      <c r="B97" s="683"/>
      <c r="C97" s="682">
        <v>45870</v>
      </c>
      <c r="D97" s="170">
        <v>141497040.90000001</v>
      </c>
      <c r="E97" s="170">
        <v>88185651.480000004</v>
      </c>
      <c r="F97" s="170">
        <v>140835822.94999999</v>
      </c>
      <c r="G97" s="170">
        <v>8744623.370000001</v>
      </c>
      <c r="H97" s="170">
        <v>1250002.3199999998</v>
      </c>
      <c r="I97" s="170">
        <v>1964606.7600000002</v>
      </c>
      <c r="J97" s="170">
        <v>8871.1299999999992</v>
      </c>
      <c r="K97" s="170">
        <v>520817.72</v>
      </c>
      <c r="L97" s="170">
        <v>14493691.1</v>
      </c>
      <c r="M97" s="170">
        <v>120240494.91999999</v>
      </c>
      <c r="N97" s="170">
        <v>26023325.859999999</v>
      </c>
      <c r="O97" s="170">
        <v>26387166.550000001</v>
      </c>
      <c r="P97" s="170">
        <v>226959546.67000002</v>
      </c>
      <c r="Q97" s="170">
        <v>7445003.0549999997</v>
      </c>
      <c r="R97" s="170">
        <v>20293204.114999998</v>
      </c>
      <c r="S97" s="170">
        <v>8423892.3200000003</v>
      </c>
      <c r="T97" s="170">
        <v>6687277.9850000013</v>
      </c>
      <c r="U97" s="170">
        <v>2664959.2099999995</v>
      </c>
      <c r="V97" s="170">
        <v>216107.64499999999</v>
      </c>
      <c r="W97" s="170">
        <v>52197.684999999998</v>
      </c>
      <c r="X97" s="170">
        <v>7276440.8300000001</v>
      </c>
      <c r="Y97" s="170">
        <v>539931.54499999993</v>
      </c>
      <c r="Z97" s="170">
        <v>2495795.73</v>
      </c>
      <c r="AA97" s="170">
        <v>3367348.1749999998</v>
      </c>
      <c r="AB97" s="170">
        <v>6345349.0500000007</v>
      </c>
      <c r="AC97" s="170">
        <v>66596.285000000003</v>
      </c>
      <c r="AD97" s="170">
        <v>182733.28999999998</v>
      </c>
      <c r="AE97" s="170">
        <v>108109.07999999999</v>
      </c>
      <c r="AF97" s="170">
        <v>1625629.398459</v>
      </c>
      <c r="AG97" s="170">
        <v>237889.26500000001</v>
      </c>
      <c r="AH97" s="170">
        <v>4543062.1449999996</v>
      </c>
      <c r="AI97" s="170">
        <v>22439.57</v>
      </c>
      <c r="AJ97" s="170">
        <v>637853.9</v>
      </c>
      <c r="AK97" s="170">
        <v>42758.51</v>
      </c>
      <c r="AL97" s="170">
        <v>2953111.68</v>
      </c>
      <c r="AM97" s="170">
        <v>1294205.33</v>
      </c>
      <c r="AN97" s="170">
        <v>3286856.7549999999</v>
      </c>
      <c r="AO97" s="170">
        <v>502255.58</v>
      </c>
      <c r="AP97" s="170">
        <v>2833396.2236361243</v>
      </c>
      <c r="AQ97" s="170">
        <v>93.535057335187503</v>
      </c>
      <c r="AR97" s="170">
        <v>2292730.9933802718</v>
      </c>
      <c r="AS97" s="170">
        <v>3037225.3355919542</v>
      </c>
      <c r="AT97" s="170">
        <v>16264736.624500899</v>
      </c>
      <c r="AU97" s="170">
        <v>7567365.6961317286</v>
      </c>
      <c r="AV97" s="170">
        <v>3370694.6349999998</v>
      </c>
      <c r="AW97" s="170">
        <v>4412148.9450000003</v>
      </c>
      <c r="AY97" s="844">
        <f t="shared" si="159"/>
        <v>918201061.85175717</v>
      </c>
    </row>
    <row r="98" spans="2:51" hidden="1" outlineLevel="1">
      <c r="B98" s="683"/>
      <c r="C98" s="682">
        <v>45901</v>
      </c>
      <c r="D98" s="170">
        <v>141497040.90000001</v>
      </c>
      <c r="E98" s="170">
        <v>88185651.480000004</v>
      </c>
      <c r="F98" s="170">
        <v>140835822.94999999</v>
      </c>
      <c r="G98" s="170">
        <v>8744623.370000001</v>
      </c>
      <c r="H98" s="170">
        <v>1250002.3199999998</v>
      </c>
      <c r="I98" s="170">
        <v>1964606.7600000002</v>
      </c>
      <c r="J98" s="170">
        <v>8871.1299999999992</v>
      </c>
      <c r="K98" s="170">
        <v>520817.72</v>
      </c>
      <c r="L98" s="170">
        <v>14493691.1</v>
      </c>
      <c r="M98" s="170">
        <v>120240494.91999999</v>
      </c>
      <c r="N98" s="170">
        <v>26023325.859999999</v>
      </c>
      <c r="O98" s="170">
        <v>26387166.550000001</v>
      </c>
      <c r="P98" s="170">
        <v>226959546.67000002</v>
      </c>
      <c r="Q98" s="170">
        <v>7445003.0549999997</v>
      </c>
      <c r="R98" s="170">
        <v>20293204.114999998</v>
      </c>
      <c r="S98" s="170">
        <v>8423892.3200000003</v>
      </c>
      <c r="T98" s="170">
        <v>6687277.9850000013</v>
      </c>
      <c r="U98" s="170">
        <v>2664959.2099999995</v>
      </c>
      <c r="V98" s="170">
        <v>216107.64499999999</v>
      </c>
      <c r="W98" s="170">
        <v>52197.684999999998</v>
      </c>
      <c r="X98" s="170">
        <v>7276440.8300000001</v>
      </c>
      <c r="Y98" s="170">
        <v>539931.54499999993</v>
      </c>
      <c r="Z98" s="170">
        <v>2495795.73</v>
      </c>
      <c r="AA98" s="170">
        <v>3367348.1749999998</v>
      </c>
      <c r="AB98" s="170">
        <v>6345349.0500000007</v>
      </c>
      <c r="AC98" s="170">
        <v>66596.285000000003</v>
      </c>
      <c r="AD98" s="170">
        <v>182733.28999999998</v>
      </c>
      <c r="AE98" s="170">
        <v>108109.07999999999</v>
      </c>
      <c r="AF98" s="170">
        <v>1625629.398459</v>
      </c>
      <c r="AG98" s="170">
        <v>237889.26500000001</v>
      </c>
      <c r="AH98" s="170">
        <v>4543062.1449999996</v>
      </c>
      <c r="AI98" s="170">
        <v>22439.57</v>
      </c>
      <c r="AJ98" s="170">
        <v>637853.9</v>
      </c>
      <c r="AK98" s="170">
        <v>42758.51</v>
      </c>
      <c r="AL98" s="170">
        <v>2953111.68</v>
      </c>
      <c r="AM98" s="170">
        <v>1294205.33</v>
      </c>
      <c r="AN98" s="170">
        <v>3286856.7549999999</v>
      </c>
      <c r="AO98" s="170">
        <v>502255.58</v>
      </c>
      <c r="AP98" s="170">
        <v>2833396.2236361243</v>
      </c>
      <c r="AQ98" s="170">
        <v>93.535057335187503</v>
      </c>
      <c r="AR98" s="170">
        <v>2292730.9933802718</v>
      </c>
      <c r="AS98" s="170">
        <v>3037225.3355919542</v>
      </c>
      <c r="AT98" s="170">
        <v>16264736.624500899</v>
      </c>
      <c r="AU98" s="170">
        <v>7567365.6961317286</v>
      </c>
      <c r="AV98" s="170">
        <v>3370694.6349999998</v>
      </c>
      <c r="AW98" s="170">
        <v>4412148.9450000003</v>
      </c>
      <c r="AY98" s="844">
        <f t="shared" si="159"/>
        <v>918201061.85175717</v>
      </c>
    </row>
    <row r="99" spans="2:51" hidden="1" outlineLevel="1">
      <c r="B99" s="683"/>
      <c r="C99" s="682">
        <v>45931</v>
      </c>
      <c r="D99" s="170">
        <v>141497040.90000001</v>
      </c>
      <c r="E99" s="170">
        <v>88185651.480000004</v>
      </c>
      <c r="F99" s="170">
        <v>140835822.94999999</v>
      </c>
      <c r="G99" s="170">
        <v>8744623.370000001</v>
      </c>
      <c r="H99" s="170">
        <v>1250002.3199999998</v>
      </c>
      <c r="I99" s="170">
        <v>1964606.7600000002</v>
      </c>
      <c r="J99" s="170">
        <v>8871.1299999999992</v>
      </c>
      <c r="K99" s="170">
        <v>520817.72</v>
      </c>
      <c r="L99" s="170">
        <v>14493691.1</v>
      </c>
      <c r="M99" s="170">
        <v>120240494.91999999</v>
      </c>
      <c r="N99" s="170">
        <v>26023325.859999999</v>
      </c>
      <c r="O99" s="170">
        <v>26387166.550000001</v>
      </c>
      <c r="P99" s="170">
        <v>226959546.67000002</v>
      </c>
      <c r="Q99" s="170">
        <v>7445003.0549999997</v>
      </c>
      <c r="R99" s="170">
        <v>20293204.114999998</v>
      </c>
      <c r="S99" s="170">
        <v>8423892.3200000003</v>
      </c>
      <c r="T99" s="170">
        <v>6687277.9850000013</v>
      </c>
      <c r="U99" s="170">
        <v>2664959.2099999995</v>
      </c>
      <c r="V99" s="170">
        <v>216107.64499999999</v>
      </c>
      <c r="W99" s="170">
        <v>52197.684999999998</v>
      </c>
      <c r="X99" s="170">
        <v>7276440.8300000001</v>
      </c>
      <c r="Y99" s="170">
        <v>539931.54499999993</v>
      </c>
      <c r="Z99" s="170">
        <v>2495795.73</v>
      </c>
      <c r="AA99" s="170">
        <v>3367348.1749999998</v>
      </c>
      <c r="AB99" s="170">
        <v>6345349.0500000007</v>
      </c>
      <c r="AC99" s="170">
        <v>66596.285000000003</v>
      </c>
      <c r="AD99" s="170">
        <v>182733.28999999998</v>
      </c>
      <c r="AE99" s="170">
        <v>108109.07999999999</v>
      </c>
      <c r="AF99" s="170">
        <v>1625629.398459</v>
      </c>
      <c r="AG99" s="170">
        <v>237889.26500000001</v>
      </c>
      <c r="AH99" s="170">
        <v>4543062.1449999996</v>
      </c>
      <c r="AI99" s="170">
        <v>22439.57</v>
      </c>
      <c r="AJ99" s="170">
        <v>637853.9</v>
      </c>
      <c r="AK99" s="170">
        <v>42758.51</v>
      </c>
      <c r="AL99" s="170">
        <v>2953111.68</v>
      </c>
      <c r="AM99" s="170">
        <v>1294205.33</v>
      </c>
      <c r="AN99" s="170">
        <v>3286856.7549999999</v>
      </c>
      <c r="AO99" s="170">
        <v>502255.58</v>
      </c>
      <c r="AP99" s="170">
        <v>2833396.2236361243</v>
      </c>
      <c r="AQ99" s="170">
        <v>93.535057335187503</v>
      </c>
      <c r="AR99" s="170">
        <v>2292730.9933802718</v>
      </c>
      <c r="AS99" s="170">
        <v>3037225.3355919542</v>
      </c>
      <c r="AT99" s="170">
        <v>16264736.624500899</v>
      </c>
      <c r="AU99" s="170">
        <v>7567365.6961317286</v>
      </c>
      <c r="AV99" s="170">
        <v>3370694.6349999998</v>
      </c>
      <c r="AW99" s="170">
        <v>4412148.9450000003</v>
      </c>
      <c r="AY99" s="844">
        <f t="shared" si="159"/>
        <v>918201061.85175717</v>
      </c>
    </row>
    <row r="100" spans="2:51" hidden="1" outlineLevel="1">
      <c r="B100" s="683"/>
      <c r="C100" s="682">
        <v>45962</v>
      </c>
      <c r="D100" s="170">
        <v>141497040.90000001</v>
      </c>
      <c r="E100" s="170">
        <v>88185651.480000004</v>
      </c>
      <c r="F100" s="170">
        <v>140835822.94999999</v>
      </c>
      <c r="G100" s="170">
        <v>8744623.370000001</v>
      </c>
      <c r="H100" s="170">
        <v>1250002.3199999998</v>
      </c>
      <c r="I100" s="170">
        <v>1964606.7600000002</v>
      </c>
      <c r="J100" s="170">
        <v>8871.1299999999992</v>
      </c>
      <c r="K100" s="170">
        <v>520817.72</v>
      </c>
      <c r="L100" s="170">
        <v>14493691.1</v>
      </c>
      <c r="M100" s="170">
        <v>120240494.91999999</v>
      </c>
      <c r="N100" s="170">
        <v>26023325.859999999</v>
      </c>
      <c r="O100" s="170">
        <v>26387166.550000001</v>
      </c>
      <c r="P100" s="170">
        <v>226959546.67000002</v>
      </c>
      <c r="Q100" s="170">
        <v>7445003.0549999997</v>
      </c>
      <c r="R100" s="170">
        <v>20293204.114999998</v>
      </c>
      <c r="S100" s="170">
        <v>8423892.3200000003</v>
      </c>
      <c r="T100" s="170">
        <v>6687277.9850000013</v>
      </c>
      <c r="U100" s="170">
        <v>2664959.2099999995</v>
      </c>
      <c r="V100" s="170">
        <v>216107.64499999999</v>
      </c>
      <c r="W100" s="170">
        <v>52197.684999999998</v>
      </c>
      <c r="X100" s="170">
        <v>7276440.8300000001</v>
      </c>
      <c r="Y100" s="170">
        <v>539931.54499999993</v>
      </c>
      <c r="Z100" s="170">
        <v>2495795.73</v>
      </c>
      <c r="AA100" s="170">
        <v>3367348.1749999998</v>
      </c>
      <c r="AB100" s="170">
        <v>6345349.0500000007</v>
      </c>
      <c r="AC100" s="170">
        <v>66596.285000000003</v>
      </c>
      <c r="AD100" s="170">
        <v>182733.28999999998</v>
      </c>
      <c r="AE100" s="170">
        <v>108109.07999999999</v>
      </c>
      <c r="AF100" s="170">
        <v>1625629.398459</v>
      </c>
      <c r="AG100" s="170">
        <v>237889.26500000001</v>
      </c>
      <c r="AH100" s="170">
        <v>4543062.1449999996</v>
      </c>
      <c r="AI100" s="170">
        <v>22439.57</v>
      </c>
      <c r="AJ100" s="170">
        <v>637853.9</v>
      </c>
      <c r="AK100" s="170">
        <v>42758.51</v>
      </c>
      <c r="AL100" s="170">
        <v>2953111.68</v>
      </c>
      <c r="AM100" s="170">
        <v>1294205.33</v>
      </c>
      <c r="AN100" s="170">
        <v>3286856.7549999999</v>
      </c>
      <c r="AO100" s="170">
        <v>502255.58</v>
      </c>
      <c r="AP100" s="170">
        <v>2833396.2236361243</v>
      </c>
      <c r="AQ100" s="170">
        <v>93.535057335187503</v>
      </c>
      <c r="AR100" s="170">
        <v>2292730.9933802718</v>
      </c>
      <c r="AS100" s="170">
        <v>3037225.3355919542</v>
      </c>
      <c r="AT100" s="170">
        <v>16264736.624500899</v>
      </c>
      <c r="AU100" s="170">
        <v>7567365.6961317286</v>
      </c>
      <c r="AV100" s="170">
        <v>3370694.6349999998</v>
      </c>
      <c r="AW100" s="170">
        <v>4412148.9450000003</v>
      </c>
      <c r="AY100" s="844">
        <f t="shared" si="159"/>
        <v>918201061.85175717</v>
      </c>
    </row>
    <row r="101" spans="2:51" hidden="1" outlineLevel="1">
      <c r="B101" s="683"/>
      <c r="C101" s="681">
        <v>45992</v>
      </c>
      <c r="D101" s="208">
        <v>141497040.90000001</v>
      </c>
      <c r="E101" s="208">
        <v>88185651.480000004</v>
      </c>
      <c r="F101" s="208">
        <v>140835822.94999999</v>
      </c>
      <c r="G101" s="208">
        <v>8744623.370000001</v>
      </c>
      <c r="H101" s="208">
        <v>1250002.3199999998</v>
      </c>
      <c r="I101" s="208">
        <v>1964606.7600000002</v>
      </c>
      <c r="J101" s="208">
        <v>8871.1299999999992</v>
      </c>
      <c r="K101" s="208">
        <v>520817.72</v>
      </c>
      <c r="L101" s="208">
        <v>14493691.1</v>
      </c>
      <c r="M101" s="208">
        <v>120240494.91999999</v>
      </c>
      <c r="N101" s="208">
        <v>26023325.859999999</v>
      </c>
      <c r="O101" s="208">
        <v>26387166.550000001</v>
      </c>
      <c r="P101" s="208">
        <v>226959546.67000002</v>
      </c>
      <c r="Q101" s="208">
        <v>7445003.0549999997</v>
      </c>
      <c r="R101" s="208">
        <v>20293204.114999998</v>
      </c>
      <c r="S101" s="208">
        <v>8423892.3200000003</v>
      </c>
      <c r="T101" s="208">
        <v>6687277.9850000013</v>
      </c>
      <c r="U101" s="208">
        <v>2664959.2099999995</v>
      </c>
      <c r="V101" s="208">
        <v>216107.64499999999</v>
      </c>
      <c r="W101" s="208">
        <v>52197.684999999998</v>
      </c>
      <c r="X101" s="208">
        <v>7276440.8300000001</v>
      </c>
      <c r="Y101" s="208">
        <v>539931.54499999993</v>
      </c>
      <c r="Z101" s="208">
        <v>2495795.73</v>
      </c>
      <c r="AA101" s="208">
        <v>3367348.1749999998</v>
      </c>
      <c r="AB101" s="208">
        <v>6345349.0500000007</v>
      </c>
      <c r="AC101" s="208">
        <v>66596.285000000003</v>
      </c>
      <c r="AD101" s="208">
        <v>182733.28999999998</v>
      </c>
      <c r="AE101" s="208">
        <v>108109.07999999999</v>
      </c>
      <c r="AF101" s="208">
        <v>1625629.398459</v>
      </c>
      <c r="AG101" s="208">
        <v>237889.26500000001</v>
      </c>
      <c r="AH101" s="208">
        <v>4543062.1449999996</v>
      </c>
      <c r="AI101" s="208">
        <v>22439.57</v>
      </c>
      <c r="AJ101" s="208">
        <v>637853.9</v>
      </c>
      <c r="AK101" s="208">
        <v>42758.51</v>
      </c>
      <c r="AL101" s="208">
        <v>2953111.68</v>
      </c>
      <c r="AM101" s="208">
        <v>1294205.33</v>
      </c>
      <c r="AN101" s="208">
        <v>3286856.7549999999</v>
      </c>
      <c r="AO101" s="208">
        <v>502255.58</v>
      </c>
      <c r="AP101" s="208">
        <v>2833396.2236361243</v>
      </c>
      <c r="AQ101" s="208">
        <v>93.535057335187503</v>
      </c>
      <c r="AR101" s="208">
        <v>2292730.9933802718</v>
      </c>
      <c r="AS101" s="208">
        <v>3037225.3355919542</v>
      </c>
      <c r="AT101" s="208">
        <v>16264736.624500899</v>
      </c>
      <c r="AU101" s="208">
        <v>7567365.6961317286</v>
      </c>
      <c r="AV101" s="208">
        <v>3370694.6349999998</v>
      </c>
      <c r="AW101" s="208">
        <v>4412148.9450000003</v>
      </c>
      <c r="AY101" s="845">
        <f t="shared" si="159"/>
        <v>918201061.85175717</v>
      </c>
    </row>
    <row r="102" spans="2:51" hidden="1" outlineLevel="1">
      <c r="B102" s="684"/>
      <c r="C102" s="197" t="s">
        <v>991</v>
      </c>
      <c r="D102" s="166">
        <f>AVERAGE(D89:D101)</f>
        <v>141497040.90000004</v>
      </c>
      <c r="E102" s="166">
        <f t="shared" ref="E102:AC102" si="160">AVERAGE(E89:E101)</f>
        <v>88185651.480000004</v>
      </c>
      <c r="F102" s="166">
        <f t="shared" si="160"/>
        <v>140835822.95000002</v>
      </c>
      <c r="G102" s="166">
        <f t="shared" si="160"/>
        <v>8744623.3700000029</v>
      </c>
      <c r="H102" s="166">
        <f t="shared" si="160"/>
        <v>1250002.32</v>
      </c>
      <c r="I102" s="166">
        <f t="shared" si="160"/>
        <v>1964606.7600000005</v>
      </c>
      <c r="J102" s="166">
        <f t="shared" si="160"/>
        <v>8871.130000000001</v>
      </c>
      <c r="K102" s="166">
        <f t="shared" si="160"/>
        <v>520817.7199999998</v>
      </c>
      <c r="L102" s="166">
        <f t="shared" si="160"/>
        <v>14493691.099999996</v>
      </c>
      <c r="M102" s="166">
        <f t="shared" si="160"/>
        <v>120240494.92</v>
      </c>
      <c r="N102" s="166">
        <f t="shared" si="160"/>
        <v>26023325.860000007</v>
      </c>
      <c r="O102" s="166">
        <f t="shared" si="160"/>
        <v>26387166.550000008</v>
      </c>
      <c r="P102" s="166">
        <f t="shared" si="160"/>
        <v>226959546.67000005</v>
      </c>
      <c r="Q102" s="166">
        <f t="shared" si="160"/>
        <v>7445003.0550000006</v>
      </c>
      <c r="R102" s="166">
        <f>AVERAGE(R89:R101)</f>
        <v>20293204.115000002</v>
      </c>
      <c r="S102" s="166">
        <f t="shared" si="160"/>
        <v>8423892.3199999966</v>
      </c>
      <c r="T102" s="166">
        <f t="shared" si="160"/>
        <v>6687277.9850000003</v>
      </c>
      <c r="U102" s="166">
        <f t="shared" si="160"/>
        <v>2664959.21</v>
      </c>
      <c r="V102" s="166">
        <f t="shared" si="160"/>
        <v>216107.64499999999</v>
      </c>
      <c r="W102" s="166">
        <f t="shared" si="160"/>
        <v>52197.685000000005</v>
      </c>
      <c r="X102" s="166">
        <f t="shared" si="160"/>
        <v>7276440.8299999991</v>
      </c>
      <c r="Y102" s="166">
        <f t="shared" si="160"/>
        <v>539931.54499999993</v>
      </c>
      <c r="Z102" s="166">
        <f t="shared" si="160"/>
        <v>2495795.73</v>
      </c>
      <c r="AA102" s="166">
        <f>AVERAGE(AA89:AA101)</f>
        <v>3367348.1749999993</v>
      </c>
      <c r="AB102" s="166">
        <f>AVERAGE(AB89:AB101)</f>
        <v>6345349.0499999989</v>
      </c>
      <c r="AC102" s="166">
        <f t="shared" si="160"/>
        <v>66596.285000000018</v>
      </c>
      <c r="AD102" s="166">
        <f t="shared" ref="AD102:AU102" si="161">AVERAGE(AD89:AD101)</f>
        <v>182733.29</v>
      </c>
      <c r="AE102" s="166">
        <f t="shared" si="161"/>
        <v>108109.08</v>
      </c>
      <c r="AF102" s="166">
        <f t="shared" si="161"/>
        <v>1375532.5679268464</v>
      </c>
      <c r="AG102" s="166">
        <f>AVERAGE(AG89:AG101)</f>
        <v>237889.2650000001</v>
      </c>
      <c r="AH102" s="166">
        <f>AVERAGE(AH89:AH101)</f>
        <v>4543062.1449999977</v>
      </c>
      <c r="AI102" s="166">
        <f>AVERAGE(AI89:AI101)</f>
        <v>22439.570000000003</v>
      </c>
      <c r="AJ102" s="166">
        <f t="shared" si="161"/>
        <v>637853.90000000014</v>
      </c>
      <c r="AK102" s="166">
        <f t="shared" si="161"/>
        <v>42758.51</v>
      </c>
      <c r="AL102" s="166">
        <f t="shared" ref="AL102:AP102" si="162">AVERAGE(AL89:AL101)</f>
        <v>2953111.68</v>
      </c>
      <c r="AM102" s="166">
        <f t="shared" si="162"/>
        <v>1294205.3299999998</v>
      </c>
      <c r="AN102" s="166">
        <f t="shared" si="162"/>
        <v>3286856.7549999999</v>
      </c>
      <c r="AO102" s="166">
        <f t="shared" si="162"/>
        <v>502255.58</v>
      </c>
      <c r="AP102" s="166">
        <f t="shared" si="162"/>
        <v>2833396.2236361238</v>
      </c>
      <c r="AQ102" s="166">
        <f t="shared" si="161"/>
        <v>93.535057335187503</v>
      </c>
      <c r="AR102" s="166">
        <f t="shared" si="161"/>
        <v>2292730.9933802714</v>
      </c>
      <c r="AS102" s="166">
        <f t="shared" si="161"/>
        <v>1635429.0268572059</v>
      </c>
      <c r="AT102" s="166">
        <f t="shared" si="161"/>
        <v>13762469.45150076</v>
      </c>
      <c r="AU102" s="166">
        <f t="shared" si="161"/>
        <v>6403155.5890345415</v>
      </c>
      <c r="AV102" s="166">
        <f t="shared" ref="AV102:AW102" si="163">AVERAGE(AV89:AV101)</f>
        <v>3370694.6349999984</v>
      </c>
      <c r="AW102" s="166">
        <f t="shared" si="163"/>
        <v>4412148.9450000003</v>
      </c>
      <c r="AY102" s="166">
        <f>AVERAGE(AY89:AY101)</f>
        <v>912882691.43239284</v>
      </c>
    </row>
    <row r="103" spans="2:51" hidden="1" outlineLevel="1">
      <c r="C103" s="680"/>
      <c r="D103" s="677"/>
      <c r="E103" s="677"/>
      <c r="F103" s="677"/>
      <c r="G103" s="677"/>
      <c r="H103" s="677"/>
      <c r="I103" s="677"/>
      <c r="J103" s="677"/>
      <c r="K103" s="677"/>
      <c r="L103" s="661"/>
      <c r="M103" s="677"/>
      <c r="N103" s="677"/>
      <c r="O103" s="677"/>
      <c r="P103" s="677"/>
      <c r="Q103" s="661"/>
      <c r="R103" s="677"/>
      <c r="S103" s="661"/>
      <c r="T103" s="677"/>
      <c r="U103" s="661"/>
      <c r="V103" s="677"/>
      <c r="W103" s="661"/>
      <c r="X103" s="677"/>
      <c r="Y103" s="661"/>
      <c r="Z103" s="677"/>
      <c r="AA103" s="661"/>
      <c r="AB103" s="677"/>
      <c r="AC103" s="661"/>
      <c r="AD103" s="677"/>
      <c r="AE103" s="677"/>
      <c r="AF103" s="677"/>
      <c r="AG103" s="677"/>
      <c r="AH103" s="677"/>
      <c r="AI103" s="677"/>
      <c r="AJ103" s="677"/>
      <c r="AK103" s="677"/>
      <c r="AL103" s="677"/>
      <c r="AM103" s="677"/>
      <c r="AN103" s="677"/>
      <c r="AO103" s="677"/>
      <c r="AP103" s="677"/>
      <c r="AQ103" s="677"/>
      <c r="AR103" s="677"/>
      <c r="AS103" s="677"/>
      <c r="AT103" s="677"/>
      <c r="AU103" s="677"/>
      <c r="AV103" s="677"/>
      <c r="AW103" s="677"/>
    </row>
    <row r="104" spans="2:51" hidden="1" outlineLevel="1">
      <c r="B104" s="685" t="s">
        <v>574</v>
      </c>
      <c r="C104" s="686">
        <v>45627</v>
      </c>
      <c r="D104" s="176">
        <v>91133307.081470013</v>
      </c>
      <c r="E104" s="176">
        <v>53715703.945469253</v>
      </c>
      <c r="F104" s="176">
        <v>101930322.61640246</v>
      </c>
      <c r="G104" s="176">
        <v>4648277.978798002</v>
      </c>
      <c r="H104" s="176">
        <v>1071976.3249559999</v>
      </c>
      <c r="I104" s="176">
        <v>1733601.1277260003</v>
      </c>
      <c r="J104" s="176">
        <v>187596.49935450009</v>
      </c>
      <c r="K104" s="176">
        <v>466130.171034</v>
      </c>
      <c r="L104" s="176">
        <v>9572381.0154900029</v>
      </c>
      <c r="M104" s="176">
        <v>77941139.485677987</v>
      </c>
      <c r="N104" s="176">
        <v>21406158.901234001</v>
      </c>
      <c r="O104" s="176">
        <v>19509125.336662501</v>
      </c>
      <c r="P104" s="176">
        <v>186791366.78182304</v>
      </c>
      <c r="Q104" s="176">
        <v>6793835.5526282489</v>
      </c>
      <c r="R104" s="176">
        <v>19029567.953799248</v>
      </c>
      <c r="S104" s="176">
        <v>7685811.0680919997</v>
      </c>
      <c r="T104" s="176">
        <v>6134800.6479115011</v>
      </c>
      <c r="U104" s="176">
        <v>2523786.1557969996</v>
      </c>
      <c r="V104" s="176">
        <v>204699.80076874999</v>
      </c>
      <c r="W104" s="176">
        <v>49464.037618749993</v>
      </c>
      <c r="X104" s="176">
        <v>7015863.7517969999</v>
      </c>
      <c r="Y104" s="176">
        <v>478337.59412124997</v>
      </c>
      <c r="Z104" s="176">
        <v>2423491.9205720001</v>
      </c>
      <c r="AA104" s="176">
        <v>3265583.4995462499</v>
      </c>
      <c r="AB104" s="176">
        <v>6255004.4508943334</v>
      </c>
      <c r="AC104" s="176">
        <v>65107.091330696574</v>
      </c>
      <c r="AD104" s="176">
        <v>177347.73233399997</v>
      </c>
      <c r="AE104" s="176">
        <v>106419.66628799999</v>
      </c>
      <c r="AF104" s="176">
        <v>0</v>
      </c>
      <c r="AG104" s="176">
        <v>228126.12803175001</v>
      </c>
      <c r="AH104" s="176">
        <v>4397636.8845569994</v>
      </c>
      <c r="AI104" s="176">
        <v>21954.097476999999</v>
      </c>
      <c r="AJ104" s="176">
        <v>624644.03327500005</v>
      </c>
      <c r="AK104" s="176">
        <v>42026.889211000002</v>
      </c>
      <c r="AL104" s="176">
        <v>2901493.4572807504</v>
      </c>
      <c r="AM104" s="176">
        <v>1263443.1761277502</v>
      </c>
      <c r="AN104" s="176">
        <v>3229159.4911717498</v>
      </c>
      <c r="AO104" s="176">
        <v>493141.16173393111</v>
      </c>
      <c r="AP104" s="176">
        <v>2808556.7834089142</v>
      </c>
      <c r="AQ104" s="176">
        <v>92.305071331229783</v>
      </c>
      <c r="AR104" s="176">
        <v>2287706.0912864469</v>
      </c>
      <c r="AS104" s="176">
        <v>0</v>
      </c>
      <c r="AT104" s="176">
        <v>0</v>
      </c>
      <c r="AU104" s="176">
        <v>0</v>
      </c>
      <c r="AV104" s="176">
        <v>3310071.3374274997</v>
      </c>
      <c r="AW104" s="176">
        <v>4332486.4017952504</v>
      </c>
      <c r="AY104" s="843">
        <f t="shared" ref="AY104:AY116" si="164">SUM(D104:AX104)</f>
        <v>658256746.42745233</v>
      </c>
    </row>
    <row r="105" spans="2:51" hidden="1" outlineLevel="1">
      <c r="B105" s="683"/>
      <c r="C105" s="681">
        <v>45658</v>
      </c>
      <c r="D105" s="170">
        <v>90857387.851715013</v>
      </c>
      <c r="E105" s="170">
        <v>53543616.664714128</v>
      </c>
      <c r="F105" s="170">
        <v>101670949.97580287</v>
      </c>
      <c r="G105" s="170">
        <v>4626999.395264335</v>
      </c>
      <c r="H105" s="170">
        <v>1069278.4032819998</v>
      </c>
      <c r="I105" s="170">
        <v>1729131.6473470002</v>
      </c>
      <c r="J105" s="170">
        <v>187559.0188302501</v>
      </c>
      <c r="K105" s="170">
        <v>464910.58953966666</v>
      </c>
      <c r="L105" s="170">
        <v>9538320.8414050024</v>
      </c>
      <c r="M105" s="170">
        <v>77583424.013290972</v>
      </c>
      <c r="N105" s="170">
        <v>21349341.306439668</v>
      </c>
      <c r="O105" s="170">
        <v>19446455.816106252</v>
      </c>
      <c r="P105" s="170">
        <v>186331482.21379355</v>
      </c>
      <c r="Q105" s="170">
        <v>6777742.5913996249</v>
      </c>
      <c r="R105" s="170">
        <v>18985430.234849125</v>
      </c>
      <c r="S105" s="170">
        <v>7665593.7265240001</v>
      </c>
      <c r="T105" s="170">
        <v>6119085.5446467511</v>
      </c>
      <c r="U105" s="170">
        <v>2517434.6696798326</v>
      </c>
      <c r="V105" s="170">
        <v>204114.50923020832</v>
      </c>
      <c r="W105" s="170">
        <v>49322.668888541666</v>
      </c>
      <c r="X105" s="170">
        <v>6998764.1158464998</v>
      </c>
      <c r="Y105" s="170">
        <v>476830.28522479162</v>
      </c>
      <c r="Z105" s="170">
        <v>2417834.7835840001</v>
      </c>
      <c r="AA105" s="170">
        <v>3258035.0273872917</v>
      </c>
      <c r="AB105" s="170">
        <v>6241097.5608930839</v>
      </c>
      <c r="AC105" s="170">
        <v>64936.320719146002</v>
      </c>
      <c r="AD105" s="170">
        <v>176878.71688966666</v>
      </c>
      <c r="AE105" s="170">
        <v>106169.21358599998</v>
      </c>
      <c r="AF105" s="170">
        <v>0</v>
      </c>
      <c r="AG105" s="170">
        <v>227450.12603704169</v>
      </c>
      <c r="AH105" s="170">
        <v>4386683.2223998327</v>
      </c>
      <c r="AI105" s="170">
        <v>21902.112473166668</v>
      </c>
      <c r="AJ105" s="170">
        <v>622757.04882083333</v>
      </c>
      <c r="AK105" s="170">
        <v>41927.831996166671</v>
      </c>
      <c r="AL105" s="170">
        <v>2894120.5001608753</v>
      </c>
      <c r="AM105" s="170">
        <v>1259340.3821490416</v>
      </c>
      <c r="AN105" s="170">
        <v>3221955.796783708</v>
      </c>
      <c r="AO105" s="170">
        <v>492053.65660625295</v>
      </c>
      <c r="AP105" s="170">
        <v>2802346.9233521116</v>
      </c>
      <c r="AQ105" s="170">
        <v>92.100073663903501</v>
      </c>
      <c r="AR105" s="170">
        <v>2282681.1891926215</v>
      </c>
      <c r="AS105" s="170">
        <v>0</v>
      </c>
      <c r="AT105" s="170">
        <v>0</v>
      </c>
      <c r="AU105" s="170">
        <v>0</v>
      </c>
      <c r="AV105" s="170">
        <v>3302487.27449875</v>
      </c>
      <c r="AW105" s="170">
        <v>4322522.2987611257</v>
      </c>
      <c r="AY105" s="844">
        <f t="shared" si="164"/>
        <v>656336448.17018449</v>
      </c>
    </row>
    <row r="106" spans="2:51" hidden="1" outlineLevel="1">
      <c r="B106" s="683"/>
      <c r="C106" s="682">
        <v>45689</v>
      </c>
      <c r="D106" s="170">
        <v>90581468.621960014</v>
      </c>
      <c r="E106" s="170">
        <v>53371529.383959003</v>
      </c>
      <c r="F106" s="170">
        <v>101411577.33520329</v>
      </c>
      <c r="G106" s="170">
        <v>4605720.8117306689</v>
      </c>
      <c r="H106" s="170">
        <v>1066580.4816079997</v>
      </c>
      <c r="I106" s="170">
        <v>1724662.1669680001</v>
      </c>
      <c r="J106" s="170">
        <v>187521.53830600012</v>
      </c>
      <c r="K106" s="170">
        <v>463691.00804533332</v>
      </c>
      <c r="L106" s="170">
        <v>9504260.6673200019</v>
      </c>
      <c r="M106" s="170">
        <v>77225708.540903986</v>
      </c>
      <c r="N106" s="170">
        <v>21292523.711645335</v>
      </c>
      <c r="O106" s="170">
        <v>19383786.295550004</v>
      </c>
      <c r="P106" s="170">
        <v>185871597.64576405</v>
      </c>
      <c r="Q106" s="170">
        <v>6761649.630171</v>
      </c>
      <c r="R106" s="170">
        <v>18941292.515898999</v>
      </c>
      <c r="S106" s="170">
        <v>7645376.3849560004</v>
      </c>
      <c r="T106" s="170">
        <v>6103370.4413820012</v>
      </c>
      <c r="U106" s="170">
        <v>2511083.1835626662</v>
      </c>
      <c r="V106" s="170">
        <v>203529.21769166665</v>
      </c>
      <c r="W106" s="170">
        <v>49181.300158333332</v>
      </c>
      <c r="X106" s="170">
        <v>6981664.4798959997</v>
      </c>
      <c r="Y106" s="170">
        <v>475322.97632833326</v>
      </c>
      <c r="Z106" s="170">
        <v>2412177.6465960001</v>
      </c>
      <c r="AA106" s="170">
        <v>3250486.555228333</v>
      </c>
      <c r="AB106" s="170">
        <v>6227190.6708918335</v>
      </c>
      <c r="AC106" s="170">
        <v>64765.550107595431</v>
      </c>
      <c r="AD106" s="170">
        <v>176409.70144533331</v>
      </c>
      <c r="AE106" s="170">
        <v>105918.76088399999</v>
      </c>
      <c r="AF106" s="170">
        <v>1622066.560694044</v>
      </c>
      <c r="AG106" s="170">
        <v>226774.12404233334</v>
      </c>
      <c r="AH106" s="170">
        <v>4375729.5602426659</v>
      </c>
      <c r="AI106" s="170">
        <v>21850.127469333333</v>
      </c>
      <c r="AJ106" s="170">
        <v>620870.06436666672</v>
      </c>
      <c r="AK106" s="170">
        <v>41828.774781333334</v>
      </c>
      <c r="AL106" s="170">
        <v>2886747.5430410001</v>
      </c>
      <c r="AM106" s="170">
        <v>1255237.5881703333</v>
      </c>
      <c r="AN106" s="170">
        <v>3214752.1023956668</v>
      </c>
      <c r="AO106" s="170">
        <v>490966.15147857479</v>
      </c>
      <c r="AP106" s="170">
        <v>2796137.0632953094</v>
      </c>
      <c r="AQ106" s="170">
        <v>91.895075996577219</v>
      </c>
      <c r="AR106" s="170">
        <v>2277656.2870987966</v>
      </c>
      <c r="AS106" s="170">
        <v>0</v>
      </c>
      <c r="AT106" s="170">
        <v>16229089.743398868</v>
      </c>
      <c r="AU106" s="170">
        <v>7550780.5529810395</v>
      </c>
      <c r="AV106" s="170">
        <v>3294903.2115699998</v>
      </c>
      <c r="AW106" s="170">
        <v>4312558.195727</v>
      </c>
      <c r="AY106" s="844">
        <f t="shared" si="164"/>
        <v>679818086.7699908</v>
      </c>
    </row>
    <row r="107" spans="2:51" hidden="1" outlineLevel="1">
      <c r="B107" s="683"/>
      <c r="C107" s="682">
        <v>45717</v>
      </c>
      <c r="D107" s="170">
        <v>90305549.392205015</v>
      </c>
      <c r="E107" s="170">
        <v>53199442.103203878</v>
      </c>
      <c r="F107" s="170">
        <v>101152204.69460371</v>
      </c>
      <c r="G107" s="170">
        <v>4584442.2281970028</v>
      </c>
      <c r="H107" s="170">
        <v>1063882.5599339998</v>
      </c>
      <c r="I107" s="170">
        <v>1720192.686589</v>
      </c>
      <c r="J107" s="170">
        <v>187484.05778175013</v>
      </c>
      <c r="K107" s="170">
        <v>462471.42655099998</v>
      </c>
      <c r="L107" s="170">
        <v>9470200.4932350032</v>
      </c>
      <c r="M107" s="170">
        <v>76867993.06851697</v>
      </c>
      <c r="N107" s="170">
        <v>21235706.116851002</v>
      </c>
      <c r="O107" s="170">
        <v>19321116.774993755</v>
      </c>
      <c r="P107" s="170">
        <v>185411713.07773453</v>
      </c>
      <c r="Q107" s="170">
        <v>6745556.6689423751</v>
      </c>
      <c r="R107" s="170">
        <v>18897154.796948873</v>
      </c>
      <c r="S107" s="170">
        <v>7625159.0433879998</v>
      </c>
      <c r="T107" s="170">
        <v>6087655.3381172512</v>
      </c>
      <c r="U107" s="170">
        <v>2504731.6974454997</v>
      </c>
      <c r="V107" s="170">
        <v>202943.92615312498</v>
      </c>
      <c r="W107" s="170">
        <v>49039.931428124997</v>
      </c>
      <c r="X107" s="170">
        <v>6964564.8439454995</v>
      </c>
      <c r="Y107" s="170">
        <v>473815.66743187496</v>
      </c>
      <c r="Z107" s="170">
        <v>2406520.5096080001</v>
      </c>
      <c r="AA107" s="170">
        <v>3242938.0830693748</v>
      </c>
      <c r="AB107" s="170">
        <v>6213283.780890584</v>
      </c>
      <c r="AC107" s="170">
        <v>64594.779496044859</v>
      </c>
      <c r="AD107" s="170">
        <v>175940.68600099999</v>
      </c>
      <c r="AE107" s="170">
        <v>105668.30818199999</v>
      </c>
      <c r="AF107" s="170">
        <v>1618503.7229290882</v>
      </c>
      <c r="AG107" s="170">
        <v>226098.12204762502</v>
      </c>
      <c r="AH107" s="170">
        <v>4364775.8980854992</v>
      </c>
      <c r="AI107" s="170">
        <v>21798.142465500001</v>
      </c>
      <c r="AJ107" s="170">
        <v>618983.07991249999</v>
      </c>
      <c r="AK107" s="170">
        <v>41729.717566500003</v>
      </c>
      <c r="AL107" s="170">
        <v>2879374.585921125</v>
      </c>
      <c r="AM107" s="170">
        <v>1251134.794191625</v>
      </c>
      <c r="AN107" s="170">
        <v>3207548.408007625</v>
      </c>
      <c r="AO107" s="170">
        <v>489878.64635089668</v>
      </c>
      <c r="AP107" s="170">
        <v>2789927.2032385068</v>
      </c>
      <c r="AQ107" s="170">
        <v>91.690078329250923</v>
      </c>
      <c r="AR107" s="170">
        <v>2272631.3850049716</v>
      </c>
      <c r="AS107" s="170">
        <v>0</v>
      </c>
      <c r="AT107" s="170">
        <v>16193442.862296836</v>
      </c>
      <c r="AU107" s="170">
        <v>7534195.4098303504</v>
      </c>
      <c r="AV107" s="170">
        <v>3287319.1486412496</v>
      </c>
      <c r="AW107" s="170">
        <v>4302594.0926928753</v>
      </c>
      <c r="AY107" s="844">
        <f t="shared" si="164"/>
        <v>677841993.65070522</v>
      </c>
    </row>
    <row r="108" spans="2:51" hidden="1" outlineLevel="1">
      <c r="B108" s="683"/>
      <c r="C108" s="682">
        <v>45748</v>
      </c>
      <c r="D108" s="170">
        <v>90029630.162450016</v>
      </c>
      <c r="E108" s="170">
        <v>53027354.822448753</v>
      </c>
      <c r="F108" s="170">
        <v>100892832.05400412</v>
      </c>
      <c r="G108" s="170">
        <v>4563163.6446633358</v>
      </c>
      <c r="H108" s="170">
        <v>1061184.6382599997</v>
      </c>
      <c r="I108" s="170">
        <v>1715723.20621</v>
      </c>
      <c r="J108" s="170">
        <v>187446.57725750015</v>
      </c>
      <c r="K108" s="170">
        <v>461251.84505666664</v>
      </c>
      <c r="L108" s="170">
        <v>9436140.3191500045</v>
      </c>
      <c r="M108" s="170">
        <v>76510277.596129984</v>
      </c>
      <c r="N108" s="170">
        <v>21178888.522056669</v>
      </c>
      <c r="O108" s="170">
        <v>19258447.254437506</v>
      </c>
      <c r="P108" s="170">
        <v>184951828.50970504</v>
      </c>
      <c r="Q108" s="170">
        <v>6729463.7077137493</v>
      </c>
      <c r="R108" s="170">
        <v>18853017.07799875</v>
      </c>
      <c r="S108" s="170">
        <v>7604941.7018200001</v>
      </c>
      <c r="T108" s="170">
        <v>6071940.2348525012</v>
      </c>
      <c r="U108" s="170">
        <v>2498380.2113283328</v>
      </c>
      <c r="V108" s="170">
        <v>202358.63461458331</v>
      </c>
      <c r="W108" s="170">
        <v>48898.562697916663</v>
      </c>
      <c r="X108" s="170">
        <v>6947465.2079950003</v>
      </c>
      <c r="Y108" s="170">
        <v>472308.35853541666</v>
      </c>
      <c r="Z108" s="170">
        <v>2400863.37262</v>
      </c>
      <c r="AA108" s="170">
        <v>3235389.6109104166</v>
      </c>
      <c r="AB108" s="170">
        <v>6199376.8908893336</v>
      </c>
      <c r="AC108" s="170">
        <v>64424.008884494287</v>
      </c>
      <c r="AD108" s="170">
        <v>175471.67055666665</v>
      </c>
      <c r="AE108" s="170">
        <v>105417.85547999998</v>
      </c>
      <c r="AF108" s="170">
        <v>1614940.8851641321</v>
      </c>
      <c r="AG108" s="170">
        <v>225422.1200529167</v>
      </c>
      <c r="AH108" s="170">
        <v>4353822.2359283324</v>
      </c>
      <c r="AI108" s="170">
        <v>21746.157461666666</v>
      </c>
      <c r="AJ108" s="170">
        <v>617096.09545833338</v>
      </c>
      <c r="AK108" s="170">
        <v>41630.660351666666</v>
      </c>
      <c r="AL108" s="170">
        <v>2872001.6288012499</v>
      </c>
      <c r="AM108" s="170">
        <v>1247032.0002129166</v>
      </c>
      <c r="AN108" s="170">
        <v>3200344.7136195833</v>
      </c>
      <c r="AO108" s="170">
        <v>488791.14122321852</v>
      </c>
      <c r="AP108" s="170">
        <v>2783717.3431817042</v>
      </c>
      <c r="AQ108" s="170">
        <v>91.485080661924641</v>
      </c>
      <c r="AR108" s="170">
        <v>2267606.4829111462</v>
      </c>
      <c r="AS108" s="170">
        <v>0</v>
      </c>
      <c r="AT108" s="170">
        <v>16157795.981194805</v>
      </c>
      <c r="AU108" s="170">
        <v>7517610.2666796623</v>
      </c>
      <c r="AV108" s="170">
        <v>3279735.0857124999</v>
      </c>
      <c r="AW108" s="170">
        <v>4292629.9896587506</v>
      </c>
      <c r="AY108" s="844">
        <f t="shared" si="164"/>
        <v>675865900.53142011</v>
      </c>
    </row>
    <row r="109" spans="2:51" hidden="1" outlineLevel="1">
      <c r="B109" s="683"/>
      <c r="C109" s="682">
        <v>45778</v>
      </c>
      <c r="D109" s="170">
        <v>89753710.932695016</v>
      </c>
      <c r="E109" s="170">
        <v>52855267.541693628</v>
      </c>
      <c r="F109" s="170">
        <v>100633459.41340452</v>
      </c>
      <c r="G109" s="170">
        <v>4541885.0611296687</v>
      </c>
      <c r="H109" s="170">
        <v>1058486.7165859996</v>
      </c>
      <c r="I109" s="170">
        <v>1711253.7258310001</v>
      </c>
      <c r="J109" s="170">
        <v>187409.09673325016</v>
      </c>
      <c r="K109" s="170">
        <v>460032.2635623333</v>
      </c>
      <c r="L109" s="170">
        <v>9402080.145065004</v>
      </c>
      <c r="M109" s="170">
        <v>76152562.123742968</v>
      </c>
      <c r="N109" s="170">
        <v>21122070.927262336</v>
      </c>
      <c r="O109" s="170">
        <v>19195777.733881254</v>
      </c>
      <c r="P109" s="170">
        <v>184491943.94167554</v>
      </c>
      <c r="Q109" s="170">
        <v>6713370.7464851253</v>
      </c>
      <c r="R109" s="170">
        <v>18808879.359048624</v>
      </c>
      <c r="S109" s="170">
        <v>7584724.3602520004</v>
      </c>
      <c r="T109" s="170">
        <v>6056225.1315877512</v>
      </c>
      <c r="U109" s="170">
        <v>2492028.7252111663</v>
      </c>
      <c r="V109" s="170">
        <v>201773.34307604164</v>
      </c>
      <c r="W109" s="170">
        <v>48757.193967708328</v>
      </c>
      <c r="X109" s="170">
        <v>6930365.5720445001</v>
      </c>
      <c r="Y109" s="170">
        <v>470801.0496389583</v>
      </c>
      <c r="Z109" s="170">
        <v>2395206.235632</v>
      </c>
      <c r="AA109" s="170">
        <v>3227841.1387514584</v>
      </c>
      <c r="AB109" s="170">
        <v>6185470.0008880831</v>
      </c>
      <c r="AC109" s="170">
        <v>64253.238272943716</v>
      </c>
      <c r="AD109" s="170">
        <v>175002.6551123333</v>
      </c>
      <c r="AE109" s="170">
        <v>105167.40277799999</v>
      </c>
      <c r="AF109" s="170">
        <v>1611378.0473991761</v>
      </c>
      <c r="AG109" s="170">
        <v>224746.11805820835</v>
      </c>
      <c r="AH109" s="170">
        <v>4342868.5737711657</v>
      </c>
      <c r="AI109" s="170">
        <v>21694.172457833334</v>
      </c>
      <c r="AJ109" s="170">
        <v>615209.11100416665</v>
      </c>
      <c r="AK109" s="170">
        <v>41531.603136833335</v>
      </c>
      <c r="AL109" s="170">
        <v>2864628.6716813748</v>
      </c>
      <c r="AM109" s="170">
        <v>1242929.2062342085</v>
      </c>
      <c r="AN109" s="170">
        <v>3193141.0192315415</v>
      </c>
      <c r="AO109" s="170">
        <v>487703.63609554037</v>
      </c>
      <c r="AP109" s="170">
        <v>2777507.4831249015</v>
      </c>
      <c r="AQ109" s="170">
        <v>91.280082994598359</v>
      </c>
      <c r="AR109" s="170">
        <v>2262581.5808173213</v>
      </c>
      <c r="AS109" s="170">
        <v>0</v>
      </c>
      <c r="AT109" s="170">
        <v>16122149.100092774</v>
      </c>
      <c r="AU109" s="170">
        <v>7501025.1235289723</v>
      </c>
      <c r="AV109" s="170">
        <v>3272151.0227837497</v>
      </c>
      <c r="AW109" s="170">
        <v>4282665.886624625</v>
      </c>
      <c r="AY109" s="844">
        <f t="shared" si="164"/>
        <v>673889807.41213429</v>
      </c>
    </row>
    <row r="110" spans="2:51" hidden="1" outlineLevel="1">
      <c r="B110" s="683"/>
      <c r="C110" s="682">
        <v>45809</v>
      </c>
      <c r="D110" s="170">
        <v>89477791.702940017</v>
      </c>
      <c r="E110" s="170">
        <v>52683180.260938503</v>
      </c>
      <c r="F110" s="170">
        <v>100374086.77280495</v>
      </c>
      <c r="G110" s="170">
        <v>4520606.4775960017</v>
      </c>
      <c r="H110" s="170">
        <v>1055788.7949119997</v>
      </c>
      <c r="I110" s="170">
        <v>1706784.2454520001</v>
      </c>
      <c r="J110" s="170">
        <v>187371.61620900017</v>
      </c>
      <c r="K110" s="170">
        <v>458812.68206799997</v>
      </c>
      <c r="L110" s="170">
        <v>9368019.9709800035</v>
      </c>
      <c r="M110" s="170">
        <v>75794846.651355982</v>
      </c>
      <c r="N110" s="170">
        <v>21065253.332468003</v>
      </c>
      <c r="O110" s="170">
        <v>19133108.213325005</v>
      </c>
      <c r="P110" s="170">
        <v>184032059.37364605</v>
      </c>
      <c r="Q110" s="170">
        <v>6697277.7852564994</v>
      </c>
      <c r="R110" s="170">
        <v>18764741.640098497</v>
      </c>
      <c r="S110" s="170">
        <v>7564507.0186839998</v>
      </c>
      <c r="T110" s="170">
        <v>6040510.0283230012</v>
      </c>
      <c r="U110" s="170">
        <v>2485677.2390939994</v>
      </c>
      <c r="V110" s="170">
        <v>201188.0515375</v>
      </c>
      <c r="W110" s="170">
        <v>48615.825237499994</v>
      </c>
      <c r="X110" s="170">
        <v>6913265.936094</v>
      </c>
      <c r="Y110" s="170">
        <v>469293.74074249994</v>
      </c>
      <c r="Z110" s="170">
        <v>2389549.098644</v>
      </c>
      <c r="AA110" s="170">
        <v>3220292.6665924997</v>
      </c>
      <c r="AB110" s="170">
        <v>6171563.1108868336</v>
      </c>
      <c r="AC110" s="170">
        <v>64082.467661393144</v>
      </c>
      <c r="AD110" s="170">
        <v>174533.63966799999</v>
      </c>
      <c r="AE110" s="170">
        <v>104916.95007599999</v>
      </c>
      <c r="AF110" s="170">
        <v>1607815.2096342202</v>
      </c>
      <c r="AG110" s="170">
        <v>224070.11606350003</v>
      </c>
      <c r="AH110" s="170">
        <v>4331914.9116139989</v>
      </c>
      <c r="AI110" s="170">
        <v>21642.187453999999</v>
      </c>
      <c r="AJ110" s="170">
        <v>613322.12655000004</v>
      </c>
      <c r="AK110" s="170">
        <v>41432.545922000005</v>
      </c>
      <c r="AL110" s="170">
        <v>2857255.7145615001</v>
      </c>
      <c r="AM110" s="170">
        <v>1238826.4122555</v>
      </c>
      <c r="AN110" s="170">
        <v>3185937.3248434998</v>
      </c>
      <c r="AO110" s="170">
        <v>486616.13096786221</v>
      </c>
      <c r="AP110" s="170">
        <v>2771297.6230680994</v>
      </c>
      <c r="AQ110" s="170">
        <v>91.075085327272078</v>
      </c>
      <c r="AR110" s="170">
        <v>2257556.6787234964</v>
      </c>
      <c r="AS110" s="170">
        <v>3030568.7500647819</v>
      </c>
      <c r="AT110" s="170">
        <v>16086502.218990743</v>
      </c>
      <c r="AU110" s="170">
        <v>7484439.9803782851</v>
      </c>
      <c r="AV110" s="170">
        <v>3264566.9598549996</v>
      </c>
      <c r="AW110" s="170">
        <v>4272701.7835905002</v>
      </c>
      <c r="AY110" s="844">
        <f t="shared" si="164"/>
        <v>674944283.04291368</v>
      </c>
    </row>
    <row r="111" spans="2:51" hidden="1" outlineLevel="1">
      <c r="B111" s="683"/>
      <c r="C111" s="682">
        <v>45839</v>
      </c>
      <c r="D111" s="170">
        <v>89201872.473185018</v>
      </c>
      <c r="E111" s="170">
        <v>52511092.980183378</v>
      </c>
      <c r="F111" s="170">
        <v>100114714.13220537</v>
      </c>
      <c r="G111" s="170">
        <v>4499327.8940623347</v>
      </c>
      <c r="H111" s="170">
        <v>1053090.8732379996</v>
      </c>
      <c r="I111" s="170">
        <v>1702314.765073</v>
      </c>
      <c r="J111" s="170">
        <v>187334.13568475019</v>
      </c>
      <c r="K111" s="170">
        <v>457593.10057366668</v>
      </c>
      <c r="L111" s="170">
        <v>9333959.7968950048</v>
      </c>
      <c r="M111" s="170">
        <v>75437131.178968966</v>
      </c>
      <c r="N111" s="170">
        <v>21008435.73767367</v>
      </c>
      <c r="O111" s="170">
        <v>19070438.692768756</v>
      </c>
      <c r="P111" s="170">
        <v>183572174.80561656</v>
      </c>
      <c r="Q111" s="170">
        <v>6681184.8240278754</v>
      </c>
      <c r="R111" s="170">
        <v>18720603.921148375</v>
      </c>
      <c r="S111" s="170">
        <v>7544289.6771160001</v>
      </c>
      <c r="T111" s="170">
        <v>6024794.9250582512</v>
      </c>
      <c r="U111" s="170">
        <v>2479325.7529768329</v>
      </c>
      <c r="V111" s="170">
        <v>200602.75999895833</v>
      </c>
      <c r="W111" s="170">
        <v>48474.456507291659</v>
      </c>
      <c r="X111" s="170">
        <v>6896166.3001434999</v>
      </c>
      <c r="Y111" s="170">
        <v>467786.43184604164</v>
      </c>
      <c r="Z111" s="170">
        <v>2383891.961656</v>
      </c>
      <c r="AA111" s="170">
        <v>3212744.1944335415</v>
      </c>
      <c r="AB111" s="170">
        <v>6157656.2208855841</v>
      </c>
      <c r="AC111" s="170">
        <v>63911.697049842573</v>
      </c>
      <c r="AD111" s="170">
        <v>174064.62422366664</v>
      </c>
      <c r="AE111" s="170">
        <v>104666.49737399998</v>
      </c>
      <c r="AF111" s="170">
        <v>1604252.3718692642</v>
      </c>
      <c r="AG111" s="170">
        <v>223394.11406879168</v>
      </c>
      <c r="AH111" s="170">
        <v>4320961.2494568331</v>
      </c>
      <c r="AI111" s="170">
        <v>21590.202450166667</v>
      </c>
      <c r="AJ111" s="170">
        <v>611435.14209583332</v>
      </c>
      <c r="AK111" s="170">
        <v>41333.488707166667</v>
      </c>
      <c r="AL111" s="170">
        <v>2849882.7574416255</v>
      </c>
      <c r="AM111" s="170">
        <v>1234723.6182767916</v>
      </c>
      <c r="AN111" s="170">
        <v>3178733.6304554581</v>
      </c>
      <c r="AO111" s="170">
        <v>485528.62584018405</v>
      </c>
      <c r="AP111" s="170">
        <v>2765087.7630112967</v>
      </c>
      <c r="AQ111" s="170">
        <v>90.870087659945781</v>
      </c>
      <c r="AR111" s="170">
        <v>2252531.776629671</v>
      </c>
      <c r="AS111" s="170">
        <v>3023912.1645376096</v>
      </c>
      <c r="AT111" s="170">
        <v>16050855.337888712</v>
      </c>
      <c r="AU111" s="170">
        <v>7467854.837227596</v>
      </c>
      <c r="AV111" s="170">
        <v>3256982.8969262498</v>
      </c>
      <c r="AW111" s="170">
        <v>4262737.6805563755</v>
      </c>
      <c r="AY111" s="844">
        <f t="shared" si="164"/>
        <v>672961533.33810186</v>
      </c>
    </row>
    <row r="112" spans="2:51" hidden="1" outlineLevel="1">
      <c r="B112" s="683"/>
      <c r="C112" s="682">
        <v>45870</v>
      </c>
      <c r="D112" s="170">
        <v>88925953.243430018</v>
      </c>
      <c r="E112" s="170">
        <v>52339005.699428253</v>
      </c>
      <c r="F112" s="170">
        <v>99855341.491605774</v>
      </c>
      <c r="G112" s="170">
        <v>4478049.3105286676</v>
      </c>
      <c r="H112" s="170">
        <v>1050392.9515639995</v>
      </c>
      <c r="I112" s="170">
        <v>1697845.2846940001</v>
      </c>
      <c r="J112" s="170">
        <v>187296.6551605002</v>
      </c>
      <c r="K112" s="170">
        <v>456373.51907933335</v>
      </c>
      <c r="L112" s="170">
        <v>9299899.6228100061</v>
      </c>
      <c r="M112" s="170">
        <v>75079415.70658198</v>
      </c>
      <c r="N112" s="170">
        <v>20951618.142879337</v>
      </c>
      <c r="O112" s="170">
        <v>19007769.172212504</v>
      </c>
      <c r="P112" s="170">
        <v>183112290.23758706</v>
      </c>
      <c r="Q112" s="170">
        <v>6665091.8627992496</v>
      </c>
      <c r="R112" s="170">
        <v>18676466.202198248</v>
      </c>
      <c r="S112" s="170">
        <v>7524072.3355480004</v>
      </c>
      <c r="T112" s="170">
        <v>6009079.8217935013</v>
      </c>
      <c r="U112" s="170">
        <v>2472974.266859666</v>
      </c>
      <c r="V112" s="170">
        <v>200017.46846041665</v>
      </c>
      <c r="W112" s="170">
        <v>48333.087777083332</v>
      </c>
      <c r="X112" s="170">
        <v>6879066.6641929997</v>
      </c>
      <c r="Y112" s="170">
        <v>466279.12294958334</v>
      </c>
      <c r="Z112" s="170">
        <v>2378234.824668</v>
      </c>
      <c r="AA112" s="170">
        <v>3205195.7222745833</v>
      </c>
      <c r="AB112" s="170">
        <v>6143749.3308843337</v>
      </c>
      <c r="AC112" s="170">
        <v>63740.926438292001</v>
      </c>
      <c r="AD112" s="170">
        <v>173595.6087793333</v>
      </c>
      <c r="AE112" s="170">
        <v>104416.04467199999</v>
      </c>
      <c r="AF112" s="170">
        <v>1600689.5341043081</v>
      </c>
      <c r="AG112" s="170">
        <v>222718.11207408336</v>
      </c>
      <c r="AH112" s="170">
        <v>4310007.5872996654</v>
      </c>
      <c r="AI112" s="170">
        <v>21538.217446333332</v>
      </c>
      <c r="AJ112" s="170">
        <v>609548.15764166671</v>
      </c>
      <c r="AK112" s="170">
        <v>41234.431492333337</v>
      </c>
      <c r="AL112" s="170">
        <v>2842509.8003217503</v>
      </c>
      <c r="AM112" s="170">
        <v>1230620.8242980835</v>
      </c>
      <c r="AN112" s="170">
        <v>3171529.9360674163</v>
      </c>
      <c r="AO112" s="170">
        <v>484441.12071250589</v>
      </c>
      <c r="AP112" s="170">
        <v>2758877.9029544941</v>
      </c>
      <c r="AQ112" s="170">
        <v>90.6650899926195</v>
      </c>
      <c r="AR112" s="170">
        <v>2247506.8745358461</v>
      </c>
      <c r="AS112" s="170">
        <v>3017255.5790104372</v>
      </c>
      <c r="AT112" s="170">
        <v>16015208.456786681</v>
      </c>
      <c r="AU112" s="170">
        <v>7451269.6940769069</v>
      </c>
      <c r="AV112" s="170">
        <v>3249398.8339974997</v>
      </c>
      <c r="AW112" s="170">
        <v>4252773.5775222499</v>
      </c>
      <c r="AY112" s="844">
        <f t="shared" si="164"/>
        <v>670978783.63328922</v>
      </c>
    </row>
    <row r="113" spans="2:51" hidden="1" outlineLevel="1">
      <c r="B113" s="683"/>
      <c r="C113" s="682">
        <v>45901</v>
      </c>
      <c r="D113" s="170">
        <v>88650034.013675019</v>
      </c>
      <c r="E113" s="170">
        <v>52166918.418673128</v>
      </c>
      <c r="F113" s="170">
        <v>99595968.85100618</v>
      </c>
      <c r="G113" s="170">
        <v>4456770.7269950006</v>
      </c>
      <c r="H113" s="170">
        <v>1047695.0298899997</v>
      </c>
      <c r="I113" s="170">
        <v>1693375.8043150001</v>
      </c>
      <c r="J113" s="170">
        <v>187259.17463625022</v>
      </c>
      <c r="K113" s="170">
        <v>455153.93758500001</v>
      </c>
      <c r="L113" s="170">
        <v>9265839.4487250056</v>
      </c>
      <c r="M113" s="170">
        <v>74721700.234194964</v>
      </c>
      <c r="N113" s="170">
        <v>20894800.548085004</v>
      </c>
      <c r="O113" s="170">
        <v>18945099.651656255</v>
      </c>
      <c r="P113" s="170">
        <v>182652405.66955757</v>
      </c>
      <c r="Q113" s="170">
        <v>6648998.9015706256</v>
      </c>
      <c r="R113" s="170">
        <v>18632328.483248126</v>
      </c>
      <c r="S113" s="170">
        <v>7503854.9939799998</v>
      </c>
      <c r="T113" s="170">
        <v>5993364.7185287513</v>
      </c>
      <c r="U113" s="170">
        <v>2466622.7807424995</v>
      </c>
      <c r="V113" s="170">
        <v>199432.17692187498</v>
      </c>
      <c r="W113" s="170">
        <v>48191.719046874998</v>
      </c>
      <c r="X113" s="170">
        <v>6861967.0282424996</v>
      </c>
      <c r="Y113" s="170">
        <v>464771.81405312498</v>
      </c>
      <c r="Z113" s="170">
        <v>2372577.68768</v>
      </c>
      <c r="AA113" s="170">
        <v>3197647.2501156246</v>
      </c>
      <c r="AB113" s="170">
        <v>6129842.4408830833</v>
      </c>
      <c r="AC113" s="170">
        <v>63570.155826741429</v>
      </c>
      <c r="AD113" s="170">
        <v>173126.59333499998</v>
      </c>
      <c r="AE113" s="170">
        <v>104165.59196999999</v>
      </c>
      <c r="AF113" s="170">
        <v>1597126.6963393523</v>
      </c>
      <c r="AG113" s="170">
        <v>222042.11007937501</v>
      </c>
      <c r="AH113" s="170">
        <v>4299053.9251424996</v>
      </c>
      <c r="AI113" s="170">
        <v>21486.232442500001</v>
      </c>
      <c r="AJ113" s="170">
        <v>607661.17318749998</v>
      </c>
      <c r="AK113" s="170">
        <v>41135.374277499999</v>
      </c>
      <c r="AL113" s="170">
        <v>2835136.8432018752</v>
      </c>
      <c r="AM113" s="170">
        <v>1226518.030319375</v>
      </c>
      <c r="AN113" s="170">
        <v>3164326.2416793751</v>
      </c>
      <c r="AO113" s="170">
        <v>483353.61558482778</v>
      </c>
      <c r="AP113" s="170">
        <v>2752668.042897692</v>
      </c>
      <c r="AQ113" s="170">
        <v>90.460092325293218</v>
      </c>
      <c r="AR113" s="170">
        <v>2242481.9724420207</v>
      </c>
      <c r="AS113" s="170">
        <v>3010598.9934832649</v>
      </c>
      <c r="AT113" s="170">
        <v>15979561.57568465</v>
      </c>
      <c r="AU113" s="170">
        <v>7434684.5509262187</v>
      </c>
      <c r="AV113" s="170">
        <v>3241814.7710687499</v>
      </c>
      <c r="AW113" s="170">
        <v>4242809.4744881252</v>
      </c>
      <c r="AY113" s="844">
        <f t="shared" si="164"/>
        <v>668996033.92847645</v>
      </c>
    </row>
    <row r="114" spans="2:51" hidden="1" outlineLevel="1">
      <c r="B114" s="683"/>
      <c r="C114" s="682">
        <v>45931</v>
      </c>
      <c r="D114" s="170">
        <v>88374114.78392002</v>
      </c>
      <c r="E114" s="170">
        <v>51994831.137918003</v>
      </c>
      <c r="F114" s="170">
        <v>99336596.210406601</v>
      </c>
      <c r="G114" s="170">
        <v>4435492.1434613336</v>
      </c>
      <c r="H114" s="170">
        <v>1044997.1082159996</v>
      </c>
      <c r="I114" s="170">
        <v>1688906.323936</v>
      </c>
      <c r="J114" s="170">
        <v>187221.69411200023</v>
      </c>
      <c r="K114" s="170">
        <v>453934.35609066667</v>
      </c>
      <c r="L114" s="170">
        <v>9231779.2746400051</v>
      </c>
      <c r="M114" s="170">
        <v>74363984.761807978</v>
      </c>
      <c r="N114" s="170">
        <v>20837982.953290671</v>
      </c>
      <c r="O114" s="170">
        <v>18882430.131100006</v>
      </c>
      <c r="P114" s="170">
        <v>182192521.10152805</v>
      </c>
      <c r="Q114" s="170">
        <v>6632905.9403419998</v>
      </c>
      <c r="R114" s="170">
        <v>18588190.764297999</v>
      </c>
      <c r="S114" s="170">
        <v>7483637.6524120001</v>
      </c>
      <c r="T114" s="170">
        <v>5977649.6152640013</v>
      </c>
      <c r="U114" s="170">
        <v>2460271.2946253326</v>
      </c>
      <c r="V114" s="170">
        <v>198846.88538333331</v>
      </c>
      <c r="W114" s="170">
        <v>48050.350316666663</v>
      </c>
      <c r="X114" s="170">
        <v>6844867.3922919994</v>
      </c>
      <c r="Y114" s="170">
        <v>463264.50515666662</v>
      </c>
      <c r="Z114" s="170">
        <v>2366920.550692</v>
      </c>
      <c r="AA114" s="170">
        <v>3190098.7779566664</v>
      </c>
      <c r="AB114" s="170">
        <v>6115935.5508818328</v>
      </c>
      <c r="AC114" s="170">
        <v>63399.385215190858</v>
      </c>
      <c r="AD114" s="170">
        <v>172657.57789066664</v>
      </c>
      <c r="AE114" s="170">
        <v>103915.13926799998</v>
      </c>
      <c r="AF114" s="170">
        <v>1593563.8585743962</v>
      </c>
      <c r="AG114" s="170">
        <v>221366.10808466669</v>
      </c>
      <c r="AH114" s="170">
        <v>4288100.2629853329</v>
      </c>
      <c r="AI114" s="170">
        <v>21434.247438666665</v>
      </c>
      <c r="AJ114" s="170">
        <v>605774.18873333337</v>
      </c>
      <c r="AK114" s="170">
        <v>41036.317062666669</v>
      </c>
      <c r="AL114" s="170">
        <v>2827763.8860820001</v>
      </c>
      <c r="AM114" s="170">
        <v>1222415.2363406667</v>
      </c>
      <c r="AN114" s="170">
        <v>3157122.5472913333</v>
      </c>
      <c r="AO114" s="170">
        <v>482266.11045714963</v>
      </c>
      <c r="AP114" s="170">
        <v>2746458.1828408893</v>
      </c>
      <c r="AQ114" s="170">
        <v>90.255094657966922</v>
      </c>
      <c r="AR114" s="170">
        <v>2237457.0703481957</v>
      </c>
      <c r="AS114" s="170">
        <v>3003942.4079560922</v>
      </c>
      <c r="AT114" s="170">
        <v>15943914.694582619</v>
      </c>
      <c r="AU114" s="170">
        <v>7418099.4077755306</v>
      </c>
      <c r="AV114" s="170">
        <v>3234230.7081399998</v>
      </c>
      <c r="AW114" s="170">
        <v>4232845.3714540005</v>
      </c>
      <c r="AY114" s="844">
        <f t="shared" si="164"/>
        <v>667013284.22366381</v>
      </c>
    </row>
    <row r="115" spans="2:51" hidden="1" outlineLevel="1">
      <c r="B115" s="683"/>
      <c r="C115" s="682">
        <v>45962</v>
      </c>
      <c r="D115" s="170">
        <v>88098195.554165021</v>
      </c>
      <c r="E115" s="170">
        <v>51822743.857162878</v>
      </c>
      <c r="F115" s="170">
        <v>99077223.569807023</v>
      </c>
      <c r="G115" s="170">
        <v>4414213.5599276666</v>
      </c>
      <c r="H115" s="170">
        <v>1042299.1865419996</v>
      </c>
      <c r="I115" s="170">
        <v>1684436.8435569999</v>
      </c>
      <c r="J115" s="170">
        <v>187184.21358775024</v>
      </c>
      <c r="K115" s="170">
        <v>452714.77459633333</v>
      </c>
      <c r="L115" s="170">
        <v>9197719.1005550064</v>
      </c>
      <c r="M115" s="170">
        <v>74006269.289420962</v>
      </c>
      <c r="N115" s="170">
        <v>20781165.358496338</v>
      </c>
      <c r="O115" s="170">
        <v>18819760.610543758</v>
      </c>
      <c r="P115" s="170">
        <v>181732636.53349856</v>
      </c>
      <c r="Q115" s="170">
        <v>6616812.9791133748</v>
      </c>
      <c r="R115" s="170">
        <v>18544053.045347873</v>
      </c>
      <c r="S115" s="170">
        <v>7463420.3108439995</v>
      </c>
      <c r="T115" s="170">
        <v>5961934.5119992513</v>
      </c>
      <c r="U115" s="170">
        <v>2453919.8085081661</v>
      </c>
      <c r="V115" s="170">
        <v>198261.59384479164</v>
      </c>
      <c r="W115" s="170">
        <v>47908.981586458329</v>
      </c>
      <c r="X115" s="170">
        <v>6827767.7563415002</v>
      </c>
      <c r="Y115" s="170">
        <v>461757.19626020832</v>
      </c>
      <c r="Z115" s="170">
        <v>2361263.4137039999</v>
      </c>
      <c r="AA115" s="170">
        <v>3182550.3057977082</v>
      </c>
      <c r="AB115" s="170">
        <v>6102028.6608805833</v>
      </c>
      <c r="AC115" s="170">
        <v>63228.614603640286</v>
      </c>
      <c r="AD115" s="170">
        <v>172188.56244633332</v>
      </c>
      <c r="AE115" s="170">
        <v>103664.68656599999</v>
      </c>
      <c r="AF115" s="170">
        <v>1590001.0208094402</v>
      </c>
      <c r="AG115" s="170">
        <v>220690.10608995834</v>
      </c>
      <c r="AH115" s="170">
        <v>4277146.6008281661</v>
      </c>
      <c r="AI115" s="170">
        <v>21382.262434833334</v>
      </c>
      <c r="AJ115" s="170">
        <v>603887.20427916665</v>
      </c>
      <c r="AK115" s="170">
        <v>40937.259847833338</v>
      </c>
      <c r="AL115" s="170">
        <v>2820390.9289621254</v>
      </c>
      <c r="AM115" s="170">
        <v>1218312.4423619583</v>
      </c>
      <c r="AN115" s="170">
        <v>3149918.8529032916</v>
      </c>
      <c r="AO115" s="170">
        <v>481178.60532947147</v>
      </c>
      <c r="AP115" s="170">
        <v>2740248.3227840867</v>
      </c>
      <c r="AQ115" s="170">
        <v>90.05009699064064</v>
      </c>
      <c r="AR115" s="170">
        <v>2232432.1682543708</v>
      </c>
      <c r="AS115" s="170">
        <v>2997285.8224289198</v>
      </c>
      <c r="AT115" s="170">
        <v>15908267.813480588</v>
      </c>
      <c r="AU115" s="170">
        <v>7401514.2646248406</v>
      </c>
      <c r="AV115" s="170">
        <v>3226646.6452112496</v>
      </c>
      <c r="AW115" s="170">
        <v>4222881.2684198748</v>
      </c>
      <c r="AY115" s="844">
        <f t="shared" si="164"/>
        <v>665030534.51885116</v>
      </c>
    </row>
    <row r="116" spans="2:51" hidden="1" outlineLevel="1">
      <c r="B116" s="683"/>
      <c r="C116" s="681">
        <v>45992</v>
      </c>
      <c r="D116" s="208">
        <v>87822276.324410021</v>
      </c>
      <c r="E116" s="208">
        <v>51650656.576407753</v>
      </c>
      <c r="F116" s="208">
        <v>98817850.929207429</v>
      </c>
      <c r="G116" s="208">
        <v>4392934.9763939995</v>
      </c>
      <c r="H116" s="208">
        <v>1039601.2648679996</v>
      </c>
      <c r="I116" s="208">
        <v>1679967.3631779999</v>
      </c>
      <c r="J116" s="208">
        <v>187146.73306350026</v>
      </c>
      <c r="K116" s="208">
        <v>451495.19310199999</v>
      </c>
      <c r="L116" s="208">
        <v>9163658.9264700077</v>
      </c>
      <c r="M116" s="208">
        <v>73648553.817033976</v>
      </c>
      <c r="N116" s="208">
        <v>20724347.763702005</v>
      </c>
      <c r="O116" s="208">
        <v>18757091.089987509</v>
      </c>
      <c r="P116" s="208">
        <v>181272751.96546906</v>
      </c>
      <c r="Q116" s="208">
        <v>6600720.0178847499</v>
      </c>
      <c r="R116" s="208">
        <v>18499915.326397751</v>
      </c>
      <c r="S116" s="208">
        <v>7443202.9692759998</v>
      </c>
      <c r="T116" s="208">
        <v>5946219.4087345013</v>
      </c>
      <c r="U116" s="208">
        <v>2447568.3223909996</v>
      </c>
      <c r="V116" s="208">
        <v>197676.30230624997</v>
      </c>
      <c r="W116" s="208">
        <v>47767.612856249994</v>
      </c>
      <c r="X116" s="208">
        <v>6810668.1203910001</v>
      </c>
      <c r="Y116" s="208">
        <v>460249.88736375002</v>
      </c>
      <c r="Z116" s="208">
        <v>2355606.2767159999</v>
      </c>
      <c r="AA116" s="208">
        <v>3175001.83363875</v>
      </c>
      <c r="AB116" s="208">
        <v>6088121.7708793338</v>
      </c>
      <c r="AC116" s="208">
        <v>63057.843992089714</v>
      </c>
      <c r="AD116" s="208">
        <v>171719.54700199998</v>
      </c>
      <c r="AE116" s="208">
        <v>103414.23386399999</v>
      </c>
      <c r="AF116" s="208">
        <v>1586438.1830444844</v>
      </c>
      <c r="AG116" s="208">
        <v>220014.10409525002</v>
      </c>
      <c r="AH116" s="208">
        <v>4266192.9386709994</v>
      </c>
      <c r="AI116" s="208">
        <v>21330.277430999999</v>
      </c>
      <c r="AJ116" s="208">
        <v>602000.21982500004</v>
      </c>
      <c r="AK116" s="208">
        <v>40838.202633000001</v>
      </c>
      <c r="AL116" s="208">
        <v>2813017.9718422503</v>
      </c>
      <c r="AM116" s="208">
        <v>1214209.64838325</v>
      </c>
      <c r="AN116" s="208">
        <v>3142715.1585152498</v>
      </c>
      <c r="AO116" s="208">
        <v>480091.10020179331</v>
      </c>
      <c r="AP116" s="208">
        <v>2734038.4627272841</v>
      </c>
      <c r="AQ116" s="208">
        <v>89.845099323314358</v>
      </c>
      <c r="AR116" s="208">
        <v>2227407.2661605454</v>
      </c>
      <c r="AS116" s="208">
        <v>2990629.2369017475</v>
      </c>
      <c r="AT116" s="208">
        <v>15872620.932378557</v>
      </c>
      <c r="AU116" s="208">
        <v>7384929.1214741524</v>
      </c>
      <c r="AV116" s="208">
        <v>3219062.5822824999</v>
      </c>
      <c r="AW116" s="208">
        <v>4212917.1653857501</v>
      </c>
      <c r="AY116" s="845">
        <f t="shared" si="164"/>
        <v>663047784.81403911</v>
      </c>
    </row>
    <row r="117" spans="2:51" hidden="1" outlineLevel="1">
      <c r="B117" s="684"/>
      <c r="C117" s="197" t="s">
        <v>993</v>
      </c>
      <c r="D117" s="166">
        <f t="shared" ref="D117:Z117" si="165">AVERAGE(D104:D116)</f>
        <v>89477791.702940002</v>
      </c>
      <c r="E117" s="166">
        <f t="shared" si="165"/>
        <v>52683180.260938495</v>
      </c>
      <c r="F117" s="166">
        <f t="shared" si="165"/>
        <v>100374086.77280495</v>
      </c>
      <c r="G117" s="166">
        <f t="shared" si="165"/>
        <v>4520606.4775959998</v>
      </c>
      <c r="H117" s="166">
        <f t="shared" si="165"/>
        <v>1055788.7949119993</v>
      </c>
      <c r="I117" s="166">
        <f t="shared" si="165"/>
        <v>1706784.2454520001</v>
      </c>
      <c r="J117" s="166">
        <f t="shared" si="165"/>
        <v>187371.61620900017</v>
      </c>
      <c r="K117" s="166">
        <f t="shared" si="165"/>
        <v>458812.68206800002</v>
      </c>
      <c r="L117" s="166">
        <f t="shared" si="165"/>
        <v>9368019.9709800053</v>
      </c>
      <c r="M117" s="166">
        <f t="shared" si="165"/>
        <v>75794846.651355967</v>
      </c>
      <c r="N117" s="166">
        <f t="shared" si="165"/>
        <v>21065253.332468007</v>
      </c>
      <c r="O117" s="166">
        <f t="shared" si="165"/>
        <v>19133108.213325001</v>
      </c>
      <c r="P117" s="166">
        <f t="shared" si="165"/>
        <v>184032059.37364605</v>
      </c>
      <c r="Q117" s="166">
        <f t="shared" si="165"/>
        <v>6697277.7852564994</v>
      </c>
      <c r="R117" s="166">
        <f t="shared" si="165"/>
        <v>18764741.640098497</v>
      </c>
      <c r="S117" s="166">
        <f t="shared" si="165"/>
        <v>7564507.0186840007</v>
      </c>
      <c r="T117" s="166">
        <f t="shared" si="165"/>
        <v>6040510.0283230012</v>
      </c>
      <c r="U117" s="166">
        <f t="shared" si="165"/>
        <v>2485677.2390939994</v>
      </c>
      <c r="V117" s="166">
        <f t="shared" si="165"/>
        <v>201188.05153749997</v>
      </c>
      <c r="W117" s="166">
        <f t="shared" si="165"/>
        <v>48615.825237500001</v>
      </c>
      <c r="X117" s="166">
        <f t="shared" si="165"/>
        <v>6913265.936094</v>
      </c>
      <c r="Y117" s="166">
        <f t="shared" si="165"/>
        <v>469293.7407425</v>
      </c>
      <c r="Z117" s="166">
        <f t="shared" si="165"/>
        <v>2389549.098644</v>
      </c>
      <c r="AA117" s="166">
        <f t="shared" ref="AA117:AU117" si="166">AVERAGE(AA104:AA116)</f>
        <v>3220292.6665925002</v>
      </c>
      <c r="AB117" s="166">
        <f t="shared" si="166"/>
        <v>6171563.1108868327</v>
      </c>
      <c r="AC117" s="166">
        <f t="shared" si="166"/>
        <v>64082.467661393144</v>
      </c>
      <c r="AD117" s="166">
        <f t="shared" si="166"/>
        <v>174533.63966799996</v>
      </c>
      <c r="AE117" s="166">
        <f t="shared" si="166"/>
        <v>104916.95007599998</v>
      </c>
      <c r="AF117" s="166">
        <f t="shared" si="166"/>
        <v>1357444.3146586083</v>
      </c>
      <c r="AG117" s="166">
        <f>AVERAGE(AG104:AG116)</f>
        <v>224070.1160635</v>
      </c>
      <c r="AH117" s="166">
        <f>AVERAGE(AH104:AH116)</f>
        <v>4331914.9116139989</v>
      </c>
      <c r="AI117" s="166">
        <f>AVERAGE(AI104:AI116)</f>
        <v>21642.187453999999</v>
      </c>
      <c r="AJ117" s="166">
        <f t="shared" si="166"/>
        <v>613322.12655000004</v>
      </c>
      <c r="AK117" s="166">
        <f t="shared" si="166"/>
        <v>41432.545922000005</v>
      </c>
      <c r="AL117" s="166">
        <f t="shared" ref="AL117:AP117" si="167">AVERAGE(AL104:AL116)</f>
        <v>2857255.7145615001</v>
      </c>
      <c r="AM117" s="166">
        <f t="shared" si="167"/>
        <v>1238826.4122555</v>
      </c>
      <c r="AN117" s="166">
        <f t="shared" si="167"/>
        <v>3185937.3248435003</v>
      </c>
      <c r="AO117" s="166">
        <f t="shared" si="167"/>
        <v>486616.13096786221</v>
      </c>
      <c r="AP117" s="166">
        <f t="shared" si="167"/>
        <v>2771297.6230680994</v>
      </c>
      <c r="AQ117" s="166">
        <f t="shared" si="166"/>
        <v>91.075085327272063</v>
      </c>
      <c r="AR117" s="166">
        <f t="shared" si="166"/>
        <v>2257556.6787234964</v>
      </c>
      <c r="AS117" s="166">
        <f t="shared" si="166"/>
        <v>1621091.7657217581</v>
      </c>
      <c r="AT117" s="166">
        <f t="shared" si="166"/>
        <v>13581492.978213526</v>
      </c>
      <c r="AU117" s="166">
        <f t="shared" si="166"/>
        <v>6318954.093038734</v>
      </c>
      <c r="AV117" s="166">
        <f t="shared" ref="AV117:AW117" si="168">AVERAGE(AV104:AV116)</f>
        <v>3264566.959855</v>
      </c>
      <c r="AW117" s="166">
        <f t="shared" si="168"/>
        <v>4272701.7835905002</v>
      </c>
      <c r="AY117" s="166">
        <f t="shared" ref="AY117" si="169">AVERAGE(AY104:AY116)</f>
        <v>669613940.03547859</v>
      </c>
    </row>
    <row r="118" spans="2:51" hidden="1" outlineLevel="1"/>
    <row r="119" spans="2:51" hidden="1" outlineLevel="1">
      <c r="B119" s="685" t="s">
        <v>574</v>
      </c>
      <c r="C119" s="842">
        <v>45627</v>
      </c>
      <c r="D119" s="805">
        <v>50363733.818529993</v>
      </c>
      <c r="E119" s="805">
        <v>34469947.534530751</v>
      </c>
      <c r="F119" s="805">
        <v>38905500.333597526</v>
      </c>
      <c r="G119" s="805">
        <v>4096345.391201999</v>
      </c>
      <c r="H119" s="805">
        <v>178025.9950440001</v>
      </c>
      <c r="I119" s="805">
        <v>231005.63227400009</v>
      </c>
      <c r="J119" s="805">
        <v>-178725.36935450009</v>
      </c>
      <c r="K119" s="805">
        <v>54687.548965999988</v>
      </c>
      <c r="L119" s="805">
        <v>4921310.0845099976</v>
      </c>
      <c r="M119" s="805">
        <v>42299355.434322007</v>
      </c>
      <c r="N119" s="805">
        <v>4617166.9587659985</v>
      </c>
      <c r="O119" s="805">
        <v>6878041.2133374978</v>
      </c>
      <c r="P119" s="176">
        <v>40168179.888176993</v>
      </c>
      <c r="Q119" s="176">
        <v>651167.50237174984</v>
      </c>
      <c r="R119" s="805">
        <v>1263636.1612007497</v>
      </c>
      <c r="S119" s="805">
        <v>738081.25190800009</v>
      </c>
      <c r="T119" s="805">
        <v>552477.33708849992</v>
      </c>
      <c r="U119" s="805">
        <v>141173.05420300001</v>
      </c>
      <c r="V119" s="805">
        <v>11407.844231250003</v>
      </c>
      <c r="W119" s="805">
        <v>2733.6473812500008</v>
      </c>
      <c r="X119" s="805">
        <v>260577.07820300001</v>
      </c>
      <c r="Y119" s="805">
        <v>61593.95087874998</v>
      </c>
      <c r="Z119" s="805">
        <v>72303.809427999993</v>
      </c>
      <c r="AA119" s="805">
        <v>101764.67545375001</v>
      </c>
      <c r="AB119" s="176">
        <v>90344.599105666683</v>
      </c>
      <c r="AC119" s="805">
        <v>1489.1936693034299</v>
      </c>
      <c r="AD119" s="805">
        <v>5385.5576659999988</v>
      </c>
      <c r="AE119" s="805">
        <v>1689.4137119999998</v>
      </c>
      <c r="AF119" s="805">
        <v>0</v>
      </c>
      <c r="AG119" s="805">
        <v>9763.1369682499972</v>
      </c>
      <c r="AH119" s="176">
        <v>145425.26044300001</v>
      </c>
      <c r="AI119" s="805">
        <v>485.47252300000002</v>
      </c>
      <c r="AJ119" s="805">
        <v>13209.866724999998</v>
      </c>
      <c r="AK119" s="805">
        <v>731.62078899999995</v>
      </c>
      <c r="AL119" s="176">
        <v>51618.222719249999</v>
      </c>
      <c r="AM119" s="176">
        <v>30762.153872250001</v>
      </c>
      <c r="AN119" s="805">
        <v>57697.263828249997</v>
      </c>
      <c r="AO119" s="805">
        <v>9114.4182660689021</v>
      </c>
      <c r="AP119" s="805">
        <v>24839.440227210023</v>
      </c>
      <c r="AQ119" s="805">
        <v>1.2299860039577157</v>
      </c>
      <c r="AR119" s="805">
        <v>5024.902093825096</v>
      </c>
      <c r="AS119" s="805">
        <v>0</v>
      </c>
      <c r="AT119" s="805">
        <v>0</v>
      </c>
      <c r="AU119" s="176">
        <v>0</v>
      </c>
      <c r="AV119" s="805">
        <v>60623.297572499992</v>
      </c>
      <c r="AW119" s="805">
        <v>79662.543204749993</v>
      </c>
      <c r="AY119" s="843">
        <f t="shared" ref="AY119:AY131" si="170">SUM(D119:AX119)</f>
        <v>231449358.3696216</v>
      </c>
    </row>
    <row r="120" spans="2:51" hidden="1" outlineLevel="1">
      <c r="B120" s="683"/>
      <c r="C120" s="681">
        <v>45658</v>
      </c>
      <c r="D120" s="806">
        <v>50639653.048284993</v>
      </c>
      <c r="E120" s="806">
        <v>34642034.815285876</v>
      </c>
      <c r="F120" s="806">
        <v>39164872.974197112</v>
      </c>
      <c r="G120" s="806">
        <v>4117623.9747356656</v>
      </c>
      <c r="H120" s="806">
        <v>180723.91671800011</v>
      </c>
      <c r="I120" s="806">
        <v>235475.11265300011</v>
      </c>
      <c r="J120" s="806">
        <v>-178687.8888302501</v>
      </c>
      <c r="K120" s="806">
        <v>55907.130460333319</v>
      </c>
      <c r="L120" s="806">
        <v>4955370.2585949972</v>
      </c>
      <c r="M120" s="806">
        <v>42657070.906709008</v>
      </c>
      <c r="N120" s="806">
        <v>4673984.5535603315</v>
      </c>
      <c r="O120" s="806">
        <v>6940710.7338937474</v>
      </c>
      <c r="P120" s="170">
        <v>40628064.456206493</v>
      </c>
      <c r="Q120" s="170">
        <v>667260.46360037487</v>
      </c>
      <c r="R120" s="806">
        <v>1307773.8801508746</v>
      </c>
      <c r="S120" s="806">
        <v>758298.59347600013</v>
      </c>
      <c r="T120" s="806">
        <v>568192.4403532499</v>
      </c>
      <c r="U120" s="806">
        <v>147524.54032016668</v>
      </c>
      <c r="V120" s="806">
        <v>11993.13576979167</v>
      </c>
      <c r="W120" s="806">
        <v>2875.0161114583343</v>
      </c>
      <c r="X120" s="806">
        <v>277676.71415350004</v>
      </c>
      <c r="Y120" s="806">
        <v>63101.259775208309</v>
      </c>
      <c r="Z120" s="806">
        <v>77960.946415999992</v>
      </c>
      <c r="AA120" s="806">
        <v>109313.14761270834</v>
      </c>
      <c r="AB120" s="170">
        <v>104251.48910691668</v>
      </c>
      <c r="AC120" s="806">
        <v>1659.9642808540016</v>
      </c>
      <c r="AD120" s="806">
        <v>5854.5731103333319</v>
      </c>
      <c r="AE120" s="806">
        <v>1939.8664139999998</v>
      </c>
      <c r="AF120" s="806">
        <v>0</v>
      </c>
      <c r="AG120" s="806">
        <v>10439.13896295833</v>
      </c>
      <c r="AH120" s="170">
        <v>156378.92260016664</v>
      </c>
      <c r="AI120" s="806">
        <v>537.4575268333333</v>
      </c>
      <c r="AJ120" s="806">
        <v>15096.851179166664</v>
      </c>
      <c r="AK120" s="806">
        <v>830.67800383333326</v>
      </c>
      <c r="AL120" s="170">
        <v>58991.17983912499</v>
      </c>
      <c r="AM120" s="170">
        <v>34864.947850958335</v>
      </c>
      <c r="AN120" s="806">
        <v>64900.958216291663</v>
      </c>
      <c r="AO120" s="806">
        <v>10201.923393747053</v>
      </c>
      <c r="AP120" s="806">
        <v>31049.30028401253</v>
      </c>
      <c r="AQ120" s="806">
        <v>1.4349836712840016</v>
      </c>
      <c r="AR120" s="806">
        <v>10049.804187650192</v>
      </c>
      <c r="AS120" s="806">
        <v>0</v>
      </c>
      <c r="AT120" s="806">
        <v>0</v>
      </c>
      <c r="AU120" s="170">
        <v>0</v>
      </c>
      <c r="AV120" s="806">
        <v>68207.36050124999</v>
      </c>
      <c r="AW120" s="806">
        <v>89626.646238874993</v>
      </c>
      <c r="AY120" s="844">
        <f t="shared" si="170"/>
        <v>233369656.62688938</v>
      </c>
    </row>
    <row r="121" spans="2:51" hidden="1" outlineLevel="1">
      <c r="B121" s="683"/>
      <c r="C121" s="682">
        <v>45689</v>
      </c>
      <c r="D121" s="806">
        <v>50915572.278039992</v>
      </c>
      <c r="E121" s="806">
        <v>34814122.096041001</v>
      </c>
      <c r="F121" s="806">
        <v>39424245.614796698</v>
      </c>
      <c r="G121" s="806">
        <v>4138902.5582693322</v>
      </c>
      <c r="H121" s="806">
        <v>183421.83839200012</v>
      </c>
      <c r="I121" s="806">
        <v>239944.59303200012</v>
      </c>
      <c r="J121" s="806">
        <v>-178650.40830600011</v>
      </c>
      <c r="K121" s="806">
        <v>57126.711954666651</v>
      </c>
      <c r="L121" s="806">
        <v>4989430.4326799968</v>
      </c>
      <c r="M121" s="806">
        <v>43014786.379096009</v>
      </c>
      <c r="N121" s="806">
        <v>4730802.1483546644</v>
      </c>
      <c r="O121" s="806">
        <v>7003380.2544499971</v>
      </c>
      <c r="P121" s="170">
        <v>41087949.024235994</v>
      </c>
      <c r="Q121" s="170">
        <v>683353.42482899991</v>
      </c>
      <c r="R121" s="806">
        <v>1351911.5991009995</v>
      </c>
      <c r="S121" s="806">
        <v>778515.93504400016</v>
      </c>
      <c r="T121" s="806">
        <v>583907.54361799988</v>
      </c>
      <c r="U121" s="806">
        <v>153876.02643733335</v>
      </c>
      <c r="V121" s="806">
        <v>12578.427308333337</v>
      </c>
      <c r="W121" s="806">
        <v>3016.3848416666679</v>
      </c>
      <c r="X121" s="806">
        <v>294776.35010400007</v>
      </c>
      <c r="Y121" s="806">
        <v>64608.568671666639</v>
      </c>
      <c r="Z121" s="806">
        <v>83618.08340399999</v>
      </c>
      <c r="AA121" s="806">
        <v>116861.61977166668</v>
      </c>
      <c r="AB121" s="170">
        <v>118158.37910816667</v>
      </c>
      <c r="AC121" s="806">
        <v>1830.7348924045732</v>
      </c>
      <c r="AD121" s="806">
        <v>6323.588554666665</v>
      </c>
      <c r="AE121" s="806">
        <v>2190.3191159999997</v>
      </c>
      <c r="AF121" s="806">
        <v>3562.8377649559752</v>
      </c>
      <c r="AG121" s="806">
        <v>11115.140957666663</v>
      </c>
      <c r="AH121" s="170">
        <v>167332.58475733333</v>
      </c>
      <c r="AI121" s="806">
        <v>589.44253066666658</v>
      </c>
      <c r="AJ121" s="806">
        <v>16983.835633333332</v>
      </c>
      <c r="AK121" s="806">
        <v>929.73521866666658</v>
      </c>
      <c r="AL121" s="170">
        <v>66364.136958999996</v>
      </c>
      <c r="AM121" s="170">
        <v>38967.741829666666</v>
      </c>
      <c r="AN121" s="806">
        <v>72104.652604333329</v>
      </c>
      <c r="AO121" s="806">
        <v>11289.428521425203</v>
      </c>
      <c r="AP121" s="806">
        <v>37259.160340815033</v>
      </c>
      <c r="AQ121" s="806">
        <v>1.6399813386102875</v>
      </c>
      <c r="AR121" s="806">
        <v>15074.706281475288</v>
      </c>
      <c r="AS121" s="806">
        <v>0</v>
      </c>
      <c r="AT121" s="806">
        <v>35646.88110203114</v>
      </c>
      <c r="AU121" s="170">
        <v>16585.143150688706</v>
      </c>
      <c r="AV121" s="806">
        <v>75791.423429999995</v>
      </c>
      <c r="AW121" s="806">
        <v>99590.749272999994</v>
      </c>
      <c r="AY121" s="844">
        <f t="shared" si="170"/>
        <v>235345749.7461746</v>
      </c>
    </row>
    <row r="122" spans="2:51" hidden="1" outlineLevel="1">
      <c r="B122" s="683"/>
      <c r="C122" s="682">
        <v>45717</v>
      </c>
      <c r="D122" s="806">
        <v>51191491.507794991</v>
      </c>
      <c r="E122" s="806">
        <v>34986209.376796126</v>
      </c>
      <c r="F122" s="806">
        <v>39683618.255396284</v>
      </c>
      <c r="G122" s="806">
        <v>4160181.1418029987</v>
      </c>
      <c r="H122" s="806">
        <v>186119.76006600013</v>
      </c>
      <c r="I122" s="806">
        <v>244414.07341100014</v>
      </c>
      <c r="J122" s="806">
        <v>-178612.92778175013</v>
      </c>
      <c r="K122" s="806">
        <v>58346.293448999983</v>
      </c>
      <c r="L122" s="806">
        <v>5023490.6067649964</v>
      </c>
      <c r="M122" s="806">
        <v>43372501.85148301</v>
      </c>
      <c r="N122" s="806">
        <v>4787619.7431489974</v>
      </c>
      <c r="O122" s="806">
        <v>7066049.7750062468</v>
      </c>
      <c r="P122" s="170">
        <v>41547833.592265487</v>
      </c>
      <c r="Q122" s="170">
        <v>699446.38605762483</v>
      </c>
      <c r="R122" s="806">
        <v>1396049.3180511245</v>
      </c>
      <c r="S122" s="806">
        <v>798733.27661200019</v>
      </c>
      <c r="T122" s="806">
        <v>599622.64688274986</v>
      </c>
      <c r="U122" s="806">
        <v>160227.51255450002</v>
      </c>
      <c r="V122" s="806">
        <v>13163.718846875005</v>
      </c>
      <c r="W122" s="806">
        <v>3157.7535718750014</v>
      </c>
      <c r="X122" s="806">
        <v>311875.9860545001</v>
      </c>
      <c r="Y122" s="806">
        <v>66115.877568124968</v>
      </c>
      <c r="Z122" s="806">
        <v>89275.220391999988</v>
      </c>
      <c r="AA122" s="806">
        <v>124410.09193062501</v>
      </c>
      <c r="AB122" s="170">
        <v>132065.26910941669</v>
      </c>
      <c r="AC122" s="806">
        <v>2001.5055039551448</v>
      </c>
      <c r="AD122" s="806">
        <v>6792.6039989999981</v>
      </c>
      <c r="AE122" s="806">
        <v>2440.7718179999997</v>
      </c>
      <c r="AF122" s="806">
        <v>7125.6755299119504</v>
      </c>
      <c r="AG122" s="806">
        <v>11791.142952374996</v>
      </c>
      <c r="AH122" s="170">
        <v>178286.24691449996</v>
      </c>
      <c r="AI122" s="806">
        <v>641.42753449999987</v>
      </c>
      <c r="AJ122" s="806">
        <v>18870.8200875</v>
      </c>
      <c r="AK122" s="806">
        <v>1028.7924335</v>
      </c>
      <c r="AL122" s="170">
        <v>73737.094078874987</v>
      </c>
      <c r="AM122" s="170">
        <v>43070.535808375003</v>
      </c>
      <c r="AN122" s="806">
        <v>79308.346992374994</v>
      </c>
      <c r="AO122" s="806">
        <v>12376.933649103354</v>
      </c>
      <c r="AP122" s="806">
        <v>43469.02039761754</v>
      </c>
      <c r="AQ122" s="806">
        <v>1.8449790059365734</v>
      </c>
      <c r="AR122" s="806">
        <v>20099.608375300384</v>
      </c>
      <c r="AS122" s="806">
        <v>0</v>
      </c>
      <c r="AT122" s="806">
        <v>71293.762204062281</v>
      </c>
      <c r="AU122" s="170">
        <v>33170.286301377411</v>
      </c>
      <c r="AV122" s="806">
        <v>83375.48635875</v>
      </c>
      <c r="AW122" s="806">
        <v>109554.85230712499</v>
      </c>
      <c r="AY122" s="844">
        <f t="shared" si="170"/>
        <v>237321842.86546001</v>
      </c>
    </row>
    <row r="123" spans="2:51" hidden="1" outlineLevel="1">
      <c r="B123" s="683"/>
      <c r="C123" s="682">
        <v>45748</v>
      </c>
      <c r="D123" s="806">
        <v>51467410.73754999</v>
      </c>
      <c r="E123" s="806">
        <v>35158296.657551251</v>
      </c>
      <c r="F123" s="806">
        <v>39942990.89599587</v>
      </c>
      <c r="G123" s="806">
        <v>4181459.7253366653</v>
      </c>
      <c r="H123" s="806">
        <v>188817.68174000015</v>
      </c>
      <c r="I123" s="806">
        <v>248883.55379000015</v>
      </c>
      <c r="J123" s="806">
        <v>-178575.44725750014</v>
      </c>
      <c r="K123" s="806">
        <v>59565.874943333314</v>
      </c>
      <c r="L123" s="806">
        <v>5057550.780849996</v>
      </c>
      <c r="M123" s="806">
        <v>43730217.323870011</v>
      </c>
      <c r="N123" s="806">
        <v>4844437.3379433304</v>
      </c>
      <c r="O123" s="806">
        <v>7128719.2955624964</v>
      </c>
      <c r="P123" s="170">
        <v>42007718.160294987</v>
      </c>
      <c r="Q123" s="170">
        <v>715539.34728624974</v>
      </c>
      <c r="R123" s="806">
        <v>1440187.0370012494</v>
      </c>
      <c r="S123" s="806">
        <v>818950.61818000022</v>
      </c>
      <c r="T123" s="806">
        <v>615337.75014749984</v>
      </c>
      <c r="U123" s="806">
        <v>166578.99867166669</v>
      </c>
      <c r="V123" s="806">
        <v>13749.010385416672</v>
      </c>
      <c r="W123" s="806">
        <v>3299.1223020833349</v>
      </c>
      <c r="X123" s="806">
        <v>328975.62200500013</v>
      </c>
      <c r="Y123" s="806">
        <v>67623.186464583297</v>
      </c>
      <c r="Z123" s="806">
        <v>94932.357379999987</v>
      </c>
      <c r="AA123" s="806">
        <v>131958.56408958335</v>
      </c>
      <c r="AB123" s="170">
        <v>145972.15911066669</v>
      </c>
      <c r="AC123" s="806">
        <v>2172.2761155057165</v>
      </c>
      <c r="AD123" s="806">
        <v>7261.6194433333312</v>
      </c>
      <c r="AE123" s="806">
        <v>2691.2245199999998</v>
      </c>
      <c r="AF123" s="806">
        <v>10688.513294867926</v>
      </c>
      <c r="AG123" s="806">
        <v>12467.144947083329</v>
      </c>
      <c r="AH123" s="170">
        <v>189239.90907166665</v>
      </c>
      <c r="AI123" s="806">
        <v>693.41253833333315</v>
      </c>
      <c r="AJ123" s="806">
        <v>20757.804541666668</v>
      </c>
      <c r="AK123" s="806">
        <v>1127.8496483333333</v>
      </c>
      <c r="AL123" s="170">
        <v>81110.051198749978</v>
      </c>
      <c r="AM123" s="170">
        <v>47173.329787083341</v>
      </c>
      <c r="AN123" s="806">
        <v>86512.04138041666</v>
      </c>
      <c r="AO123" s="806">
        <v>13464.438776781504</v>
      </c>
      <c r="AP123" s="806">
        <v>49678.880454420047</v>
      </c>
      <c r="AQ123" s="806">
        <v>2.0499766732628593</v>
      </c>
      <c r="AR123" s="806">
        <v>25124.510469125482</v>
      </c>
      <c r="AS123" s="806">
        <v>0</v>
      </c>
      <c r="AT123" s="806">
        <v>106940.64330609342</v>
      </c>
      <c r="AU123" s="170">
        <v>49755.429452066121</v>
      </c>
      <c r="AV123" s="806">
        <v>90959.549287500005</v>
      </c>
      <c r="AW123" s="806">
        <v>119518.95534125</v>
      </c>
      <c r="AY123" s="844">
        <f t="shared" si="170"/>
        <v>239297935.98474541</v>
      </c>
    </row>
    <row r="124" spans="2:51" hidden="1" outlineLevel="1">
      <c r="B124" s="683"/>
      <c r="C124" s="682">
        <v>45778</v>
      </c>
      <c r="D124" s="806">
        <v>51743329.96730499</v>
      </c>
      <c r="E124" s="806">
        <v>35330383.938306376</v>
      </c>
      <c r="F124" s="806">
        <v>40202363.536595456</v>
      </c>
      <c r="G124" s="806">
        <v>4202738.3088703323</v>
      </c>
      <c r="H124" s="806">
        <v>191515.60341400016</v>
      </c>
      <c r="I124" s="806">
        <v>253353.03416900017</v>
      </c>
      <c r="J124" s="806">
        <v>-178537.96673325016</v>
      </c>
      <c r="K124" s="806">
        <v>60785.456437666646</v>
      </c>
      <c r="L124" s="806">
        <v>5091610.9549349956</v>
      </c>
      <c r="M124" s="806">
        <v>44087932.796257012</v>
      </c>
      <c r="N124" s="806">
        <v>4901254.9327376634</v>
      </c>
      <c r="O124" s="806">
        <v>7191388.8161187461</v>
      </c>
      <c r="P124" s="170">
        <v>42467602.728324488</v>
      </c>
      <c r="Q124" s="170">
        <v>731632.30851487478</v>
      </c>
      <c r="R124" s="806">
        <v>1484324.7559513743</v>
      </c>
      <c r="S124" s="806">
        <v>839167.95974800026</v>
      </c>
      <c r="T124" s="806">
        <v>631052.85341224982</v>
      </c>
      <c r="U124" s="806">
        <v>172930.48478883336</v>
      </c>
      <c r="V124" s="806">
        <v>14334.301923958339</v>
      </c>
      <c r="W124" s="806">
        <v>3440.4910322916685</v>
      </c>
      <c r="X124" s="806">
        <v>346075.25795550016</v>
      </c>
      <c r="Y124" s="806">
        <v>69130.495361041627</v>
      </c>
      <c r="Z124" s="806">
        <v>100589.49436799999</v>
      </c>
      <c r="AA124" s="806">
        <v>139507.03624854167</v>
      </c>
      <c r="AB124" s="170">
        <v>159879.04911191668</v>
      </c>
      <c r="AC124" s="806">
        <v>2343.0467270562881</v>
      </c>
      <c r="AD124" s="806">
        <v>7730.6348876666643</v>
      </c>
      <c r="AE124" s="806">
        <v>2941.6772219999998</v>
      </c>
      <c r="AF124" s="806">
        <v>14251.351059823901</v>
      </c>
      <c r="AG124" s="806">
        <v>13143.146941791661</v>
      </c>
      <c r="AH124" s="170">
        <v>200193.57122883329</v>
      </c>
      <c r="AI124" s="806">
        <v>745.39754216666643</v>
      </c>
      <c r="AJ124" s="806">
        <v>22644.788995833336</v>
      </c>
      <c r="AK124" s="806">
        <v>1226.9068631666667</v>
      </c>
      <c r="AL124" s="170">
        <v>88483.008318624983</v>
      </c>
      <c r="AM124" s="170">
        <v>51276.123765791679</v>
      </c>
      <c r="AN124" s="806">
        <v>93715.735768458326</v>
      </c>
      <c r="AO124" s="806">
        <v>14551.943904459655</v>
      </c>
      <c r="AP124" s="806">
        <v>55888.740511222553</v>
      </c>
      <c r="AQ124" s="806">
        <v>2.2549743405891451</v>
      </c>
      <c r="AR124" s="806">
        <v>30149.41256295058</v>
      </c>
      <c r="AS124" s="806">
        <v>0</v>
      </c>
      <c r="AT124" s="806">
        <v>142587.52440812456</v>
      </c>
      <c r="AU124" s="170">
        <v>66340.572602754823</v>
      </c>
      <c r="AV124" s="806">
        <v>98543.612216250011</v>
      </c>
      <c r="AW124" s="806">
        <v>129483.058375375</v>
      </c>
      <c r="AY124" s="844">
        <f t="shared" si="170"/>
        <v>241274029.10403073</v>
      </c>
    </row>
    <row r="125" spans="2:51" hidden="1" outlineLevel="1">
      <c r="B125" s="683"/>
      <c r="C125" s="682">
        <v>45809</v>
      </c>
      <c r="D125" s="806">
        <v>52019249.197059989</v>
      </c>
      <c r="E125" s="806">
        <v>35502471.219061501</v>
      </c>
      <c r="F125" s="806">
        <v>40461736.177195042</v>
      </c>
      <c r="G125" s="806">
        <v>4224016.8924039993</v>
      </c>
      <c r="H125" s="806">
        <v>194213.52508800017</v>
      </c>
      <c r="I125" s="806">
        <v>257822.51454800018</v>
      </c>
      <c r="J125" s="806">
        <v>-178500.48620900017</v>
      </c>
      <c r="K125" s="806">
        <v>62005.037931999977</v>
      </c>
      <c r="L125" s="806">
        <v>5125671.1290199952</v>
      </c>
      <c r="M125" s="806">
        <v>44445648.268644013</v>
      </c>
      <c r="N125" s="806">
        <v>4958072.5275319964</v>
      </c>
      <c r="O125" s="806">
        <v>7254058.3366749957</v>
      </c>
      <c r="P125" s="170">
        <v>42927487.296353981</v>
      </c>
      <c r="Q125" s="170">
        <v>747725.26974349981</v>
      </c>
      <c r="R125" s="806">
        <v>1528462.4749014992</v>
      </c>
      <c r="S125" s="806">
        <v>859385.30131600029</v>
      </c>
      <c r="T125" s="806">
        <v>646767.95667699981</v>
      </c>
      <c r="U125" s="806">
        <v>179281.97090600003</v>
      </c>
      <c r="V125" s="806">
        <v>14919.593462500006</v>
      </c>
      <c r="W125" s="806">
        <v>3581.859762500002</v>
      </c>
      <c r="X125" s="806">
        <v>363174.89390600019</v>
      </c>
      <c r="Y125" s="806">
        <v>70637.804257499956</v>
      </c>
      <c r="Z125" s="806">
        <v>106246.63135599998</v>
      </c>
      <c r="AA125" s="806">
        <v>147055.50840749999</v>
      </c>
      <c r="AB125" s="170">
        <v>173785.93911316668</v>
      </c>
      <c r="AC125" s="806">
        <v>2513.8173386068597</v>
      </c>
      <c r="AD125" s="806">
        <v>8199.6503319999974</v>
      </c>
      <c r="AE125" s="806">
        <v>3192.1299239999998</v>
      </c>
      <c r="AF125" s="806">
        <v>17814.188824779878</v>
      </c>
      <c r="AG125" s="806">
        <v>13819.148936499994</v>
      </c>
      <c r="AH125" s="170">
        <v>211147.23338599998</v>
      </c>
      <c r="AI125" s="806">
        <v>797.38254599999971</v>
      </c>
      <c r="AJ125" s="806">
        <v>24531.773450000004</v>
      </c>
      <c r="AK125" s="806">
        <v>1325.964078</v>
      </c>
      <c r="AL125" s="170">
        <v>95855.965438499974</v>
      </c>
      <c r="AM125" s="170">
        <v>55378.917744500017</v>
      </c>
      <c r="AN125" s="806">
        <v>100919.43015649999</v>
      </c>
      <c r="AO125" s="806">
        <v>15639.449032137805</v>
      </c>
      <c r="AP125" s="806">
        <v>62098.60056802506</v>
      </c>
      <c r="AQ125" s="806">
        <v>2.459972007915431</v>
      </c>
      <c r="AR125" s="806">
        <v>35174.314656775678</v>
      </c>
      <c r="AS125" s="806">
        <v>6656.5855271723667</v>
      </c>
      <c r="AT125" s="806">
        <v>178234.40551015572</v>
      </c>
      <c r="AU125" s="170">
        <v>82925.715753443539</v>
      </c>
      <c r="AV125" s="806">
        <v>106127.67514500002</v>
      </c>
      <c r="AW125" s="806">
        <v>139447.1614095</v>
      </c>
      <c r="AY125" s="844">
        <f t="shared" si="170"/>
        <v>243256778.80884323</v>
      </c>
    </row>
    <row r="126" spans="2:51" hidden="1" outlineLevel="1">
      <c r="B126" s="683"/>
      <c r="C126" s="682">
        <v>45839</v>
      </c>
      <c r="D126" s="806">
        <v>52295168.426814988</v>
      </c>
      <c r="E126" s="806">
        <v>35674558.499816626</v>
      </c>
      <c r="F126" s="806">
        <v>40721108.817794628</v>
      </c>
      <c r="G126" s="806">
        <v>4245295.4759376664</v>
      </c>
      <c r="H126" s="806">
        <v>196911.44676200018</v>
      </c>
      <c r="I126" s="806">
        <v>262291.9949270002</v>
      </c>
      <c r="J126" s="806">
        <v>-178463.00568475018</v>
      </c>
      <c r="K126" s="806">
        <v>63224.619426333309</v>
      </c>
      <c r="L126" s="806">
        <v>5159731.3031049948</v>
      </c>
      <c r="M126" s="806">
        <v>44803363.741031013</v>
      </c>
      <c r="N126" s="806">
        <v>5014890.1223263294</v>
      </c>
      <c r="O126" s="806">
        <v>7316727.8572312454</v>
      </c>
      <c r="P126" s="170">
        <v>43387371.864383481</v>
      </c>
      <c r="Q126" s="170">
        <v>763818.23097212473</v>
      </c>
      <c r="R126" s="806">
        <v>1572600.1938516241</v>
      </c>
      <c r="S126" s="806">
        <v>879602.64288400032</v>
      </c>
      <c r="T126" s="806">
        <v>662483.05994174979</v>
      </c>
      <c r="U126" s="806">
        <v>185633.4570231667</v>
      </c>
      <c r="V126" s="806">
        <v>15504.885001041674</v>
      </c>
      <c r="W126" s="806">
        <v>3723.2284927083356</v>
      </c>
      <c r="X126" s="806">
        <v>380274.52985650022</v>
      </c>
      <c r="Y126" s="806">
        <v>72145.113153958286</v>
      </c>
      <c r="Z126" s="806">
        <v>111903.76834399998</v>
      </c>
      <c r="AA126" s="806">
        <v>154603.98056645831</v>
      </c>
      <c r="AB126" s="170">
        <v>187692.82911441667</v>
      </c>
      <c r="AC126" s="806">
        <v>2684.5879501574314</v>
      </c>
      <c r="AD126" s="806">
        <v>8668.6657763333315</v>
      </c>
      <c r="AE126" s="806">
        <v>3442.5826259999999</v>
      </c>
      <c r="AF126" s="806">
        <v>21377.026589735855</v>
      </c>
      <c r="AG126" s="806">
        <v>14495.150931208327</v>
      </c>
      <c r="AH126" s="170">
        <v>222100.89554316661</v>
      </c>
      <c r="AI126" s="806">
        <v>849.36754983333299</v>
      </c>
      <c r="AJ126" s="806">
        <v>26418.757904166672</v>
      </c>
      <c r="AK126" s="806">
        <v>1425.0212928333333</v>
      </c>
      <c r="AL126" s="170">
        <v>103228.92255837498</v>
      </c>
      <c r="AM126" s="170">
        <v>59481.711723208355</v>
      </c>
      <c r="AN126" s="806">
        <v>108123.12454454166</v>
      </c>
      <c r="AO126" s="806">
        <v>16726.954159815956</v>
      </c>
      <c r="AP126" s="806">
        <v>68308.460624827567</v>
      </c>
      <c r="AQ126" s="806">
        <v>2.6649696752417169</v>
      </c>
      <c r="AR126" s="806">
        <v>40199.216750600775</v>
      </c>
      <c r="AS126" s="806">
        <v>13313.171054344733</v>
      </c>
      <c r="AT126" s="806">
        <v>213881.28661218687</v>
      </c>
      <c r="AU126" s="170">
        <v>99510.858904132241</v>
      </c>
      <c r="AV126" s="806">
        <v>113711.73807375002</v>
      </c>
      <c r="AW126" s="806">
        <v>149411.264443625</v>
      </c>
      <c r="AY126" s="844">
        <f t="shared" si="170"/>
        <v>245239528.51365578</v>
      </c>
    </row>
    <row r="127" spans="2:51" hidden="1" outlineLevel="1">
      <c r="B127" s="683"/>
      <c r="C127" s="682">
        <v>45870</v>
      </c>
      <c r="D127" s="806">
        <v>52571087.656569988</v>
      </c>
      <c r="E127" s="806">
        <v>35846645.780571751</v>
      </c>
      <c r="F127" s="806">
        <v>40980481.458394215</v>
      </c>
      <c r="G127" s="806">
        <v>4266574.0594713334</v>
      </c>
      <c r="H127" s="806">
        <v>199609.36843600019</v>
      </c>
      <c r="I127" s="806">
        <v>266761.47530600021</v>
      </c>
      <c r="J127" s="806">
        <v>-178425.5251605002</v>
      </c>
      <c r="K127" s="806">
        <v>64444.200920666641</v>
      </c>
      <c r="L127" s="806">
        <v>5193791.4771899944</v>
      </c>
      <c r="M127" s="806">
        <v>45161079.213418014</v>
      </c>
      <c r="N127" s="806">
        <v>5071707.7171206623</v>
      </c>
      <c r="O127" s="806">
        <v>7379397.377787495</v>
      </c>
      <c r="P127" s="170">
        <v>43847256.432412982</v>
      </c>
      <c r="Q127" s="170">
        <v>779911.19220074965</v>
      </c>
      <c r="R127" s="806">
        <v>1616737.9128017491</v>
      </c>
      <c r="S127" s="806">
        <v>899819.98445200035</v>
      </c>
      <c r="T127" s="806">
        <v>678198.16320649977</v>
      </c>
      <c r="U127" s="806">
        <v>191984.94314033337</v>
      </c>
      <c r="V127" s="806">
        <v>16090.176539583341</v>
      </c>
      <c r="W127" s="806">
        <v>3864.5972229166691</v>
      </c>
      <c r="X127" s="806">
        <v>397374.16580700024</v>
      </c>
      <c r="Y127" s="806">
        <v>73652.422050416615</v>
      </c>
      <c r="Z127" s="806">
        <v>117560.90533199998</v>
      </c>
      <c r="AA127" s="806">
        <v>162152.45272541663</v>
      </c>
      <c r="AB127" s="170">
        <v>201599.71911566667</v>
      </c>
      <c r="AC127" s="806">
        <v>2855.358561708003</v>
      </c>
      <c r="AD127" s="806">
        <v>9137.6812206666655</v>
      </c>
      <c r="AE127" s="806">
        <v>3693.0353279999999</v>
      </c>
      <c r="AF127" s="806">
        <v>24939.864354691832</v>
      </c>
      <c r="AG127" s="806">
        <v>15171.15292591666</v>
      </c>
      <c r="AH127" s="170">
        <v>233054.5577003333</v>
      </c>
      <c r="AI127" s="806">
        <v>901.35255366666627</v>
      </c>
      <c r="AJ127" s="806">
        <v>28305.74235833334</v>
      </c>
      <c r="AK127" s="806">
        <v>1524.0785076666666</v>
      </c>
      <c r="AL127" s="170">
        <v>110601.87967824997</v>
      </c>
      <c r="AM127" s="170">
        <v>63584.505701916685</v>
      </c>
      <c r="AN127" s="806">
        <v>115326.81893258332</v>
      </c>
      <c r="AO127" s="806">
        <v>17814.459287494105</v>
      </c>
      <c r="AP127" s="806">
        <v>74518.320681630066</v>
      </c>
      <c r="AQ127" s="806">
        <v>2.8699673425680028</v>
      </c>
      <c r="AR127" s="806">
        <v>45224.118844425873</v>
      </c>
      <c r="AS127" s="806">
        <v>19969.7565815171</v>
      </c>
      <c r="AT127" s="806">
        <v>249528.16771421803</v>
      </c>
      <c r="AU127" s="170">
        <v>116096.00205482094</v>
      </c>
      <c r="AV127" s="806">
        <v>121295.80100250003</v>
      </c>
      <c r="AW127" s="806">
        <v>159375.36747775</v>
      </c>
      <c r="AY127" s="844">
        <f t="shared" si="170"/>
        <v>247222278.21846837</v>
      </c>
    </row>
    <row r="128" spans="2:51" hidden="1" outlineLevel="1">
      <c r="B128" s="683"/>
      <c r="C128" s="682">
        <v>45901</v>
      </c>
      <c r="D128" s="806">
        <v>52847006.886324987</v>
      </c>
      <c r="E128" s="806">
        <v>36018733.061326876</v>
      </c>
      <c r="F128" s="806">
        <v>41239854.098993801</v>
      </c>
      <c r="G128" s="806">
        <v>4287852.6430050004</v>
      </c>
      <c r="H128" s="806">
        <v>202307.29011000021</v>
      </c>
      <c r="I128" s="806">
        <v>271230.95568500023</v>
      </c>
      <c r="J128" s="806">
        <v>-178388.04463625021</v>
      </c>
      <c r="K128" s="806">
        <v>65663.78241499998</v>
      </c>
      <c r="L128" s="806">
        <v>5227851.651274994</v>
      </c>
      <c r="M128" s="806">
        <v>45518794.685805015</v>
      </c>
      <c r="N128" s="806">
        <v>5128525.3119149953</v>
      </c>
      <c r="O128" s="806">
        <v>7442066.8983437447</v>
      </c>
      <c r="P128" s="170">
        <v>44307141.000442475</v>
      </c>
      <c r="Q128" s="170">
        <v>796004.15342937468</v>
      </c>
      <c r="R128" s="806">
        <v>1660875.631751874</v>
      </c>
      <c r="S128" s="806">
        <v>920037.32602000039</v>
      </c>
      <c r="T128" s="806">
        <v>693913.26647124975</v>
      </c>
      <c r="U128" s="806">
        <v>198336.42925750004</v>
      </c>
      <c r="V128" s="806">
        <v>16675.468078125006</v>
      </c>
      <c r="W128" s="806">
        <v>4005.9659531250027</v>
      </c>
      <c r="X128" s="806">
        <v>414473.80175750027</v>
      </c>
      <c r="Y128" s="806">
        <v>75159.730946874944</v>
      </c>
      <c r="Z128" s="806">
        <v>123218.04231999998</v>
      </c>
      <c r="AA128" s="806">
        <v>169700.92488437495</v>
      </c>
      <c r="AB128" s="170">
        <v>215506.60911691666</v>
      </c>
      <c r="AC128" s="806">
        <v>3026.1291732585746</v>
      </c>
      <c r="AD128" s="806">
        <v>9606.6966649999995</v>
      </c>
      <c r="AE128" s="806">
        <v>3943.48803</v>
      </c>
      <c r="AF128" s="806">
        <v>28502.702119647809</v>
      </c>
      <c r="AG128" s="806">
        <v>15847.154920624993</v>
      </c>
      <c r="AH128" s="170">
        <v>244008.21985749993</v>
      </c>
      <c r="AI128" s="806">
        <v>953.33755749999955</v>
      </c>
      <c r="AJ128" s="806">
        <v>30192.726812500008</v>
      </c>
      <c r="AK128" s="806">
        <v>1623.1357224999999</v>
      </c>
      <c r="AL128" s="170">
        <v>117974.83679812498</v>
      </c>
      <c r="AM128" s="170">
        <v>67687.29968062503</v>
      </c>
      <c r="AN128" s="806">
        <v>122530.51332062499</v>
      </c>
      <c r="AO128" s="806">
        <v>18901.964415172253</v>
      </c>
      <c r="AP128" s="806">
        <v>80728.180738432566</v>
      </c>
      <c r="AQ128" s="806">
        <v>3.0749650098942887</v>
      </c>
      <c r="AR128" s="806">
        <v>50249.020938250971</v>
      </c>
      <c r="AS128" s="806">
        <v>26626.342108689467</v>
      </c>
      <c r="AT128" s="806">
        <v>285175.04881624918</v>
      </c>
      <c r="AU128" s="170">
        <v>132681.14520550967</v>
      </c>
      <c r="AV128" s="806">
        <v>128879.86393125003</v>
      </c>
      <c r="AW128" s="806">
        <v>169339.470511875</v>
      </c>
      <c r="AY128" s="844">
        <f t="shared" si="170"/>
        <v>249205027.92328089</v>
      </c>
    </row>
    <row r="129" spans="2:51" hidden="1" outlineLevel="1">
      <c r="B129" s="683"/>
      <c r="C129" s="682">
        <v>45931</v>
      </c>
      <c r="D129" s="806">
        <v>53122926.116079986</v>
      </c>
      <c r="E129" s="806">
        <v>36190820.342082001</v>
      </c>
      <c r="F129" s="806">
        <v>41499226.739593387</v>
      </c>
      <c r="G129" s="806">
        <v>4309131.2265386675</v>
      </c>
      <c r="H129" s="806">
        <v>205005.21178400022</v>
      </c>
      <c r="I129" s="806">
        <v>275700.43606400024</v>
      </c>
      <c r="J129" s="806">
        <v>-178350.56411200023</v>
      </c>
      <c r="K129" s="806">
        <v>66883.363909333319</v>
      </c>
      <c r="L129" s="806">
        <v>5261911.8253599936</v>
      </c>
      <c r="M129" s="806">
        <v>45876510.158192016</v>
      </c>
      <c r="N129" s="806">
        <v>5185342.9067093283</v>
      </c>
      <c r="O129" s="806">
        <v>7504736.4188999943</v>
      </c>
      <c r="P129" s="170">
        <v>44767025.568471968</v>
      </c>
      <c r="Q129" s="170">
        <v>812097.11465799971</v>
      </c>
      <c r="R129" s="806">
        <v>1705013.3507019989</v>
      </c>
      <c r="S129" s="806">
        <v>940254.66758800042</v>
      </c>
      <c r="T129" s="806">
        <v>709628.36973599973</v>
      </c>
      <c r="U129" s="806">
        <v>204687.91537466671</v>
      </c>
      <c r="V129" s="806">
        <v>17260.759616666674</v>
      </c>
      <c r="W129" s="806">
        <v>4147.3346833333362</v>
      </c>
      <c r="X129" s="806">
        <v>431573.4377080003</v>
      </c>
      <c r="Y129" s="806">
        <v>76667.039843333274</v>
      </c>
      <c r="Z129" s="806">
        <v>128875.17930799998</v>
      </c>
      <c r="AA129" s="806">
        <v>177249.39704333327</v>
      </c>
      <c r="AB129" s="170">
        <v>229413.49911816666</v>
      </c>
      <c r="AC129" s="806">
        <v>3196.8997848091462</v>
      </c>
      <c r="AD129" s="806">
        <v>10075.712109333334</v>
      </c>
      <c r="AE129" s="806">
        <v>4193.940732</v>
      </c>
      <c r="AF129" s="806">
        <v>32065.539884603786</v>
      </c>
      <c r="AG129" s="806">
        <v>16523.156915333326</v>
      </c>
      <c r="AH129" s="170">
        <v>254961.88201466663</v>
      </c>
      <c r="AI129" s="806">
        <v>1005.3225613333328</v>
      </c>
      <c r="AJ129" s="806">
        <v>32079.711266666676</v>
      </c>
      <c r="AK129" s="806">
        <v>1722.1929373333332</v>
      </c>
      <c r="AL129" s="170">
        <v>125347.79391799997</v>
      </c>
      <c r="AM129" s="170">
        <v>71790.093659333361</v>
      </c>
      <c r="AN129" s="806">
        <v>129734.20770866665</v>
      </c>
      <c r="AO129" s="806">
        <v>19989.469542850402</v>
      </c>
      <c r="AP129" s="806">
        <v>86938.040795235065</v>
      </c>
      <c r="AQ129" s="806">
        <v>3.2799626772205746</v>
      </c>
      <c r="AR129" s="806">
        <v>55273.923032076069</v>
      </c>
      <c r="AS129" s="806">
        <v>33282.927635861837</v>
      </c>
      <c r="AT129" s="806">
        <v>320821.92991828034</v>
      </c>
      <c r="AU129" s="170">
        <v>149266.28835619838</v>
      </c>
      <c r="AV129" s="806">
        <v>136463.92686000004</v>
      </c>
      <c r="AW129" s="806">
        <v>179303.573546</v>
      </c>
      <c r="AY129" s="844">
        <f t="shared" si="170"/>
        <v>251187777.62809339</v>
      </c>
    </row>
    <row r="130" spans="2:51" hidden="1" outlineLevel="1">
      <c r="B130" s="683"/>
      <c r="C130" s="682">
        <v>45962</v>
      </c>
      <c r="D130" s="806">
        <v>53398845.345834985</v>
      </c>
      <c r="E130" s="806">
        <v>36362907.622837126</v>
      </c>
      <c r="F130" s="806">
        <v>41758599.380192973</v>
      </c>
      <c r="G130" s="806">
        <v>4330409.8100723345</v>
      </c>
      <c r="H130" s="806">
        <v>207703.13345800023</v>
      </c>
      <c r="I130" s="806">
        <v>280169.91644300026</v>
      </c>
      <c r="J130" s="806">
        <v>-178313.08358775024</v>
      </c>
      <c r="K130" s="806">
        <v>68102.945403666658</v>
      </c>
      <c r="L130" s="806">
        <v>5295971.9994449932</v>
      </c>
      <c r="M130" s="806">
        <v>46234225.630579017</v>
      </c>
      <c r="N130" s="806">
        <v>5242160.5015036613</v>
      </c>
      <c r="O130" s="806">
        <v>7567405.939456244</v>
      </c>
      <c r="P130" s="170">
        <v>45226910.136501469</v>
      </c>
      <c r="Q130" s="170">
        <v>828190.07588662463</v>
      </c>
      <c r="R130" s="806">
        <v>1749151.0696521238</v>
      </c>
      <c r="S130" s="806">
        <v>960472.00915600045</v>
      </c>
      <c r="T130" s="806">
        <v>725343.47300074971</v>
      </c>
      <c r="U130" s="806">
        <v>211039.40149183339</v>
      </c>
      <c r="V130" s="806">
        <v>17846.051155208341</v>
      </c>
      <c r="W130" s="806">
        <v>4288.7034135416698</v>
      </c>
      <c r="X130" s="806">
        <v>448673.07365850033</v>
      </c>
      <c r="Y130" s="806">
        <v>78174.348739791603</v>
      </c>
      <c r="Z130" s="806">
        <v>134532.31629599998</v>
      </c>
      <c r="AA130" s="806">
        <v>184797.86920229159</v>
      </c>
      <c r="AB130" s="170">
        <v>243320.38911941665</v>
      </c>
      <c r="AC130" s="806">
        <v>3367.6703963597179</v>
      </c>
      <c r="AD130" s="806">
        <v>10544.727553666668</v>
      </c>
      <c r="AE130" s="806">
        <v>4444.3934339999996</v>
      </c>
      <c r="AF130" s="806">
        <v>35628.377649559763</v>
      </c>
      <c r="AG130" s="806">
        <v>17199.15891004166</v>
      </c>
      <c r="AH130" s="170">
        <v>265915.54417183326</v>
      </c>
      <c r="AI130" s="806">
        <v>1057.3075651666661</v>
      </c>
      <c r="AJ130" s="806">
        <v>33966.695720833341</v>
      </c>
      <c r="AK130" s="806">
        <v>1821.2501521666666</v>
      </c>
      <c r="AL130" s="170">
        <v>132720.75103787499</v>
      </c>
      <c r="AM130" s="170">
        <v>75892.887638041691</v>
      </c>
      <c r="AN130" s="806">
        <v>136937.90209670833</v>
      </c>
      <c r="AO130" s="806">
        <v>21076.974670528551</v>
      </c>
      <c r="AP130" s="806">
        <v>93147.900852037565</v>
      </c>
      <c r="AQ130" s="806">
        <v>3.4849603445468604</v>
      </c>
      <c r="AR130" s="806">
        <v>60298.825125901167</v>
      </c>
      <c r="AS130" s="806">
        <v>39939.513163034208</v>
      </c>
      <c r="AT130" s="806">
        <v>356468.81102031149</v>
      </c>
      <c r="AU130" s="170">
        <v>165851.43150688708</v>
      </c>
      <c r="AV130" s="806">
        <v>144047.98978875004</v>
      </c>
      <c r="AW130" s="806">
        <v>189267.676580125</v>
      </c>
      <c r="AY130" s="844">
        <f t="shared" si="170"/>
        <v>253170527.33290586</v>
      </c>
    </row>
    <row r="131" spans="2:51" hidden="1" outlineLevel="1">
      <c r="B131" s="683"/>
      <c r="C131" s="681">
        <v>45992</v>
      </c>
      <c r="D131" s="808">
        <v>53674764.575589985</v>
      </c>
      <c r="E131" s="808">
        <v>36534994.903592251</v>
      </c>
      <c r="F131" s="808">
        <v>42017972.020792559</v>
      </c>
      <c r="G131" s="808">
        <v>4351688.3936060015</v>
      </c>
      <c r="H131" s="808">
        <v>210401.05513200024</v>
      </c>
      <c r="I131" s="808">
        <v>284639.39682200027</v>
      </c>
      <c r="J131" s="808">
        <v>-178275.60306350025</v>
      </c>
      <c r="K131" s="808">
        <v>69322.526897999996</v>
      </c>
      <c r="L131" s="808">
        <v>5330032.1735299928</v>
      </c>
      <c r="M131" s="808">
        <v>46591941.102966018</v>
      </c>
      <c r="N131" s="808">
        <v>5298978.0962979943</v>
      </c>
      <c r="O131" s="808">
        <v>7630075.4600124937</v>
      </c>
      <c r="P131" s="208">
        <v>45686794.704530969</v>
      </c>
      <c r="Q131" s="208">
        <v>844283.03711524955</v>
      </c>
      <c r="R131" s="808">
        <v>1793288.7886022488</v>
      </c>
      <c r="S131" s="808">
        <v>980689.35072400048</v>
      </c>
      <c r="T131" s="808">
        <v>741058.57626549969</v>
      </c>
      <c r="U131" s="808">
        <v>217390.88760900006</v>
      </c>
      <c r="V131" s="808">
        <v>18431.342693750008</v>
      </c>
      <c r="W131" s="808">
        <v>4430.0721437500033</v>
      </c>
      <c r="X131" s="808">
        <v>465772.70960900036</v>
      </c>
      <c r="Y131" s="808">
        <v>79681.657636249933</v>
      </c>
      <c r="Z131" s="808">
        <v>140189.45328399999</v>
      </c>
      <c r="AA131" s="808">
        <v>192346.34136124991</v>
      </c>
      <c r="AB131" s="208">
        <v>257227.27912066664</v>
      </c>
      <c r="AC131" s="808">
        <v>3538.4410079102895</v>
      </c>
      <c r="AD131" s="808">
        <v>11013.742998000002</v>
      </c>
      <c r="AE131" s="808">
        <v>4694.8461359999992</v>
      </c>
      <c r="AF131" s="808">
        <v>39191.21541451574</v>
      </c>
      <c r="AG131" s="808">
        <v>17875.160904749995</v>
      </c>
      <c r="AH131" s="208">
        <v>276869.20632899995</v>
      </c>
      <c r="AI131" s="808">
        <v>1109.2925689999995</v>
      </c>
      <c r="AJ131" s="808">
        <v>35853.680175000009</v>
      </c>
      <c r="AK131" s="808">
        <v>1920.3073669999999</v>
      </c>
      <c r="AL131" s="208">
        <v>140093.70815774996</v>
      </c>
      <c r="AM131" s="208">
        <v>79995.681616750022</v>
      </c>
      <c r="AN131" s="808">
        <v>144141.59648475001</v>
      </c>
      <c r="AO131" s="808">
        <v>22164.479798206699</v>
      </c>
      <c r="AP131" s="808">
        <v>99357.760908840064</v>
      </c>
      <c r="AQ131" s="808">
        <v>3.6899580118731463</v>
      </c>
      <c r="AR131" s="808">
        <v>65323.727219726265</v>
      </c>
      <c r="AS131" s="808">
        <v>46596.098690206578</v>
      </c>
      <c r="AT131" s="808">
        <v>392115.69212234265</v>
      </c>
      <c r="AU131" s="208">
        <v>182436.57465757578</v>
      </c>
      <c r="AV131" s="808">
        <v>151632.05271750005</v>
      </c>
      <c r="AW131" s="808">
        <v>199231.77961425</v>
      </c>
      <c r="AY131" s="845">
        <f t="shared" si="170"/>
        <v>255153277.03771853</v>
      </c>
    </row>
    <row r="132" spans="2:51" hidden="1" outlineLevel="1">
      <c r="B132" s="684"/>
      <c r="C132" s="197" t="s">
        <v>993</v>
      </c>
      <c r="D132" s="166">
        <f t="shared" ref="D132:AF132" si="171">AVERAGE(D119:D131)</f>
        <v>52019249.197059989</v>
      </c>
      <c r="E132" s="166">
        <f t="shared" ref="E132:O132" si="172">AVERAGE(E119:E131)</f>
        <v>35502471.219061501</v>
      </c>
      <c r="F132" s="166">
        <f t="shared" si="172"/>
        <v>40461736.177195042</v>
      </c>
      <c r="G132" s="166">
        <f t="shared" si="172"/>
        <v>4224016.8924039984</v>
      </c>
      <c r="H132" s="166">
        <f t="shared" si="172"/>
        <v>194213.52508800014</v>
      </c>
      <c r="I132" s="166">
        <f t="shared" si="172"/>
        <v>257822.51454800021</v>
      </c>
      <c r="J132" s="166">
        <f t="shared" si="172"/>
        <v>-178500.48620900017</v>
      </c>
      <c r="K132" s="166">
        <f t="shared" si="172"/>
        <v>62005.037931999999</v>
      </c>
      <c r="L132" s="166">
        <f t="shared" si="172"/>
        <v>5125671.1290199952</v>
      </c>
      <c r="M132" s="166">
        <f t="shared" si="172"/>
        <v>44445648.268644013</v>
      </c>
      <c r="N132" s="166">
        <f t="shared" si="172"/>
        <v>4958072.5275319964</v>
      </c>
      <c r="O132" s="166">
        <f t="shared" si="172"/>
        <v>7254058.3366749948</v>
      </c>
      <c r="P132" s="166">
        <f t="shared" si="171"/>
        <v>42927487.296353981</v>
      </c>
      <c r="Q132" s="166">
        <f t="shared" si="171"/>
        <v>747725.26974349981</v>
      </c>
      <c r="R132" s="166">
        <f t="shared" si="171"/>
        <v>1528462.474901499</v>
      </c>
      <c r="S132" s="166">
        <f t="shared" ref="S132:AA132" si="173">AVERAGE(S119:S131)</f>
        <v>859385.3013160004</v>
      </c>
      <c r="T132" s="166">
        <f t="shared" si="173"/>
        <v>646767.95667699992</v>
      </c>
      <c r="U132" s="166">
        <f t="shared" si="173"/>
        <v>179281.970906</v>
      </c>
      <c r="V132" s="166">
        <f t="shared" si="173"/>
        <v>14919.593462500006</v>
      </c>
      <c r="W132" s="166">
        <f t="shared" si="173"/>
        <v>3581.8597625000016</v>
      </c>
      <c r="X132" s="166">
        <f t="shared" si="173"/>
        <v>363174.89390600013</v>
      </c>
      <c r="Y132" s="166">
        <f t="shared" si="173"/>
        <v>70637.804257499971</v>
      </c>
      <c r="Z132" s="166">
        <f t="shared" si="173"/>
        <v>106246.63135599998</v>
      </c>
      <c r="AA132" s="166">
        <f t="shared" si="173"/>
        <v>147055.50840749996</v>
      </c>
      <c r="AB132" s="166">
        <f t="shared" si="171"/>
        <v>173785.93911316665</v>
      </c>
      <c r="AC132" s="166">
        <f t="shared" si="171"/>
        <v>2513.8173386068597</v>
      </c>
      <c r="AD132" s="166">
        <f t="shared" si="171"/>
        <v>8199.6503320000011</v>
      </c>
      <c r="AE132" s="166">
        <f t="shared" si="171"/>
        <v>3192.1299240000003</v>
      </c>
      <c r="AF132" s="166">
        <f t="shared" si="171"/>
        <v>18088.253268238033</v>
      </c>
      <c r="AG132" s="166">
        <f>AVERAGE(AG119:AG131)</f>
        <v>13819.148936499994</v>
      </c>
      <c r="AH132" s="166">
        <f>AVERAGE(AH119:AH131)</f>
        <v>211147.23338599998</v>
      </c>
      <c r="AI132" s="166">
        <f>AVERAGE(AI119:AI131)</f>
        <v>797.38254599999971</v>
      </c>
      <c r="AJ132" s="166">
        <f t="shared" ref="AJ132:AU132" si="174">AVERAGE(AJ119:AJ131)</f>
        <v>24531.773450000001</v>
      </c>
      <c r="AK132" s="166">
        <f t="shared" si="174"/>
        <v>1325.964078</v>
      </c>
      <c r="AL132" s="166">
        <f t="shared" ref="AL132:AP132" si="175">AVERAGE(AL119:AL131)</f>
        <v>95855.965438499974</v>
      </c>
      <c r="AM132" s="166">
        <f t="shared" si="175"/>
        <v>55378.917744500024</v>
      </c>
      <c r="AN132" s="166">
        <f t="shared" si="175"/>
        <v>100919.43015650001</v>
      </c>
      <c r="AO132" s="166">
        <f t="shared" si="175"/>
        <v>15639.449032137803</v>
      </c>
      <c r="AP132" s="166">
        <f t="shared" si="175"/>
        <v>62098.60056802506</v>
      </c>
      <c r="AQ132" s="166">
        <f t="shared" si="174"/>
        <v>2.4599720079154306</v>
      </c>
      <c r="AR132" s="166">
        <f t="shared" si="174"/>
        <v>35174.314656775685</v>
      </c>
      <c r="AS132" s="166">
        <f t="shared" si="174"/>
        <v>14337.261135448178</v>
      </c>
      <c r="AT132" s="166">
        <f t="shared" si="174"/>
        <v>180976.47328723504</v>
      </c>
      <c r="AU132" s="166">
        <f t="shared" si="174"/>
        <v>84201.495995804202</v>
      </c>
      <c r="AV132" s="166">
        <f t="shared" ref="AV132:AW132" si="176">AVERAGE(AV119:AV131)</f>
        <v>106127.67514500002</v>
      </c>
      <c r="AW132" s="166">
        <f t="shared" si="176"/>
        <v>139447.1614095</v>
      </c>
      <c r="AY132" s="166">
        <f t="shared" ref="AY132" si="177">AVERAGE(AY119:AY131)</f>
        <v>243268751.39691442</v>
      </c>
    </row>
    <row r="133" spans="2:51" collapsed="1"/>
    <row r="136" spans="2:51">
      <c r="AG136" s="164">
        <v>20625</v>
      </c>
      <c r="AH136" s="164">
        <v>22045</v>
      </c>
      <c r="AI136" s="164">
        <v>22145</v>
      </c>
      <c r="AJ136" s="164">
        <v>22047</v>
      </c>
      <c r="AK136" s="164">
        <v>22048</v>
      </c>
      <c r="AL136" s="164">
        <v>22146</v>
      </c>
      <c r="AM136" s="164">
        <v>21648</v>
      </c>
      <c r="AN136" s="164">
        <v>21812</v>
      </c>
      <c r="AO136" s="164">
        <v>21814</v>
      </c>
      <c r="AP136" s="164">
        <v>22085</v>
      </c>
    </row>
  </sheetData>
  <conditionalFormatting sqref="AY23">
    <cfRule type="cellIs" dxfId="4" priority="6" operator="notEqual">
      <formula>0</formula>
    </cfRule>
  </conditionalFormatting>
  <conditionalFormatting sqref="AY56">
    <cfRule type="cellIs" dxfId="3" priority="5" operator="notEqual">
      <formula>0</formula>
    </cfRule>
  </conditionalFormatting>
  <conditionalFormatting sqref="AY61">
    <cfRule type="cellIs" dxfId="2" priority="2" operator="notEqual">
      <formula>0</formula>
    </cfRule>
  </conditionalFormatting>
  <conditionalFormatting sqref="AY66">
    <cfRule type="cellIs" dxfId="1" priority="1" operator="notEqual">
      <formula>0</formula>
    </cfRule>
  </conditionalFormatting>
  <pageMargins left="0.7" right="0.7" top="0.75" bottom="0.75" header="0.3" footer="0.3"/>
  <pageSetup scale="31" fitToWidth="2" orientation="landscape" r:id="rId1"/>
  <colBreaks count="1" manualBreakCount="1">
    <brk id="25" max="6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AI106"/>
  <sheetViews>
    <sheetView showGridLines="0" topLeftCell="A49" zoomScale="70" zoomScaleNormal="70" zoomScaleSheetLayoutView="70" workbookViewId="0">
      <pane xSplit="2" topLeftCell="K1" activePane="topRight" state="frozen"/>
      <selection activeCell="AI70" sqref="AI70"/>
      <selection pane="topRight" activeCell="AF112" sqref="AF112"/>
    </sheetView>
  </sheetViews>
  <sheetFormatPr defaultColWidth="11.42578125" defaultRowHeight="15" outlineLevelRow="1" outlineLevelCol="1"/>
  <cols>
    <col min="1" max="1" width="24" style="395" customWidth="1"/>
    <col min="2" max="2" width="98.85546875" style="395" customWidth="1"/>
    <col min="3" max="3" width="18.5703125" style="395" hidden="1" customWidth="1" outlineLevel="1"/>
    <col min="4" max="4" width="15.28515625" style="395" hidden="1" customWidth="1" outlineLevel="1"/>
    <col min="5" max="5" width="18" style="396" hidden="1" customWidth="1" outlineLevel="1"/>
    <col min="6" max="6" width="17.85546875" style="395" hidden="1" customWidth="1" outlineLevel="1"/>
    <col min="7" max="7" width="16.42578125" style="395" hidden="1" customWidth="1" outlineLevel="1"/>
    <col min="8" max="8" width="18" style="395" hidden="1" customWidth="1" outlineLevel="1"/>
    <col min="9" max="10" width="17.42578125" style="395" hidden="1" customWidth="1" outlineLevel="1"/>
    <col min="11" max="11" width="20.5703125" style="395" customWidth="1" collapsed="1"/>
    <col min="12" max="12" width="16.42578125" style="395" customWidth="1"/>
    <col min="13" max="14" width="17.85546875" style="395" customWidth="1"/>
    <col min="15" max="15" width="2.7109375" style="395" customWidth="1"/>
    <col min="16" max="17" width="17.85546875" style="395" customWidth="1"/>
    <col min="18" max="18" width="2.7109375" style="395" customWidth="1"/>
    <col min="19" max="19" width="18.5703125" style="395" hidden="1" customWidth="1" outlineLevel="1"/>
    <col min="20" max="20" width="15.28515625" style="395" hidden="1" customWidth="1" outlineLevel="1"/>
    <col min="21" max="21" width="18" style="396" hidden="1" customWidth="1" outlineLevel="1"/>
    <col min="22" max="22" width="17.85546875" style="395" hidden="1" customWidth="1" outlineLevel="1"/>
    <col min="23" max="23" width="16.42578125" style="395" hidden="1" customWidth="1" outlineLevel="1"/>
    <col min="24" max="24" width="18" style="395" hidden="1" customWidth="1" outlineLevel="1"/>
    <col min="25" max="26" width="17.42578125" style="395" hidden="1" customWidth="1" outlineLevel="1"/>
    <col min="27" max="27" width="20.5703125" style="395" customWidth="1" collapsed="1"/>
    <col min="28" max="29" width="17.85546875" style="395" customWidth="1"/>
    <col min="30" max="30" width="2.7109375" style="395" customWidth="1"/>
    <col min="31" max="33" width="17.85546875" style="395" customWidth="1"/>
    <col min="34" max="34" width="2.7109375" style="395" customWidth="1"/>
    <col min="35" max="35" width="17.85546875" style="395" customWidth="1"/>
    <col min="36" max="36" width="14.7109375" style="395" customWidth="1"/>
    <col min="37" max="38" width="16.85546875" style="395" bestFit="1" customWidth="1"/>
    <col min="39" max="39" width="19.28515625" style="395" bestFit="1" customWidth="1"/>
    <col min="40" max="16384" width="11.42578125" style="395"/>
  </cols>
  <sheetData>
    <row r="1" spans="1:33">
      <c r="A1" s="462"/>
      <c r="B1" s="462"/>
      <c r="C1" s="462"/>
      <c r="D1" s="462"/>
      <c r="E1" s="465"/>
      <c r="F1" s="462"/>
      <c r="G1" s="462"/>
      <c r="H1" s="462"/>
      <c r="I1" s="462"/>
      <c r="J1" s="462"/>
      <c r="K1" s="462"/>
      <c r="L1" s="462"/>
      <c r="M1" s="462"/>
      <c r="N1" s="462"/>
      <c r="O1" s="462"/>
      <c r="P1" s="462"/>
      <c r="Q1" s="462"/>
      <c r="R1" s="462"/>
      <c r="S1" s="462"/>
      <c r="T1" s="462"/>
      <c r="U1" s="465"/>
      <c r="V1" s="462"/>
      <c r="W1" s="462"/>
      <c r="X1" s="462"/>
      <c r="Y1" s="462"/>
      <c r="Z1" s="462"/>
      <c r="AA1" s="462"/>
      <c r="AB1" s="462"/>
      <c r="AC1" s="462"/>
      <c r="AD1" s="462"/>
      <c r="AE1" s="462"/>
      <c r="AF1" s="462"/>
      <c r="AG1" s="462"/>
    </row>
    <row r="2" spans="1:33" ht="15.75" hidden="1" outlineLevel="1">
      <c r="A2" s="414"/>
      <c r="B2" s="416" t="s">
        <v>563</v>
      </c>
      <c r="C2" s="416"/>
      <c r="D2" s="416"/>
      <c r="E2" s="416"/>
      <c r="F2" s="417" t="s">
        <v>562</v>
      </c>
      <c r="G2" s="408"/>
      <c r="H2" s="408"/>
      <c r="I2" s="408"/>
      <c r="J2" s="408"/>
      <c r="K2" s="410"/>
      <c r="L2" s="411"/>
      <c r="M2" s="408"/>
      <c r="N2" s="408"/>
      <c r="O2" s="412"/>
      <c r="P2" s="413"/>
      <c r="Q2" s="412"/>
      <c r="R2" s="410"/>
      <c r="S2" s="408"/>
      <c r="T2" s="408"/>
      <c r="U2" s="409"/>
      <c r="V2" s="417" t="s">
        <v>562</v>
      </c>
      <c r="W2" s="408"/>
      <c r="X2" s="408"/>
      <c r="Y2" s="408"/>
      <c r="Z2" s="408"/>
      <c r="AA2" s="410"/>
      <c r="AB2" s="411"/>
      <c r="AC2" s="408"/>
      <c r="AD2" s="412"/>
      <c r="AE2" s="413"/>
      <c r="AF2" s="413"/>
      <c r="AG2" s="413"/>
    </row>
    <row r="3" spans="1:33" ht="15.75" hidden="1" outlineLevel="1">
      <c r="A3" s="414"/>
      <c r="B3" s="416"/>
      <c r="C3" s="416"/>
      <c r="D3" s="418" t="s">
        <v>3</v>
      </c>
      <c r="E3" s="418"/>
      <c r="F3" s="419" t="s">
        <v>813</v>
      </c>
      <c r="G3" s="408"/>
      <c r="H3" s="408"/>
      <c r="I3" s="408"/>
      <c r="J3" s="408"/>
      <c r="K3" s="410"/>
      <c r="L3" s="411"/>
      <c r="M3" s="408"/>
      <c r="N3" s="408"/>
      <c r="O3" s="412"/>
      <c r="P3" s="413"/>
      <c r="Q3" s="412"/>
      <c r="R3" s="410"/>
      <c r="S3" s="408"/>
      <c r="T3" s="408"/>
      <c r="U3" s="409"/>
      <c r="V3" s="420" t="s">
        <v>813</v>
      </c>
      <c r="W3" s="408"/>
      <c r="X3" s="408"/>
      <c r="Y3" s="408"/>
      <c r="Z3" s="408"/>
      <c r="AA3" s="410"/>
      <c r="AB3" s="411"/>
      <c r="AC3" s="408"/>
      <c r="AD3" s="412"/>
      <c r="AE3" s="413"/>
      <c r="AF3" s="413"/>
      <c r="AG3" s="413"/>
    </row>
    <row r="4" spans="1:33" ht="15.75" hidden="1" outlineLevel="1">
      <c r="A4" s="414"/>
      <c r="B4" s="415"/>
      <c r="C4" s="408"/>
      <c r="D4" s="408"/>
      <c r="E4" s="409"/>
      <c r="F4" s="408"/>
      <c r="G4" s="408"/>
      <c r="H4" s="408"/>
      <c r="I4" s="408"/>
      <c r="J4" s="408"/>
      <c r="K4" s="410"/>
      <c r="L4" s="411"/>
      <c r="M4" s="408"/>
      <c r="N4" s="408"/>
      <c r="O4" s="412"/>
      <c r="P4" s="413"/>
      <c r="Q4" s="412"/>
      <c r="R4" s="410"/>
      <c r="S4" s="408"/>
      <c r="T4" s="408"/>
      <c r="U4" s="409"/>
      <c r="V4" s="408"/>
      <c r="W4" s="408"/>
      <c r="X4" s="408"/>
      <c r="Y4" s="408"/>
      <c r="Z4" s="408"/>
      <c r="AA4" s="410"/>
      <c r="AB4" s="411"/>
      <c r="AC4" s="408"/>
      <c r="AD4" s="412"/>
      <c r="AE4" s="413"/>
      <c r="AF4" s="413"/>
      <c r="AG4" s="413"/>
    </row>
    <row r="5" spans="1:33" ht="15.75" hidden="1" outlineLevel="1">
      <c r="A5" s="414"/>
      <c r="B5" s="421" t="s">
        <v>62</v>
      </c>
      <c r="C5" s="408"/>
      <c r="D5" s="421" t="s">
        <v>63</v>
      </c>
      <c r="E5" s="409"/>
      <c r="F5" s="421" t="s">
        <v>64</v>
      </c>
      <c r="G5" s="408"/>
      <c r="H5" s="408"/>
      <c r="I5" s="408"/>
      <c r="J5" s="408"/>
      <c r="K5" s="410"/>
      <c r="L5" s="422" t="s">
        <v>65</v>
      </c>
      <c r="M5" s="408"/>
      <c r="N5" s="408"/>
      <c r="O5" s="412"/>
      <c r="P5" s="413"/>
      <c r="Q5" s="412"/>
      <c r="R5" s="410"/>
      <c r="S5" s="408"/>
      <c r="T5" s="421" t="s">
        <v>63</v>
      </c>
      <c r="U5" s="409"/>
      <c r="V5" s="421" t="s">
        <v>64</v>
      </c>
      <c r="W5" s="408"/>
      <c r="X5" s="408"/>
      <c r="Y5" s="408"/>
      <c r="Z5" s="408"/>
      <c r="AA5" s="410"/>
      <c r="AB5" s="422" t="s">
        <v>65</v>
      </c>
      <c r="AC5" s="408"/>
      <c r="AD5" s="412"/>
      <c r="AE5" s="413"/>
      <c r="AF5" s="413"/>
      <c r="AG5" s="413"/>
    </row>
    <row r="6" spans="1:33" ht="15.75" hidden="1" outlineLevel="1">
      <c r="A6" s="414"/>
      <c r="B6" s="415"/>
      <c r="C6" s="408"/>
      <c r="D6" s="423" t="s">
        <v>814</v>
      </c>
      <c r="E6" s="409"/>
      <c r="F6" s="424"/>
      <c r="G6" s="408"/>
      <c r="H6" s="408"/>
      <c r="I6" s="408"/>
      <c r="J6" s="408"/>
      <c r="K6" s="410"/>
      <c r="L6" s="425"/>
      <c r="M6" s="408"/>
      <c r="N6" s="408"/>
      <c r="O6" s="412"/>
      <c r="P6" s="413"/>
      <c r="Q6" s="412"/>
      <c r="R6" s="410"/>
      <c r="S6" s="408"/>
      <c r="T6" s="423" t="s">
        <v>814</v>
      </c>
      <c r="U6" s="409"/>
      <c r="V6" s="424"/>
      <c r="W6" s="408"/>
      <c r="X6" s="408"/>
      <c r="Y6" s="408"/>
      <c r="Z6" s="408"/>
      <c r="AA6" s="410"/>
      <c r="AB6" s="425"/>
      <c r="AC6" s="408"/>
      <c r="AD6" s="412"/>
      <c r="AE6" s="413"/>
      <c r="AF6" s="413"/>
      <c r="AG6" s="413"/>
    </row>
    <row r="7" spans="1:33" ht="15.75" hidden="1" outlineLevel="1">
      <c r="A7" s="414"/>
      <c r="B7" s="415"/>
      <c r="C7" s="408"/>
      <c r="D7" s="426" t="s">
        <v>69</v>
      </c>
      <c r="E7" s="409"/>
      <c r="F7" s="427" t="s">
        <v>68</v>
      </c>
      <c r="G7" s="408"/>
      <c r="H7" s="408"/>
      <c r="I7" s="408"/>
      <c r="J7" s="408"/>
      <c r="K7" s="410"/>
      <c r="L7" s="427" t="s">
        <v>16</v>
      </c>
      <c r="M7" s="408"/>
      <c r="N7" s="408"/>
      <c r="O7" s="412"/>
      <c r="P7" s="413"/>
      <c r="Q7" s="412"/>
      <c r="R7" s="410"/>
      <c r="S7" s="408"/>
      <c r="T7" s="426" t="s">
        <v>69</v>
      </c>
      <c r="U7" s="409"/>
      <c r="V7" s="427" t="s">
        <v>68</v>
      </c>
      <c r="W7" s="408"/>
      <c r="X7" s="408"/>
      <c r="Y7" s="408"/>
      <c r="Z7" s="408"/>
      <c r="AA7" s="410"/>
      <c r="AB7" s="427" t="s">
        <v>16</v>
      </c>
      <c r="AC7" s="408"/>
      <c r="AD7" s="412"/>
      <c r="AE7" s="413"/>
      <c r="AF7" s="413"/>
      <c r="AG7" s="413"/>
    </row>
    <row r="8" spans="1:33" ht="15.75" hidden="1" outlineLevel="1">
      <c r="A8" s="414"/>
      <c r="B8" s="415"/>
      <c r="C8" s="408"/>
      <c r="D8" s="408"/>
      <c r="E8" s="409"/>
      <c r="F8" s="408"/>
      <c r="G8" s="408"/>
      <c r="H8" s="408"/>
      <c r="I8" s="408"/>
      <c r="J8" s="408"/>
      <c r="K8" s="410"/>
      <c r="L8" s="411"/>
      <c r="M8" s="408"/>
      <c r="N8" s="408"/>
      <c r="O8" s="412"/>
      <c r="P8" s="413"/>
      <c r="Q8" s="412"/>
      <c r="R8" s="410"/>
      <c r="S8" s="408"/>
      <c r="T8" s="408"/>
      <c r="U8" s="409"/>
      <c r="V8" s="408"/>
      <c r="W8" s="408"/>
      <c r="X8" s="408"/>
      <c r="Y8" s="408"/>
      <c r="Z8" s="408"/>
      <c r="AA8" s="410"/>
      <c r="AB8" s="411"/>
      <c r="AC8" s="408"/>
      <c r="AD8" s="412"/>
      <c r="AE8" s="413"/>
      <c r="AF8" s="413"/>
      <c r="AG8" s="413"/>
    </row>
    <row r="9" spans="1:33" hidden="1" outlineLevel="1">
      <c r="A9" s="428">
        <v>1</v>
      </c>
      <c r="B9" s="429" t="s">
        <v>558</v>
      </c>
      <c r="C9" s="408"/>
      <c r="D9" s="430" t="s">
        <v>815</v>
      </c>
      <c r="E9" s="409"/>
      <c r="F9" s="431">
        <v>7550330894</v>
      </c>
      <c r="G9" s="425" t="s">
        <v>816</v>
      </c>
      <c r="H9" s="408"/>
      <c r="I9" s="408"/>
      <c r="J9" s="408"/>
      <c r="K9" s="410"/>
      <c r="L9" s="425"/>
      <c r="M9" s="408"/>
      <c r="N9" s="408"/>
      <c r="O9" s="412"/>
      <c r="P9" s="413"/>
      <c r="Q9" s="412"/>
      <c r="R9" s="410"/>
      <c r="S9" s="408"/>
      <c r="T9" s="430" t="s">
        <v>815</v>
      </c>
      <c r="U9" s="409"/>
      <c r="V9" s="631">
        <v>7491172801</v>
      </c>
      <c r="W9" s="425" t="s">
        <v>816</v>
      </c>
      <c r="X9" s="408"/>
      <c r="Y9" s="408"/>
      <c r="Z9" s="408"/>
      <c r="AA9" s="410"/>
      <c r="AB9" s="425"/>
      <c r="AC9" s="408"/>
      <c r="AD9" s="412"/>
      <c r="AE9" s="413"/>
      <c r="AF9" s="413"/>
      <c r="AG9" s="413"/>
    </row>
    <row r="10" spans="1:33" hidden="1" outlineLevel="1">
      <c r="A10" s="428">
        <v>2</v>
      </c>
      <c r="B10" s="429" t="s">
        <v>556</v>
      </c>
      <c r="C10" s="408"/>
      <c r="D10" s="430" t="s">
        <v>817</v>
      </c>
      <c r="E10" s="409"/>
      <c r="F10" s="431">
        <v>5377700406.4666662</v>
      </c>
      <c r="G10" s="425" t="s">
        <v>818</v>
      </c>
      <c r="H10" s="408"/>
      <c r="I10" s="408"/>
      <c r="J10" s="408"/>
      <c r="K10" s="410"/>
      <c r="L10" s="425"/>
      <c r="M10" s="408"/>
      <c r="N10" s="408"/>
      <c r="O10" s="412"/>
      <c r="P10" s="413"/>
      <c r="Q10" s="412"/>
      <c r="R10" s="410"/>
      <c r="S10" s="408"/>
      <c r="T10" s="430" t="s">
        <v>817</v>
      </c>
      <c r="U10" s="409"/>
      <c r="V10" s="631">
        <v>5332751961</v>
      </c>
      <c r="W10" s="425" t="s">
        <v>818</v>
      </c>
      <c r="X10" s="408"/>
      <c r="Y10" s="408"/>
      <c r="Z10" s="408"/>
      <c r="AA10" s="410"/>
      <c r="AB10" s="425"/>
      <c r="AC10" s="408"/>
      <c r="AD10" s="412"/>
      <c r="AE10" s="413"/>
      <c r="AF10" s="413"/>
      <c r="AG10" s="413"/>
    </row>
    <row r="11" spans="1:33" hidden="1" outlineLevel="1">
      <c r="A11" s="428"/>
      <c r="B11" s="425"/>
      <c r="C11" s="408"/>
      <c r="D11" s="430"/>
      <c r="E11" s="409"/>
      <c r="F11" s="425"/>
      <c r="G11" s="425"/>
      <c r="H11" s="408"/>
      <c r="I11" s="408"/>
      <c r="J11" s="408"/>
      <c r="K11" s="410"/>
      <c r="L11" s="425"/>
      <c r="M11" s="408"/>
      <c r="N11" s="408"/>
      <c r="O11" s="412"/>
      <c r="P11" s="413"/>
      <c r="Q11" s="412"/>
      <c r="R11" s="410"/>
      <c r="S11" s="408"/>
      <c r="T11" s="430"/>
      <c r="U11" s="409"/>
      <c r="V11" s="425"/>
      <c r="W11" s="425"/>
      <c r="X11" s="408"/>
      <c r="Y11" s="408"/>
      <c r="Z11" s="408"/>
      <c r="AA11" s="410"/>
      <c r="AB11" s="425"/>
      <c r="AC11" s="408"/>
      <c r="AD11" s="412"/>
      <c r="AE11" s="413"/>
      <c r="AF11" s="413"/>
      <c r="AG11" s="413"/>
    </row>
    <row r="12" spans="1:33" hidden="1" outlineLevel="1">
      <c r="A12" s="428"/>
      <c r="B12" s="429" t="s">
        <v>554</v>
      </c>
      <c r="C12" s="408"/>
      <c r="D12" s="430"/>
      <c r="E12" s="409"/>
      <c r="F12" s="424"/>
      <c r="G12" s="425"/>
      <c r="H12" s="408"/>
      <c r="I12" s="408"/>
      <c r="J12" s="408"/>
      <c r="K12" s="410"/>
      <c r="L12" s="424"/>
      <c r="M12" s="408"/>
      <c r="N12" s="408"/>
      <c r="O12" s="412"/>
      <c r="P12" s="413"/>
      <c r="Q12" s="412"/>
      <c r="R12" s="410"/>
      <c r="S12" s="408"/>
      <c r="T12" s="430"/>
      <c r="U12" s="409"/>
      <c r="V12" s="424"/>
      <c r="W12" s="425"/>
      <c r="X12" s="408"/>
      <c r="Y12" s="408"/>
      <c r="Z12" s="408"/>
      <c r="AA12" s="410"/>
      <c r="AB12" s="424"/>
      <c r="AC12" s="408"/>
      <c r="AD12" s="412"/>
      <c r="AE12" s="413"/>
      <c r="AF12" s="413"/>
      <c r="AG12" s="413"/>
    </row>
    <row r="13" spans="1:33" hidden="1" outlineLevel="1">
      <c r="A13" s="428">
        <v>3</v>
      </c>
      <c r="B13" s="429" t="s">
        <v>553</v>
      </c>
      <c r="C13" s="408"/>
      <c r="D13" s="430" t="s">
        <v>819</v>
      </c>
      <c r="E13" s="409"/>
      <c r="F13" s="431">
        <v>139828266.26049617</v>
      </c>
      <c r="G13" s="432" t="s">
        <v>820</v>
      </c>
      <c r="H13" s="408"/>
      <c r="I13" s="408"/>
      <c r="J13" s="408"/>
      <c r="K13" s="410"/>
      <c r="L13" s="425"/>
      <c r="M13" s="408"/>
      <c r="N13" s="408"/>
      <c r="O13" s="412"/>
      <c r="P13" s="413"/>
      <c r="Q13" s="412"/>
      <c r="R13" s="410"/>
      <c r="S13" s="408"/>
      <c r="T13" s="430" t="s">
        <v>819</v>
      </c>
      <c r="U13" s="409"/>
      <c r="V13" s="631">
        <v>150395807.11337537</v>
      </c>
      <c r="W13" s="432" t="s">
        <v>820</v>
      </c>
      <c r="X13" s="408"/>
      <c r="Y13" s="408"/>
      <c r="Z13" s="408"/>
      <c r="AA13" s="410"/>
      <c r="AB13" s="425"/>
      <c r="AC13" s="408"/>
      <c r="AD13" s="412"/>
      <c r="AE13" s="413"/>
      <c r="AF13" s="413"/>
      <c r="AG13" s="413"/>
    </row>
    <row r="14" spans="1:33" hidden="1" outlineLevel="1">
      <c r="A14" s="428" t="s">
        <v>551</v>
      </c>
      <c r="B14" s="429" t="s">
        <v>858</v>
      </c>
      <c r="C14" s="408"/>
      <c r="D14" s="430" t="s">
        <v>859</v>
      </c>
      <c r="E14" s="409"/>
      <c r="F14" s="431">
        <v>3998599</v>
      </c>
      <c r="G14" s="432"/>
      <c r="H14" s="408"/>
      <c r="I14" s="408"/>
      <c r="J14" s="408"/>
      <c r="K14" s="410"/>
      <c r="L14" s="425"/>
      <c r="M14" s="408"/>
      <c r="N14" s="408"/>
      <c r="O14" s="412"/>
      <c r="P14" s="413"/>
      <c r="Q14" s="412"/>
      <c r="R14" s="410"/>
      <c r="S14" s="408"/>
      <c r="T14" s="430" t="s">
        <v>859</v>
      </c>
      <c r="U14" s="409"/>
      <c r="V14" s="631">
        <v>8405149</v>
      </c>
      <c r="W14" s="432"/>
      <c r="X14" s="408"/>
      <c r="Y14" s="408"/>
      <c r="Z14" s="408"/>
      <c r="AA14" s="410"/>
      <c r="AB14" s="425"/>
      <c r="AC14" s="408"/>
      <c r="AD14" s="412"/>
      <c r="AE14" s="413"/>
      <c r="AF14" s="413"/>
      <c r="AG14" s="413"/>
    </row>
    <row r="15" spans="1:33" hidden="1" outlineLevel="1">
      <c r="A15" s="428" t="s">
        <v>548</v>
      </c>
      <c r="B15" s="429" t="s">
        <v>860</v>
      </c>
      <c r="C15" s="408"/>
      <c r="D15" s="430"/>
      <c r="E15" s="409"/>
      <c r="F15" s="477">
        <f>F13-F14</f>
        <v>135829667.26049617</v>
      </c>
      <c r="G15" s="432"/>
      <c r="H15" s="408"/>
      <c r="I15" s="408"/>
      <c r="J15" s="408"/>
      <c r="K15" s="410"/>
      <c r="L15" s="425"/>
      <c r="M15" s="408"/>
      <c r="N15" s="408"/>
      <c r="O15" s="412"/>
      <c r="P15" s="413"/>
      <c r="Q15" s="412"/>
      <c r="R15" s="410"/>
      <c r="S15" s="408"/>
      <c r="T15" s="430"/>
      <c r="U15" s="409"/>
      <c r="V15" s="477">
        <f>+V13-V14</f>
        <v>141990658.11337537</v>
      </c>
      <c r="W15" s="432"/>
      <c r="X15" s="408"/>
      <c r="Y15" s="408"/>
      <c r="Z15" s="408"/>
      <c r="AA15" s="410"/>
      <c r="AB15" s="425"/>
      <c r="AC15" s="408"/>
      <c r="AD15" s="412"/>
      <c r="AE15" s="413"/>
      <c r="AF15" s="413"/>
      <c r="AG15" s="413"/>
    </row>
    <row r="16" spans="1:33" hidden="1" outlineLevel="1">
      <c r="A16" s="428">
        <v>4</v>
      </c>
      <c r="B16" s="429" t="s">
        <v>545</v>
      </c>
      <c r="C16" s="408"/>
      <c r="D16" s="430" t="s">
        <v>821</v>
      </c>
      <c r="E16" s="409"/>
      <c r="F16" s="433">
        <f>IF(F15=0,0,F15/F9)</f>
        <v>1.7989895961835995E-2</v>
      </c>
      <c r="G16" s="425"/>
      <c r="H16" s="408"/>
      <c r="I16" s="408"/>
      <c r="J16" s="408"/>
      <c r="K16" s="410"/>
      <c r="L16" s="403">
        <f>F16</f>
        <v>1.7989895961835995E-2</v>
      </c>
      <c r="M16" s="408"/>
      <c r="N16" s="408"/>
      <c r="O16" s="412"/>
      <c r="P16" s="413"/>
      <c r="Q16" s="412"/>
      <c r="R16" s="410"/>
      <c r="S16" s="408"/>
      <c r="T16" s="430" t="s">
        <v>821</v>
      </c>
      <c r="U16" s="409"/>
      <c r="V16" s="433">
        <f>IF(V15=0,0,V15/V9)</f>
        <v>1.8954396312206412E-2</v>
      </c>
      <c r="W16" s="425"/>
      <c r="X16" s="408"/>
      <c r="Y16" s="408"/>
      <c r="Z16" s="408"/>
      <c r="AA16" s="410"/>
      <c r="AB16" s="403">
        <f>V16</f>
        <v>1.8954396312206412E-2</v>
      </c>
      <c r="AC16" s="408"/>
      <c r="AD16" s="412"/>
      <c r="AE16" s="413"/>
      <c r="AF16" s="413"/>
      <c r="AG16" s="413"/>
    </row>
    <row r="17" spans="1:33" hidden="1" outlineLevel="1">
      <c r="A17" s="428"/>
      <c r="B17" s="425"/>
      <c r="C17" s="408"/>
      <c r="D17" s="430"/>
      <c r="E17" s="409"/>
      <c r="F17" s="425"/>
      <c r="G17" s="425"/>
      <c r="H17" s="408"/>
      <c r="I17" s="408"/>
      <c r="J17" s="408"/>
      <c r="K17" s="410"/>
      <c r="L17" s="403"/>
      <c r="M17" s="408"/>
      <c r="N17" s="408"/>
      <c r="O17" s="412"/>
      <c r="P17" s="413"/>
      <c r="Q17" s="412"/>
      <c r="R17" s="410"/>
      <c r="S17" s="408"/>
      <c r="T17" s="430"/>
      <c r="U17" s="409"/>
      <c r="V17" s="425"/>
      <c r="W17" s="425"/>
      <c r="X17" s="408"/>
      <c r="Y17" s="408"/>
      <c r="Z17" s="408"/>
      <c r="AA17" s="410"/>
      <c r="AB17" s="425"/>
      <c r="AC17" s="408"/>
      <c r="AD17" s="412"/>
      <c r="AE17" s="413"/>
      <c r="AF17" s="413"/>
      <c r="AG17" s="413"/>
    </row>
    <row r="18" spans="1:33" ht="30" hidden="1" outlineLevel="1">
      <c r="A18" s="428"/>
      <c r="B18" s="797" t="s">
        <v>1081</v>
      </c>
      <c r="C18" s="408"/>
      <c r="D18" s="430"/>
      <c r="E18" s="409"/>
      <c r="F18" s="425"/>
      <c r="G18" s="425"/>
      <c r="H18" s="408"/>
      <c r="I18" s="408"/>
      <c r="J18" s="408"/>
      <c r="K18" s="410"/>
      <c r="L18" s="407"/>
      <c r="M18" s="408"/>
      <c r="N18" s="408"/>
      <c r="O18" s="412"/>
      <c r="P18" s="413"/>
      <c r="Q18" s="412"/>
      <c r="R18" s="410"/>
      <c r="S18" s="408"/>
      <c r="T18" s="430"/>
      <c r="U18" s="409"/>
      <c r="V18" s="425"/>
      <c r="W18" s="425"/>
      <c r="X18" s="408"/>
      <c r="Y18" s="408"/>
      <c r="Z18" s="408"/>
      <c r="AA18" s="410"/>
      <c r="AB18" s="425"/>
      <c r="AC18" s="408"/>
      <c r="AD18" s="412"/>
      <c r="AE18" s="413"/>
      <c r="AF18" s="413"/>
      <c r="AG18" s="413"/>
    </row>
    <row r="19" spans="1:33" hidden="1" outlineLevel="1">
      <c r="A19" s="428" t="s">
        <v>543</v>
      </c>
      <c r="B19" s="425" t="s">
        <v>542</v>
      </c>
      <c r="C19" s="408"/>
      <c r="D19" s="430" t="s">
        <v>822</v>
      </c>
      <c r="E19" s="409"/>
      <c r="F19" s="431">
        <v>23238507</v>
      </c>
      <c r="G19" s="425"/>
      <c r="H19" s="408"/>
      <c r="I19" s="408"/>
      <c r="J19" s="408"/>
      <c r="K19" s="410"/>
      <c r="M19" s="408"/>
      <c r="N19" s="408"/>
      <c r="O19" s="412"/>
      <c r="P19" s="413"/>
      <c r="Q19" s="412"/>
      <c r="R19" s="410"/>
      <c r="S19" s="408"/>
      <c r="T19" s="430" t="s">
        <v>822</v>
      </c>
      <c r="U19" s="409"/>
      <c r="V19" s="631">
        <v>18747250</v>
      </c>
      <c r="W19" s="425"/>
      <c r="X19" s="408"/>
      <c r="Y19" s="408"/>
      <c r="Z19" s="408"/>
      <c r="AA19" s="410"/>
      <c r="AB19" s="425"/>
      <c r="AC19" s="408"/>
      <c r="AD19" s="412"/>
      <c r="AE19" s="413"/>
      <c r="AF19" s="413"/>
      <c r="AG19" s="413"/>
    </row>
    <row r="20" spans="1:33" hidden="1" outlineLevel="1">
      <c r="A20" s="428" t="s">
        <v>540</v>
      </c>
      <c r="B20" s="425" t="s">
        <v>539</v>
      </c>
      <c r="C20" s="408"/>
      <c r="D20" s="430" t="s">
        <v>538</v>
      </c>
      <c r="E20" s="409"/>
      <c r="F20" s="147">
        <f>IF(F19=0,0,F19/F9)</f>
        <v>3.0778130556459293E-3</v>
      </c>
      <c r="G20" s="425"/>
      <c r="H20" s="408"/>
      <c r="I20" s="408"/>
      <c r="J20" s="408"/>
      <c r="K20" s="410"/>
      <c r="L20" s="403">
        <f>F20</f>
        <v>3.0778130556459293E-3</v>
      </c>
      <c r="M20" s="408"/>
      <c r="N20" s="408"/>
      <c r="O20" s="412"/>
      <c r="P20" s="413"/>
      <c r="Q20" s="412"/>
      <c r="R20" s="410"/>
      <c r="S20" s="408"/>
      <c r="T20" s="430" t="s">
        <v>538</v>
      </c>
      <c r="U20" s="409"/>
      <c r="V20" s="147">
        <f>IF(V19=0,0,V19/V9)</f>
        <v>2.5025787681065667E-3</v>
      </c>
      <c r="W20" s="425"/>
      <c r="X20" s="408"/>
      <c r="Y20" s="408"/>
      <c r="Z20" s="408"/>
      <c r="AA20" s="410"/>
      <c r="AB20" s="403">
        <f>+V20</f>
        <v>2.5025787681065667E-3</v>
      </c>
      <c r="AC20" s="408"/>
      <c r="AD20" s="412"/>
      <c r="AE20" s="413"/>
      <c r="AF20" s="413"/>
      <c r="AG20" s="413"/>
    </row>
    <row r="21" spans="1:33" hidden="1" outlineLevel="1">
      <c r="A21" s="428"/>
      <c r="B21" s="425"/>
      <c r="C21" s="408"/>
      <c r="D21" s="430"/>
      <c r="E21" s="409"/>
      <c r="F21" s="425"/>
      <c r="G21" s="425"/>
      <c r="H21" s="408"/>
      <c r="I21" s="408"/>
      <c r="J21" s="408"/>
      <c r="K21" s="410"/>
      <c r="L21" s="403"/>
      <c r="M21" s="408"/>
      <c r="N21" s="408"/>
      <c r="O21" s="412"/>
      <c r="P21" s="413"/>
      <c r="Q21" s="412"/>
      <c r="R21" s="410"/>
      <c r="S21" s="408"/>
      <c r="T21" s="430"/>
      <c r="U21" s="409"/>
      <c r="V21" s="425"/>
      <c r="W21" s="425"/>
      <c r="X21" s="408"/>
      <c r="Y21" s="408"/>
      <c r="Z21" s="408"/>
      <c r="AA21" s="410"/>
      <c r="AB21" s="425"/>
      <c r="AC21" s="408"/>
      <c r="AD21" s="412"/>
      <c r="AE21" s="413"/>
      <c r="AF21" s="413"/>
      <c r="AG21" s="413"/>
    </row>
    <row r="22" spans="1:33" hidden="1" outlineLevel="1">
      <c r="A22" s="434"/>
      <c r="B22" s="429" t="s">
        <v>537</v>
      </c>
      <c r="C22" s="408"/>
      <c r="D22" s="435"/>
      <c r="E22" s="409"/>
      <c r="F22" s="424"/>
      <c r="G22" s="425"/>
      <c r="H22" s="408"/>
      <c r="I22" s="408"/>
      <c r="J22" s="408"/>
      <c r="K22" s="410"/>
      <c r="L22" s="407"/>
      <c r="M22" s="408"/>
      <c r="N22" s="408"/>
      <c r="O22" s="412"/>
      <c r="P22" s="413"/>
      <c r="Q22" s="412"/>
      <c r="R22" s="410"/>
      <c r="S22" s="408"/>
      <c r="T22" s="435"/>
      <c r="U22" s="409"/>
      <c r="V22" s="424"/>
      <c r="W22" s="425"/>
      <c r="X22" s="408"/>
      <c r="Y22" s="408"/>
      <c r="Z22" s="408"/>
      <c r="AA22" s="410"/>
      <c r="AB22" s="424"/>
      <c r="AC22" s="408"/>
      <c r="AD22" s="412"/>
      <c r="AE22" s="413"/>
      <c r="AF22" s="413"/>
      <c r="AG22" s="413"/>
    </row>
    <row r="23" spans="1:33" hidden="1" outlineLevel="1">
      <c r="A23" s="434" t="s">
        <v>536</v>
      </c>
      <c r="B23" s="429" t="s">
        <v>535</v>
      </c>
      <c r="C23" s="408"/>
      <c r="D23" s="430" t="s">
        <v>823</v>
      </c>
      <c r="E23" s="409"/>
      <c r="F23" s="431">
        <v>32177528</v>
      </c>
      <c r="G23" s="425" t="s">
        <v>824</v>
      </c>
      <c r="H23" s="408"/>
      <c r="I23" s="408"/>
      <c r="J23" s="408"/>
      <c r="K23" s="410"/>
      <c r="M23" s="408"/>
      <c r="N23" s="408"/>
      <c r="O23" s="412"/>
      <c r="P23" s="413"/>
      <c r="Q23" s="412"/>
      <c r="R23" s="410"/>
      <c r="S23" s="408"/>
      <c r="T23" s="430" t="s">
        <v>823</v>
      </c>
      <c r="U23" s="409"/>
      <c r="V23" s="631">
        <v>31400215</v>
      </c>
      <c r="W23" s="425" t="s">
        <v>824</v>
      </c>
      <c r="X23" s="408"/>
      <c r="Y23" s="408"/>
      <c r="Z23" s="408"/>
      <c r="AA23" s="410"/>
      <c r="AB23" s="425"/>
      <c r="AC23" s="408"/>
      <c r="AD23" s="412"/>
      <c r="AE23" s="413"/>
      <c r="AF23" s="413"/>
      <c r="AG23" s="413"/>
    </row>
    <row r="24" spans="1:33" hidden="1" outlineLevel="1">
      <c r="A24" s="434" t="s">
        <v>533</v>
      </c>
      <c r="B24" s="429" t="s">
        <v>532</v>
      </c>
      <c r="C24" s="408"/>
      <c r="D24" s="430" t="s">
        <v>531</v>
      </c>
      <c r="E24" s="409"/>
      <c r="F24" s="433">
        <f>IF(F23=0,0,F23/F9)</f>
        <v>4.2617374591583032E-3</v>
      </c>
      <c r="G24" s="425"/>
      <c r="H24" s="408"/>
      <c r="I24" s="408"/>
      <c r="J24" s="408"/>
      <c r="K24" s="410"/>
      <c r="L24" s="403">
        <f>F24</f>
        <v>4.2617374591583032E-3</v>
      </c>
      <c r="M24" s="408"/>
      <c r="N24" s="408"/>
      <c r="O24" s="412"/>
      <c r="P24" s="413"/>
      <c r="Q24" s="412"/>
      <c r="R24" s="410"/>
      <c r="S24" s="408"/>
      <c r="T24" s="430" t="s">
        <v>531</v>
      </c>
      <c r="U24" s="409"/>
      <c r="V24" s="433">
        <f>IF(V23=0,0,V23/V9)</f>
        <v>4.1916287121034467E-3</v>
      </c>
      <c r="W24" s="425"/>
      <c r="X24" s="408"/>
      <c r="Y24" s="408"/>
      <c r="Z24" s="408"/>
      <c r="AA24" s="410"/>
      <c r="AB24" s="403">
        <f>V24</f>
        <v>4.1916287121034467E-3</v>
      </c>
      <c r="AC24" s="408"/>
      <c r="AD24" s="412"/>
      <c r="AE24" s="413"/>
      <c r="AF24" s="413"/>
      <c r="AG24" s="413"/>
    </row>
    <row r="25" spans="1:33" hidden="1" outlineLevel="1">
      <c r="A25" s="434"/>
      <c r="B25" s="429"/>
      <c r="C25" s="408"/>
      <c r="D25" s="430"/>
      <c r="E25" s="409"/>
      <c r="F25" s="424"/>
      <c r="G25" s="425"/>
      <c r="H25" s="408"/>
      <c r="I25" s="408"/>
      <c r="J25" s="408"/>
      <c r="K25" s="410"/>
      <c r="L25" s="407"/>
      <c r="M25" s="408"/>
      <c r="N25" s="408"/>
      <c r="O25" s="412"/>
      <c r="P25" s="413"/>
      <c r="Q25" s="412"/>
      <c r="R25" s="410"/>
      <c r="S25" s="408"/>
      <c r="T25" s="430"/>
      <c r="U25" s="409"/>
      <c r="V25" s="424"/>
      <c r="W25" s="425"/>
      <c r="X25" s="408"/>
      <c r="Y25" s="408"/>
      <c r="Z25" s="408"/>
      <c r="AA25" s="410"/>
      <c r="AB25" s="424"/>
      <c r="AC25" s="408"/>
      <c r="AD25" s="412"/>
      <c r="AE25" s="413"/>
      <c r="AF25" s="413"/>
      <c r="AG25" s="413"/>
    </row>
    <row r="26" spans="1:33" ht="15.75" hidden="1" outlineLevel="1">
      <c r="A26" s="436" t="s">
        <v>530</v>
      </c>
      <c r="B26" s="437" t="s">
        <v>505</v>
      </c>
      <c r="C26" s="408"/>
      <c r="D26" s="423" t="s">
        <v>529</v>
      </c>
      <c r="E26" s="409"/>
      <c r="F26" s="438"/>
      <c r="G26" s="425"/>
      <c r="H26" s="408"/>
      <c r="I26" s="408"/>
      <c r="J26" s="408"/>
      <c r="K26" s="410"/>
      <c r="L26" s="139">
        <f>L16+L20+L24</f>
        <v>2.5329446476640226E-2</v>
      </c>
      <c r="M26" s="408"/>
      <c r="N26" s="408"/>
      <c r="O26" s="412"/>
      <c r="P26" s="413"/>
      <c r="Q26" s="412"/>
      <c r="R26" s="410"/>
      <c r="S26" s="408"/>
      <c r="T26" s="423" t="s">
        <v>529</v>
      </c>
      <c r="U26" s="409"/>
      <c r="V26" s="438"/>
      <c r="W26" s="425"/>
      <c r="X26" s="408"/>
      <c r="Y26" s="408"/>
      <c r="Z26" s="408"/>
      <c r="AA26" s="410"/>
      <c r="AB26" s="139">
        <f>AB16+AB20+AB24</f>
        <v>2.5648603792416423E-2</v>
      </c>
      <c r="AC26" s="408"/>
      <c r="AD26" s="412"/>
      <c r="AE26" s="413"/>
      <c r="AF26" s="413"/>
      <c r="AG26" s="413"/>
    </row>
    <row r="27" spans="1:33" hidden="1" outlineLevel="1">
      <c r="A27" s="434"/>
      <c r="B27" s="429"/>
      <c r="C27" s="408"/>
      <c r="D27" s="430"/>
      <c r="E27" s="409"/>
      <c r="F27" s="424"/>
      <c r="G27" s="425"/>
      <c r="H27" s="408"/>
      <c r="I27" s="408"/>
      <c r="J27" s="408"/>
      <c r="K27" s="410"/>
      <c r="L27" s="407"/>
      <c r="M27" s="408"/>
      <c r="N27" s="408"/>
      <c r="O27" s="412"/>
      <c r="P27" s="413"/>
      <c r="Q27" s="412"/>
      <c r="R27" s="410"/>
      <c r="S27" s="408"/>
      <c r="T27" s="430"/>
      <c r="U27" s="409"/>
      <c r="V27" s="424"/>
      <c r="W27" s="425"/>
      <c r="X27" s="408"/>
      <c r="Y27" s="408"/>
      <c r="Z27" s="408"/>
      <c r="AA27" s="410"/>
      <c r="AB27" s="424"/>
      <c r="AC27" s="408"/>
      <c r="AD27" s="412"/>
      <c r="AE27" s="413"/>
      <c r="AF27" s="413"/>
      <c r="AG27" s="413"/>
    </row>
    <row r="28" spans="1:33" hidden="1" outlineLevel="1">
      <c r="A28" s="434"/>
      <c r="B28" s="424" t="s">
        <v>528</v>
      </c>
      <c r="C28" s="408"/>
      <c r="D28" s="430"/>
      <c r="E28" s="409"/>
      <c r="F28" s="424"/>
      <c r="G28" s="425"/>
      <c r="H28" s="408"/>
      <c r="I28" s="408"/>
      <c r="J28" s="408"/>
      <c r="K28" s="410"/>
      <c r="L28" s="407"/>
      <c r="M28" s="408"/>
      <c r="N28" s="408"/>
      <c r="O28" s="412"/>
      <c r="P28" s="413"/>
      <c r="Q28" s="412"/>
      <c r="R28" s="410"/>
      <c r="S28" s="408"/>
      <c r="T28" s="430"/>
      <c r="U28" s="409"/>
      <c r="V28" s="424"/>
      <c r="W28" s="425"/>
      <c r="X28" s="408"/>
      <c r="Y28" s="408"/>
      <c r="Z28" s="408"/>
      <c r="AA28" s="410"/>
      <c r="AB28" s="424"/>
      <c r="AC28" s="408"/>
      <c r="AD28" s="412"/>
      <c r="AE28" s="413"/>
      <c r="AF28" s="413"/>
      <c r="AG28" s="413"/>
    </row>
    <row r="29" spans="1:33" hidden="1" outlineLevel="1">
      <c r="A29" s="434" t="s">
        <v>527</v>
      </c>
      <c r="B29" s="424" t="s">
        <v>460</v>
      </c>
      <c r="C29" s="408"/>
      <c r="D29" s="430" t="s">
        <v>825</v>
      </c>
      <c r="E29" s="409"/>
      <c r="F29" s="431">
        <v>72274366.154204294</v>
      </c>
      <c r="G29" s="425" t="s">
        <v>826</v>
      </c>
      <c r="H29" s="408"/>
      <c r="I29" s="408"/>
      <c r="J29" s="408"/>
      <c r="K29" s="410"/>
      <c r="L29" s="407"/>
      <c r="M29" s="408"/>
      <c r="N29" s="408"/>
      <c r="O29" s="412"/>
      <c r="P29" s="413"/>
      <c r="Q29" s="412"/>
      <c r="R29" s="410"/>
      <c r="S29" s="408"/>
      <c r="T29" s="430" t="s">
        <v>825</v>
      </c>
      <c r="U29" s="409"/>
      <c r="V29" s="631">
        <v>74089662.327901497</v>
      </c>
      <c r="W29" s="425" t="s">
        <v>826</v>
      </c>
      <c r="X29" s="408"/>
      <c r="Y29" s="408"/>
      <c r="Z29" s="408"/>
      <c r="AA29" s="410"/>
      <c r="AB29" s="424"/>
      <c r="AC29" s="408"/>
      <c r="AD29" s="412"/>
      <c r="AE29" s="413"/>
      <c r="AF29" s="413"/>
      <c r="AG29" s="413"/>
    </row>
    <row r="30" spans="1:33" hidden="1" outlineLevel="1">
      <c r="A30" s="434" t="s">
        <v>525</v>
      </c>
      <c r="B30" s="424" t="s">
        <v>524</v>
      </c>
      <c r="C30" s="408"/>
      <c r="D30" s="430" t="s">
        <v>523</v>
      </c>
      <c r="E30" s="409"/>
      <c r="F30" s="433">
        <f>IF(F29=0,0,F29/F10)</f>
        <v>1.343964161099317E-2</v>
      </c>
      <c r="G30" s="425"/>
      <c r="H30" s="408"/>
      <c r="I30" s="408"/>
      <c r="J30" s="408"/>
      <c r="K30" s="410"/>
      <c r="L30" s="403">
        <f>F30</f>
        <v>1.343964161099317E-2</v>
      </c>
      <c r="M30" s="408"/>
      <c r="N30" s="408"/>
      <c r="O30" s="412"/>
      <c r="P30" s="413"/>
      <c r="Q30" s="412"/>
      <c r="R30" s="410"/>
      <c r="S30" s="408"/>
      <c r="T30" s="430" t="s">
        <v>523</v>
      </c>
      <c r="U30" s="409"/>
      <c r="V30" s="433">
        <f>IF(V29=0,0,V29/V10)</f>
        <v>1.3893326160627988E-2</v>
      </c>
      <c r="W30" s="425"/>
      <c r="X30" s="408"/>
      <c r="Y30" s="408"/>
      <c r="Z30" s="408"/>
      <c r="AA30" s="410"/>
      <c r="AB30" s="403">
        <f>V30</f>
        <v>1.3893326160627988E-2</v>
      </c>
      <c r="AC30" s="408"/>
      <c r="AD30" s="412"/>
      <c r="AE30" s="413"/>
      <c r="AF30" s="413"/>
      <c r="AG30" s="413"/>
    </row>
    <row r="31" spans="1:33" hidden="1" outlineLevel="1">
      <c r="A31" s="434"/>
      <c r="B31" s="424"/>
      <c r="C31" s="408"/>
      <c r="D31" s="430"/>
      <c r="E31" s="409"/>
      <c r="F31" s="424"/>
      <c r="G31" s="425"/>
      <c r="H31" s="408"/>
      <c r="I31" s="408"/>
      <c r="J31" s="408"/>
      <c r="K31" s="410"/>
      <c r="L31" s="407"/>
      <c r="M31" s="408"/>
      <c r="N31" s="408"/>
      <c r="O31" s="412"/>
      <c r="P31" s="413"/>
      <c r="Q31" s="412"/>
      <c r="R31" s="410"/>
      <c r="S31" s="408"/>
      <c r="T31" s="430"/>
      <c r="U31" s="409"/>
      <c r="V31" s="424"/>
      <c r="W31" s="425"/>
      <c r="X31" s="408"/>
      <c r="Y31" s="408"/>
      <c r="Z31" s="408"/>
      <c r="AA31" s="410"/>
      <c r="AB31" s="424"/>
      <c r="AC31" s="408"/>
      <c r="AD31" s="412"/>
      <c r="AE31" s="413"/>
      <c r="AF31" s="413"/>
      <c r="AG31" s="413"/>
    </row>
    <row r="32" spans="1:33" hidden="1" outlineLevel="1">
      <c r="A32" s="434"/>
      <c r="B32" s="429" t="s">
        <v>185</v>
      </c>
      <c r="C32" s="408"/>
      <c r="D32" s="439"/>
      <c r="E32" s="409"/>
      <c r="F32" s="425"/>
      <c r="G32" s="425"/>
      <c r="H32" s="408"/>
      <c r="I32" s="408"/>
      <c r="J32" s="408"/>
      <c r="K32" s="410"/>
      <c r="M32" s="408"/>
      <c r="N32" s="408"/>
      <c r="O32" s="412"/>
      <c r="P32" s="413"/>
      <c r="Q32" s="412"/>
      <c r="R32" s="410"/>
      <c r="S32" s="408"/>
      <c r="T32" s="439"/>
      <c r="U32" s="409"/>
      <c r="V32" s="425"/>
      <c r="W32" s="425"/>
      <c r="X32" s="408"/>
      <c r="Y32" s="408"/>
      <c r="Z32" s="408"/>
      <c r="AA32" s="410"/>
      <c r="AB32" s="425"/>
      <c r="AC32" s="408"/>
      <c r="AD32" s="412"/>
      <c r="AE32" s="413"/>
      <c r="AF32" s="413"/>
      <c r="AG32" s="413"/>
    </row>
    <row r="33" spans="1:34" hidden="1" outlineLevel="1">
      <c r="A33" s="434" t="s">
        <v>522</v>
      </c>
      <c r="B33" s="429" t="s">
        <v>521</v>
      </c>
      <c r="C33" s="408"/>
      <c r="D33" s="430" t="s">
        <v>827</v>
      </c>
      <c r="E33" s="409"/>
      <c r="F33" s="431">
        <v>344728216.17675555</v>
      </c>
      <c r="G33" s="425" t="s">
        <v>828</v>
      </c>
      <c r="H33" s="408"/>
      <c r="I33" s="408"/>
      <c r="J33" s="408"/>
      <c r="K33" s="410"/>
      <c r="L33" s="407"/>
      <c r="M33" s="408"/>
      <c r="N33" s="408"/>
      <c r="O33" s="412"/>
      <c r="P33" s="413"/>
      <c r="Q33" s="412"/>
      <c r="R33" s="410"/>
      <c r="S33" s="408"/>
      <c r="T33" s="430" t="s">
        <v>827</v>
      </c>
      <c r="U33" s="409"/>
      <c r="V33" s="631">
        <v>343262095.34682983</v>
      </c>
      <c r="W33" s="425" t="s">
        <v>828</v>
      </c>
      <c r="X33" s="408"/>
      <c r="Y33" s="408"/>
      <c r="Z33" s="408"/>
      <c r="AA33" s="410"/>
      <c r="AB33" s="424"/>
      <c r="AC33" s="408"/>
      <c r="AD33" s="412"/>
      <c r="AE33" s="413"/>
      <c r="AF33" s="413"/>
      <c r="AG33" s="413"/>
    </row>
    <row r="34" spans="1:34" hidden="1" outlineLevel="1">
      <c r="A34" s="434" t="s">
        <v>519</v>
      </c>
      <c r="B34" s="424" t="s">
        <v>518</v>
      </c>
      <c r="C34" s="408"/>
      <c r="D34" s="430" t="s">
        <v>517</v>
      </c>
      <c r="E34" s="409"/>
      <c r="F34" s="147">
        <f>IF(F33=0,0,F33/F10)</f>
        <v>6.4103276516151969E-2</v>
      </c>
      <c r="G34" s="425"/>
      <c r="H34" s="408"/>
      <c r="I34" s="408"/>
      <c r="J34" s="408"/>
      <c r="K34" s="410"/>
      <c r="L34" s="403">
        <f>F34</f>
        <v>6.4103276516151969E-2</v>
      </c>
      <c r="M34" s="408"/>
      <c r="N34" s="408"/>
      <c r="O34" s="412"/>
      <c r="P34" s="413"/>
      <c r="Q34" s="412"/>
      <c r="R34" s="410"/>
      <c r="S34" s="408"/>
      <c r="T34" s="430" t="s">
        <v>517</v>
      </c>
      <c r="U34" s="409"/>
      <c r="V34" s="147">
        <f>IF(V33=0,0,V33/V10)</f>
        <v>6.4368659532115416E-2</v>
      </c>
      <c r="W34" s="425"/>
      <c r="X34" s="408"/>
      <c r="Y34" s="408"/>
      <c r="Z34" s="408"/>
      <c r="AA34" s="410"/>
      <c r="AB34" s="403">
        <f>V34</f>
        <v>6.4368659532115416E-2</v>
      </c>
      <c r="AC34" s="408"/>
      <c r="AD34" s="412"/>
      <c r="AE34" s="413"/>
      <c r="AF34" s="413"/>
      <c r="AG34" s="413"/>
    </row>
    <row r="35" spans="1:34" hidden="1" outlineLevel="1">
      <c r="A35" s="434"/>
      <c r="B35" s="429"/>
      <c r="C35" s="408"/>
      <c r="D35" s="430"/>
      <c r="E35" s="409"/>
      <c r="F35" s="424"/>
      <c r="G35" s="425"/>
      <c r="H35" s="408"/>
      <c r="I35" s="408"/>
      <c r="J35" s="408"/>
      <c r="K35" s="410"/>
      <c r="L35" s="407"/>
      <c r="M35" s="408"/>
      <c r="N35" s="408"/>
      <c r="O35" s="412"/>
      <c r="P35" s="413"/>
      <c r="Q35" s="412"/>
      <c r="R35" s="410"/>
      <c r="S35" s="408"/>
      <c r="T35" s="430"/>
      <c r="U35" s="409"/>
      <c r="V35" s="424"/>
      <c r="W35" s="425"/>
      <c r="X35" s="408"/>
      <c r="Y35" s="408"/>
      <c r="Z35" s="408"/>
      <c r="AA35" s="410"/>
      <c r="AB35" s="424"/>
      <c r="AC35" s="408"/>
      <c r="AD35" s="412"/>
      <c r="AE35" s="413"/>
      <c r="AF35" s="413"/>
      <c r="AG35" s="413"/>
    </row>
    <row r="36" spans="1:34" ht="15.75" hidden="1" outlineLevel="1">
      <c r="A36" s="436" t="s">
        <v>516</v>
      </c>
      <c r="B36" s="437" t="s">
        <v>502</v>
      </c>
      <c r="C36" s="408"/>
      <c r="D36" s="423" t="s">
        <v>515</v>
      </c>
      <c r="E36" s="409"/>
      <c r="F36" s="438"/>
      <c r="G36" s="425"/>
      <c r="H36" s="408"/>
      <c r="I36" s="408"/>
      <c r="J36" s="408"/>
      <c r="K36" s="410"/>
      <c r="L36" s="139">
        <f>L30+L34</f>
        <v>7.7542918127145144E-2</v>
      </c>
      <c r="M36" s="408"/>
      <c r="N36" s="408"/>
      <c r="O36" s="412"/>
      <c r="P36" s="413"/>
      <c r="Q36" s="412"/>
      <c r="R36" s="410"/>
      <c r="S36" s="408"/>
      <c r="T36" s="423" t="s">
        <v>515</v>
      </c>
      <c r="U36" s="409"/>
      <c r="V36" s="438"/>
      <c r="W36" s="425"/>
      <c r="X36" s="408"/>
      <c r="Y36" s="408"/>
      <c r="Z36" s="408"/>
      <c r="AA36" s="410"/>
      <c r="AB36" s="139">
        <f>AB30+AB34</f>
        <v>7.8261985692743397E-2</v>
      </c>
      <c r="AC36" s="408"/>
      <c r="AD36" s="412"/>
      <c r="AE36" s="413"/>
      <c r="AF36" s="413"/>
      <c r="AG36" s="413"/>
    </row>
    <row r="37" spans="1:34" ht="15.75" hidden="1" outlineLevel="1">
      <c r="A37" s="414"/>
      <c r="B37" s="415"/>
      <c r="C37" s="408"/>
      <c r="D37" s="408"/>
      <c r="E37" s="409"/>
      <c r="F37" s="408"/>
      <c r="G37" s="408"/>
      <c r="H37" s="408"/>
      <c r="I37" s="408"/>
      <c r="J37" s="408"/>
      <c r="K37" s="410"/>
      <c r="L37" s="411"/>
      <c r="M37" s="408"/>
      <c r="N37" s="408"/>
      <c r="O37" s="412"/>
      <c r="P37" s="413"/>
      <c r="Q37" s="412"/>
      <c r="R37" s="410"/>
      <c r="S37" s="408"/>
      <c r="T37" s="408"/>
      <c r="U37" s="409"/>
      <c r="V37" s="408"/>
      <c r="W37" s="408"/>
      <c r="X37" s="408"/>
      <c r="Y37" s="408"/>
      <c r="Z37" s="408"/>
      <c r="AA37" s="410"/>
      <c r="AB37" s="411"/>
      <c r="AC37" s="408"/>
      <c r="AD37" s="412"/>
      <c r="AE37" s="413"/>
      <c r="AF37" s="413"/>
      <c r="AG37" s="413"/>
    </row>
    <row r="38" spans="1:34" ht="15.75" hidden="1" outlineLevel="1">
      <c r="A38" s="414"/>
      <c r="B38" s="415"/>
      <c r="C38" s="408"/>
      <c r="D38" s="408"/>
      <c r="E38" s="409"/>
      <c r="F38" s="408"/>
      <c r="G38" s="408"/>
      <c r="H38" s="408"/>
      <c r="I38" s="408"/>
      <c r="J38" s="408"/>
      <c r="K38" s="410"/>
      <c r="L38" s="411"/>
      <c r="M38" s="408"/>
      <c r="N38" s="408"/>
      <c r="O38" s="412"/>
      <c r="P38" s="413"/>
      <c r="Q38" s="412"/>
      <c r="R38" s="410"/>
      <c r="S38" s="408"/>
      <c r="T38" s="408"/>
      <c r="U38" s="409"/>
      <c r="V38" s="408"/>
      <c r="W38" s="408"/>
      <c r="X38" s="408"/>
      <c r="Y38" s="408"/>
      <c r="Z38" s="408"/>
      <c r="AA38" s="410"/>
      <c r="AB38" s="411"/>
      <c r="AC38" s="408"/>
      <c r="AD38" s="412"/>
      <c r="AE38" s="413"/>
      <c r="AF38" s="413"/>
      <c r="AG38" s="413"/>
    </row>
    <row r="39" spans="1:34" collapsed="1">
      <c r="C39" s="440"/>
      <c r="D39" s="440"/>
      <c r="E39" s="441"/>
      <c r="F39" s="440"/>
      <c r="G39" s="440"/>
      <c r="H39" s="440"/>
      <c r="I39" s="440"/>
      <c r="J39" s="440"/>
      <c r="K39" s="440"/>
      <c r="L39" s="440"/>
      <c r="M39" s="440"/>
      <c r="N39" s="440"/>
      <c r="Q39" s="398"/>
      <c r="S39" s="440"/>
      <c r="T39" s="440"/>
      <c r="U39" s="441"/>
      <c r="V39" s="440"/>
      <c r="W39" s="440"/>
      <c r="X39" s="440"/>
      <c r="Y39" s="440"/>
      <c r="Z39" s="440"/>
      <c r="AA39" s="440"/>
      <c r="AB39" s="440"/>
      <c r="AC39" s="440"/>
      <c r="AD39" s="398"/>
      <c r="AE39" s="402"/>
      <c r="AF39" s="402"/>
      <c r="AG39" s="402"/>
    </row>
    <row r="40" spans="1:34" ht="18.75">
      <c r="A40" s="397" t="s">
        <v>349</v>
      </c>
      <c r="C40" s="865" t="str">
        <f>A43&amp;" Projected Revenue Requirement Calculation"</f>
        <v>2023 Projected Revenue Requirement Calculation</v>
      </c>
      <c r="D40" s="865"/>
      <c r="E40" s="865"/>
      <c r="F40" s="865"/>
      <c r="G40" s="865"/>
      <c r="H40" s="865"/>
      <c r="I40" s="865"/>
      <c r="J40" s="865"/>
      <c r="K40" s="865"/>
      <c r="L40" s="865"/>
      <c r="M40" s="865"/>
      <c r="N40" s="865"/>
      <c r="O40" s="398"/>
      <c r="P40" s="866" t="s">
        <v>808</v>
      </c>
      <c r="Q40" s="866"/>
      <c r="S40" s="867" t="str">
        <f>+A43&amp;" Actual Revenue Requirement"</f>
        <v>2023 Actual Revenue Requirement</v>
      </c>
      <c r="T40" s="867"/>
      <c r="U40" s="867"/>
      <c r="V40" s="867"/>
      <c r="W40" s="867"/>
      <c r="X40" s="867"/>
      <c r="Y40" s="867"/>
      <c r="Z40" s="867"/>
      <c r="AA40" s="867"/>
      <c r="AB40" s="867"/>
      <c r="AC40" s="867"/>
      <c r="AD40" s="398"/>
      <c r="AE40" s="866" t="str">
        <f>A43&amp;" Annual True-up Calculation"</f>
        <v>2023 Annual True-up Calculation</v>
      </c>
      <c r="AF40" s="866"/>
      <c r="AG40" s="866"/>
    </row>
    <row r="41" spans="1:34" ht="15.75">
      <c r="A41" s="467"/>
      <c r="C41" s="467"/>
      <c r="D41" s="467"/>
      <c r="E41" s="467"/>
      <c r="F41" s="467"/>
      <c r="G41" s="467"/>
      <c r="H41" s="467"/>
      <c r="I41" s="467"/>
      <c r="J41" s="467"/>
      <c r="K41" s="467"/>
      <c r="L41" s="467"/>
      <c r="M41" s="467"/>
      <c r="N41" s="467"/>
      <c r="O41" s="398"/>
      <c r="P41" s="637">
        <v>98783047.849999994</v>
      </c>
      <c r="Q41" s="400" t="s">
        <v>852</v>
      </c>
      <c r="S41" s="468"/>
      <c r="T41" s="468"/>
      <c r="U41" s="468"/>
      <c r="V41" s="468"/>
      <c r="W41" s="468"/>
      <c r="X41" s="468"/>
      <c r="Y41" s="468"/>
      <c r="Z41" s="468"/>
      <c r="AA41" s="468"/>
      <c r="AB41" s="468"/>
      <c r="AC41" s="468"/>
      <c r="AD41" s="398"/>
      <c r="AE41" s="469"/>
      <c r="AF41" s="469"/>
      <c r="AG41" s="469"/>
    </row>
    <row r="42" spans="1:34" ht="15.75">
      <c r="A42" s="467"/>
      <c r="C42" s="467"/>
      <c r="D42" s="467"/>
      <c r="E42" s="467"/>
      <c r="F42" s="467"/>
      <c r="G42" s="467"/>
      <c r="H42" s="467"/>
      <c r="I42" s="467"/>
      <c r="J42" s="467"/>
      <c r="K42" s="467"/>
      <c r="L42" s="467"/>
      <c r="M42" s="467"/>
      <c r="N42" s="467"/>
      <c r="O42" s="398"/>
      <c r="P42" s="99">
        <f>+L97</f>
        <v>-2902638.2021791614</v>
      </c>
      <c r="Q42" s="400" t="s">
        <v>363</v>
      </c>
      <c r="S42" s="468"/>
      <c r="T42" s="468"/>
      <c r="U42" s="468"/>
      <c r="V42" s="468"/>
      <c r="W42" s="468"/>
      <c r="X42" s="468"/>
      <c r="Y42" s="468"/>
      <c r="Z42" s="468"/>
      <c r="AA42" s="468"/>
      <c r="AB42" s="468"/>
      <c r="AC42" s="468"/>
      <c r="AD42" s="398"/>
      <c r="AE42" s="469"/>
      <c r="AF42" s="403">
        <f>'GG TU Interest'!E16</f>
        <v>7.9885714285714282E-2</v>
      </c>
      <c r="AG42" s="400" t="s">
        <v>811</v>
      </c>
    </row>
    <row r="43" spans="1:34" ht="15.75">
      <c r="A43" s="399">
        <v>2023</v>
      </c>
      <c r="C43" s="442" t="str">
        <f>+A43&amp;" Annual Expense Factor "</f>
        <v xml:space="preserve">2023 Annual Expense Factor </v>
      </c>
      <c r="D43" s="301">
        <f>+L26</f>
        <v>2.5329446476640226E-2</v>
      </c>
      <c r="F43" s="442" t="str">
        <f>A43&amp;" Annual Return Factor "</f>
        <v xml:space="preserve">2023 Annual Return Factor </v>
      </c>
      <c r="G43" s="301">
        <f>+L36</f>
        <v>7.7542918127145144E-2</v>
      </c>
      <c r="H43" s="440"/>
      <c r="I43" s="440"/>
      <c r="J43" s="440"/>
      <c r="K43" s="440"/>
      <c r="L43" s="407"/>
      <c r="M43" s="407"/>
      <c r="N43" s="407"/>
      <c r="O43" s="443"/>
      <c r="P43" s="404">
        <f>+P41+P42</f>
        <v>95880409.64782083</v>
      </c>
      <c r="Q43" s="398"/>
      <c r="S43" s="442" t="s">
        <v>829</v>
      </c>
      <c r="T43" s="301">
        <f>+AB26</f>
        <v>2.5648603792416423E-2</v>
      </c>
      <c r="V43" s="442" t="s">
        <v>830</v>
      </c>
      <c r="W43" s="301">
        <f>+AB36</f>
        <v>7.8261985692743397E-2</v>
      </c>
      <c r="X43" s="440"/>
      <c r="Y43" s="440"/>
      <c r="Z43" s="440"/>
      <c r="AA43" s="440"/>
      <c r="AB43" s="407"/>
      <c r="AC43" s="400"/>
      <c r="AD43" s="400"/>
      <c r="AE43" s="400"/>
      <c r="AF43" s="99">
        <f>'GG TU Interest'!E22</f>
        <v>-597917.25</v>
      </c>
      <c r="AG43" s="400" t="s">
        <v>809</v>
      </c>
    </row>
    <row r="44" spans="1:34">
      <c r="A44" s="444" t="s">
        <v>283</v>
      </c>
      <c r="B44" s="444" t="s">
        <v>285</v>
      </c>
      <c r="C44" s="445" t="s">
        <v>831</v>
      </c>
      <c r="D44" s="444" t="s">
        <v>832</v>
      </c>
      <c r="E44" s="444" t="s">
        <v>833</v>
      </c>
      <c r="F44" s="444" t="s">
        <v>834</v>
      </c>
      <c r="G44" s="444" t="s">
        <v>835</v>
      </c>
      <c r="H44" s="444" t="s">
        <v>836</v>
      </c>
      <c r="I44" s="444" t="s">
        <v>837</v>
      </c>
      <c r="J44" s="444" t="s">
        <v>861</v>
      </c>
      <c r="K44" s="444" t="s">
        <v>287</v>
      </c>
      <c r="L44" s="444" t="s">
        <v>289</v>
      </c>
      <c r="M44" s="444" t="s">
        <v>290</v>
      </c>
      <c r="N44" s="444" t="s">
        <v>292</v>
      </c>
      <c r="O44" s="398"/>
      <c r="P44" s="446">
        <v>0</v>
      </c>
      <c r="Q44" s="447" t="s">
        <v>296</v>
      </c>
      <c r="S44" s="444" t="s">
        <v>838</v>
      </c>
      <c r="T44" s="444" t="s">
        <v>839</v>
      </c>
      <c r="U44" s="444" t="s">
        <v>840</v>
      </c>
      <c r="V44" s="444" t="s">
        <v>841</v>
      </c>
      <c r="W44" s="444" t="s">
        <v>842</v>
      </c>
      <c r="X44" s="444" t="s">
        <v>843</v>
      </c>
      <c r="Y44" s="444" t="s">
        <v>844</v>
      </c>
      <c r="Z44" s="444" t="s">
        <v>862</v>
      </c>
      <c r="AA44" s="444" t="s">
        <v>298</v>
      </c>
      <c r="AB44" s="444" t="s">
        <v>300</v>
      </c>
      <c r="AC44" s="444" t="s">
        <v>302</v>
      </c>
      <c r="AD44" s="398"/>
      <c r="AE44" s="446" t="s">
        <v>311</v>
      </c>
      <c r="AF44" s="446" t="s">
        <v>312</v>
      </c>
      <c r="AG44" s="446" t="s">
        <v>314</v>
      </c>
    </row>
    <row r="45" spans="1:34" ht="60">
      <c r="A45" s="448" t="s">
        <v>507</v>
      </c>
      <c r="B45" s="401" t="s">
        <v>508</v>
      </c>
      <c r="C45" s="449" t="s">
        <v>845</v>
      </c>
      <c r="D45" s="449" t="s">
        <v>829</v>
      </c>
      <c r="E45" s="450" t="s">
        <v>504</v>
      </c>
      <c r="F45" s="449" t="s">
        <v>503</v>
      </c>
      <c r="G45" s="449" t="s">
        <v>830</v>
      </c>
      <c r="H45" s="451" t="s">
        <v>501</v>
      </c>
      <c r="I45" s="449" t="s">
        <v>500</v>
      </c>
      <c r="J45" s="476" t="s">
        <v>499</v>
      </c>
      <c r="K45" s="452" t="s">
        <v>498</v>
      </c>
      <c r="L45" s="453" t="s">
        <v>846</v>
      </c>
      <c r="M45" s="452" t="s">
        <v>496</v>
      </c>
      <c r="N45" s="452" t="s">
        <v>847</v>
      </c>
      <c r="O45" s="454"/>
      <c r="P45" s="452" t="s">
        <v>848</v>
      </c>
      <c r="Q45" s="452" t="s">
        <v>810</v>
      </c>
      <c r="R45" s="455"/>
      <c r="S45" s="456" t="s">
        <v>849</v>
      </c>
      <c r="T45" s="449" t="s">
        <v>829</v>
      </c>
      <c r="U45" s="450" t="s">
        <v>504</v>
      </c>
      <c r="V45" s="449" t="s">
        <v>503</v>
      </c>
      <c r="W45" s="449" t="s">
        <v>830</v>
      </c>
      <c r="X45" s="451" t="s">
        <v>501</v>
      </c>
      <c r="Y45" s="449" t="s">
        <v>500</v>
      </c>
      <c r="Z45" s="476" t="s">
        <v>499</v>
      </c>
      <c r="AA45" s="452" t="s">
        <v>498</v>
      </c>
      <c r="AB45" s="453" t="s">
        <v>846</v>
      </c>
      <c r="AC45" s="452" t="s">
        <v>496</v>
      </c>
      <c r="AD45" s="454"/>
      <c r="AE45" s="452" t="s">
        <v>850</v>
      </c>
      <c r="AF45" s="452" t="s">
        <v>851</v>
      </c>
      <c r="AG45" s="452" t="str">
        <f>"Total "&amp;A43&amp;" True-up"</f>
        <v>Total 2023 True-up</v>
      </c>
      <c r="AH45" s="455"/>
    </row>
    <row r="46" spans="1:34">
      <c r="A46" s="457"/>
      <c r="B46" s="613"/>
      <c r="C46" s="440"/>
      <c r="D46" s="440"/>
      <c r="E46" s="458"/>
      <c r="F46" s="440"/>
      <c r="G46" s="440"/>
      <c r="H46" s="459"/>
      <c r="I46" s="440"/>
      <c r="J46" s="459"/>
      <c r="K46" s="459"/>
      <c r="L46" s="407"/>
      <c r="M46" s="460"/>
      <c r="N46" s="460"/>
      <c r="O46" s="398"/>
      <c r="P46" s="460"/>
      <c r="Q46" s="460"/>
      <c r="S46" s="461"/>
      <c r="T46" s="440"/>
      <c r="U46" s="458"/>
      <c r="V46" s="440"/>
      <c r="W46" s="440"/>
      <c r="X46" s="459"/>
      <c r="Y46" s="440"/>
      <c r="Z46" s="459"/>
      <c r="AA46" s="459"/>
      <c r="AB46" s="407"/>
      <c r="AC46" s="460"/>
      <c r="AD46" s="398"/>
      <c r="AE46" s="460"/>
      <c r="AF46" s="460"/>
      <c r="AG46" s="460"/>
    </row>
    <row r="47" spans="1:34">
      <c r="A47" s="614">
        <v>345</v>
      </c>
      <c r="B47" s="474" t="s">
        <v>964</v>
      </c>
      <c r="C47" s="618">
        <v>141526081.43000001</v>
      </c>
      <c r="D47" s="622">
        <f>D$43</f>
        <v>2.5329446476640226E-2</v>
      </c>
      <c r="E47" s="629">
        <f t="shared" ref="E47:E69" si="0">C47*D47</f>
        <v>3584777.3046298116</v>
      </c>
      <c r="F47" s="618">
        <v>96102238.260000005</v>
      </c>
      <c r="G47" s="622">
        <f>G$43</f>
        <v>7.7542918127145144E-2</v>
      </c>
      <c r="H47" s="617">
        <f t="shared" ref="H47:H69" si="1">F47*G47</f>
        <v>7452047.9932305757</v>
      </c>
      <c r="I47" s="618">
        <v>3311710.31</v>
      </c>
      <c r="J47" s="618">
        <v>0</v>
      </c>
      <c r="K47" s="617">
        <f t="shared" ref="K47:K69" si="2">E47+H47+I47+J47</f>
        <v>14348535.607860388</v>
      </c>
      <c r="L47" s="618">
        <v>-517643.87402920111</v>
      </c>
      <c r="M47" s="619">
        <f t="shared" ref="M47:M69" si="3">K47+L47</f>
        <v>13830891.733831188</v>
      </c>
      <c r="N47" s="620">
        <f t="shared" ref="N47:N90" si="4">+K47/$K$97</f>
        <v>0.15075285253252252</v>
      </c>
      <c r="O47" s="621"/>
      <c r="P47" s="619">
        <f>+$P$41*N47</f>
        <v>14891826.245244164</v>
      </c>
      <c r="Q47" s="620">
        <f t="shared" ref="Q47:Q90" si="5">+P47/P$97</f>
        <v>0.15075285253252255</v>
      </c>
      <c r="R47" s="621"/>
      <c r="S47" s="632">
        <v>141508902.95538464</v>
      </c>
      <c r="T47" s="622">
        <f>T$43</f>
        <v>2.5648603792416423E-2</v>
      </c>
      <c r="U47" s="623">
        <f t="shared" ref="U47:U69" si="6">S47*T47</f>
        <v>3629505.7850021659</v>
      </c>
      <c r="V47" s="632">
        <v>96101238.323076889</v>
      </c>
      <c r="W47" s="622">
        <f>W$43</f>
        <v>7.8261985692743397E-2</v>
      </c>
      <c r="X47" s="617">
        <f t="shared" ref="X47:X69" si="7">V47*W47</f>
        <v>7521073.7386955665</v>
      </c>
      <c r="Y47" s="632">
        <v>3315234.3599999994</v>
      </c>
      <c r="Z47" s="632">
        <v>0</v>
      </c>
      <c r="AA47" s="617">
        <f t="shared" ref="AA47:AA69" si="8">U47+X47+Y47+Z47</f>
        <v>14465813.883697731</v>
      </c>
      <c r="AB47" s="624">
        <f>L47</f>
        <v>-517643.87402920111</v>
      </c>
      <c r="AC47" s="619">
        <f t="shared" ref="AC47:AC69" si="9">AA47+AB47</f>
        <v>13948170.009668531</v>
      </c>
      <c r="AD47" s="621"/>
      <c r="AE47" s="619">
        <f>+AA47-P47</f>
        <v>-426012.3615464326</v>
      </c>
      <c r="AF47" s="619">
        <f t="shared" ref="AF47:AF94" si="10">(AE47/$AE$97)*$AF$43</f>
        <v>-73017.176621656705</v>
      </c>
      <c r="AG47" s="619">
        <f t="shared" ref="AG47:AG69" si="11">+AE47+AF47</f>
        <v>-499029.53816808929</v>
      </c>
    </row>
    <row r="48" spans="1:34">
      <c r="A48" s="614">
        <v>1453</v>
      </c>
      <c r="B48" s="474" t="s">
        <v>965</v>
      </c>
      <c r="C48" s="618">
        <v>8744623.3699999992</v>
      </c>
      <c r="D48" s="622">
        <f t="shared" ref="D48:D94" si="12">D$43</f>
        <v>2.5329446476640226E-2</v>
      </c>
      <c r="E48" s="629">
        <f t="shared" si="0"/>
        <v>221496.46960879225</v>
      </c>
      <c r="F48" s="618">
        <v>5031739.96</v>
      </c>
      <c r="G48" s="622">
        <f t="shared" ref="G48:G94" si="13">G$43</f>
        <v>7.7542918127145144E-2</v>
      </c>
      <c r="H48" s="617">
        <f t="shared" si="1"/>
        <v>390175.7997553646</v>
      </c>
      <c r="I48" s="618">
        <v>255343</v>
      </c>
      <c r="J48" s="618">
        <v>0</v>
      </c>
      <c r="K48" s="617">
        <f t="shared" si="2"/>
        <v>867015.26936415688</v>
      </c>
      <c r="L48" s="618">
        <v>-19121.245867894926</v>
      </c>
      <c r="M48" s="619">
        <f t="shared" si="3"/>
        <v>847894.02349626191</v>
      </c>
      <c r="N48" s="620">
        <f t="shared" si="4"/>
        <v>9.1092937020205364E-3</v>
      </c>
      <c r="O48" s="621"/>
      <c r="P48" s="619">
        <f t="shared" ref="P48:P90" si="14">+$P$41*N48</f>
        <v>899843.79564639821</v>
      </c>
      <c r="Q48" s="620">
        <f t="shared" si="5"/>
        <v>9.1092937020205381E-3</v>
      </c>
      <c r="R48" s="621"/>
      <c r="S48" s="632">
        <v>8744623.3700000029</v>
      </c>
      <c r="T48" s="622">
        <f t="shared" ref="T48:T94" si="15">T$43</f>
        <v>2.5648603792416423E-2</v>
      </c>
      <c r="U48" s="623">
        <f t="shared" si="6"/>
        <v>224287.38013103534</v>
      </c>
      <c r="V48" s="632">
        <v>5031516.2369999923</v>
      </c>
      <c r="W48" s="622">
        <f t="shared" ref="W48:W94" si="16">W$43</f>
        <v>7.8261985692743397E-2</v>
      </c>
      <c r="X48" s="617">
        <f t="shared" si="7"/>
        <v>393776.45175289951</v>
      </c>
      <c r="Y48" s="632">
        <v>255566.7600000001</v>
      </c>
      <c r="Z48" s="632">
        <v>0</v>
      </c>
      <c r="AA48" s="617">
        <f t="shared" si="8"/>
        <v>873630.59188393492</v>
      </c>
      <c r="AB48" s="624">
        <f t="shared" ref="AB48:AB69" si="17">L48</f>
        <v>-19121.245867894926</v>
      </c>
      <c r="AC48" s="619">
        <f t="shared" si="9"/>
        <v>854509.34601603996</v>
      </c>
      <c r="AD48" s="621"/>
      <c r="AE48" s="619">
        <f t="shared" ref="AE48:AE90" si="18">+AA48-P48</f>
        <v>-26213.203762463294</v>
      </c>
      <c r="AF48" s="619">
        <f t="shared" si="10"/>
        <v>-4492.8605404673053</v>
      </c>
      <c r="AG48" s="619">
        <f t="shared" si="11"/>
        <v>-30706.064302930601</v>
      </c>
    </row>
    <row r="49" spans="1:33">
      <c r="A49" s="614">
        <v>352</v>
      </c>
      <c r="B49" s="474" t="s">
        <v>966</v>
      </c>
      <c r="C49" s="618">
        <v>88185651.480000004</v>
      </c>
      <c r="D49" s="622">
        <f t="shared" si="12"/>
        <v>2.5329446476640226E-2</v>
      </c>
      <c r="E49" s="629">
        <f t="shared" si="0"/>
        <v>2233693.7391703092</v>
      </c>
      <c r="F49" s="618">
        <v>56813274.700000003</v>
      </c>
      <c r="G49" s="622">
        <f t="shared" si="13"/>
        <v>7.7542918127145144E-2</v>
      </c>
      <c r="H49" s="617">
        <f t="shared" si="1"/>
        <v>4405467.1085971072</v>
      </c>
      <c r="I49" s="618">
        <v>2065047.37</v>
      </c>
      <c r="J49" s="618">
        <v>0</v>
      </c>
      <c r="K49" s="617">
        <f t="shared" si="2"/>
        <v>8704208.2177674174</v>
      </c>
      <c r="L49" s="618">
        <v>-334937.54474754614</v>
      </c>
      <c r="M49" s="619">
        <f t="shared" si="3"/>
        <v>8369270.6730198711</v>
      </c>
      <c r="N49" s="620">
        <f t="shared" si="4"/>
        <v>9.1450741297015969E-2</v>
      </c>
      <c r="O49" s="621"/>
      <c r="P49" s="619">
        <f t="shared" si="14"/>
        <v>9033782.9534610994</v>
      </c>
      <c r="Q49" s="620">
        <f t="shared" si="5"/>
        <v>9.1450741297015997E-2</v>
      </c>
      <c r="R49" s="621"/>
      <c r="S49" s="632">
        <v>88185651.480000004</v>
      </c>
      <c r="T49" s="622">
        <f t="shared" si="15"/>
        <v>2.5648603792416423E-2</v>
      </c>
      <c r="U49" s="623">
        <f t="shared" si="6"/>
        <v>2261838.8349866411</v>
      </c>
      <c r="V49" s="632">
        <v>56813274.819999903</v>
      </c>
      <c r="W49" s="622">
        <f t="shared" si="16"/>
        <v>7.8261985692743397E-2</v>
      </c>
      <c r="X49" s="617">
        <f t="shared" si="7"/>
        <v>4446319.7011207314</v>
      </c>
      <c r="Y49" s="632">
        <v>2065047.12</v>
      </c>
      <c r="Z49" s="632">
        <v>0</v>
      </c>
      <c r="AA49" s="617">
        <f t="shared" si="8"/>
        <v>8773205.6561073735</v>
      </c>
      <c r="AB49" s="624">
        <f t="shared" si="17"/>
        <v>-334937.54474754614</v>
      </c>
      <c r="AC49" s="619">
        <f t="shared" si="9"/>
        <v>8438268.1113598272</v>
      </c>
      <c r="AD49" s="621"/>
      <c r="AE49" s="619">
        <f t="shared" si="18"/>
        <v>-260577.29735372588</v>
      </c>
      <c r="AF49" s="619">
        <f t="shared" si="10"/>
        <v>-44662.12782043223</v>
      </c>
      <c r="AG49" s="619">
        <f t="shared" si="11"/>
        <v>-305239.42517415812</v>
      </c>
    </row>
    <row r="50" spans="1:33">
      <c r="A50" s="614">
        <v>356</v>
      </c>
      <c r="B50" s="474" t="s">
        <v>972</v>
      </c>
      <c r="C50" s="618">
        <v>141078048.40000001</v>
      </c>
      <c r="D50" s="622">
        <f t="shared" si="12"/>
        <v>2.5329446476640226E-2</v>
      </c>
      <c r="E50" s="629">
        <f t="shared" si="0"/>
        <v>3573428.8759766594</v>
      </c>
      <c r="F50" s="618">
        <v>106604646.81999999</v>
      </c>
      <c r="G50" s="622">
        <f t="shared" si="13"/>
        <v>7.7542918127145144E-2</v>
      </c>
      <c r="H50" s="617">
        <f t="shared" si="1"/>
        <v>8266435.4003364835</v>
      </c>
      <c r="I50" s="618">
        <v>3117824.87</v>
      </c>
      <c r="J50" s="618">
        <v>0</v>
      </c>
      <c r="K50" s="617">
        <f t="shared" si="2"/>
        <v>14957689.146313142</v>
      </c>
      <c r="L50" s="618">
        <v>-471870.49693266943</v>
      </c>
      <c r="M50" s="619">
        <f t="shared" si="3"/>
        <v>14485818.649380473</v>
      </c>
      <c r="N50" s="620">
        <f t="shared" si="4"/>
        <v>0.15715292262063138</v>
      </c>
      <c r="O50" s="621"/>
      <c r="P50" s="619">
        <f t="shared" si="14"/>
        <v>15524044.675001176</v>
      </c>
      <c r="Q50" s="620">
        <f t="shared" si="5"/>
        <v>0.15715292262063144</v>
      </c>
      <c r="R50" s="621"/>
      <c r="S50" s="632">
        <v>140912381.59</v>
      </c>
      <c r="T50" s="622">
        <f t="shared" si="15"/>
        <v>2.5648603792416423E-2</v>
      </c>
      <c r="U50" s="623">
        <f t="shared" si="6"/>
        <v>3614205.8448477043</v>
      </c>
      <c r="V50" s="632">
        <v>106608689.86384629</v>
      </c>
      <c r="W50" s="622">
        <f t="shared" si="16"/>
        <v>7.8261985692743397E-2</v>
      </c>
      <c r="X50" s="617">
        <f t="shared" si="7"/>
        <v>8343407.7608464565</v>
      </c>
      <c r="Y50" s="632">
        <v>3116527.85</v>
      </c>
      <c r="Z50" s="632">
        <v>0</v>
      </c>
      <c r="AA50" s="617">
        <f t="shared" si="8"/>
        <v>15074141.455694159</v>
      </c>
      <c r="AB50" s="624">
        <f t="shared" si="17"/>
        <v>-471870.49693266943</v>
      </c>
      <c r="AC50" s="619">
        <f t="shared" si="9"/>
        <v>14602270.958761491</v>
      </c>
      <c r="AD50" s="621"/>
      <c r="AE50" s="619">
        <f t="shared" si="18"/>
        <v>-449903.21930701658</v>
      </c>
      <c r="AF50" s="619">
        <f t="shared" si="10"/>
        <v>-77111.994373928203</v>
      </c>
      <c r="AG50" s="619">
        <f t="shared" si="11"/>
        <v>-527015.21368094475</v>
      </c>
    </row>
    <row r="51" spans="1:33">
      <c r="A51" s="614">
        <v>1616</v>
      </c>
      <c r="B51" s="474" t="s">
        <v>973</v>
      </c>
      <c r="C51" s="618">
        <v>1251078.57</v>
      </c>
      <c r="D51" s="622">
        <f t="shared" si="12"/>
        <v>2.5329446476640226E-2</v>
      </c>
      <c r="E51" s="629">
        <f t="shared" si="0"/>
        <v>31689.127676886594</v>
      </c>
      <c r="F51" s="618">
        <v>958792.69</v>
      </c>
      <c r="G51" s="622">
        <f t="shared" si="13"/>
        <v>7.7542918127145144E-2</v>
      </c>
      <c r="H51" s="617">
        <f t="shared" si="1"/>
        <v>74347.583061575249</v>
      </c>
      <c r="I51" s="618">
        <v>32402.93</v>
      </c>
      <c r="J51" s="618">
        <v>0</v>
      </c>
      <c r="K51" s="617">
        <f t="shared" si="2"/>
        <v>138439.64073846184</v>
      </c>
      <c r="L51" s="618">
        <v>-5062.7536852392295</v>
      </c>
      <c r="M51" s="619">
        <f t="shared" si="3"/>
        <v>133376.8870532226</v>
      </c>
      <c r="N51" s="620">
        <f t="shared" si="4"/>
        <v>1.4545157300559421E-3</v>
      </c>
      <c r="O51" s="621"/>
      <c r="P51" s="619">
        <f t="shared" si="14"/>
        <v>143681.4969606938</v>
      </c>
      <c r="Q51" s="620">
        <f t="shared" si="5"/>
        <v>1.4545157300559425E-3</v>
      </c>
      <c r="R51" s="621"/>
      <c r="S51" s="632">
        <v>1250499.0507692308</v>
      </c>
      <c r="T51" s="622">
        <f t="shared" si="15"/>
        <v>2.5648603792416423E-2</v>
      </c>
      <c r="U51" s="623">
        <f t="shared" si="6"/>
        <v>32073.554695972831</v>
      </c>
      <c r="V51" s="632">
        <v>958749.57230769389</v>
      </c>
      <c r="W51" s="622">
        <f t="shared" si="16"/>
        <v>7.8261985692743397E-2</v>
      </c>
      <c r="X51" s="617">
        <f t="shared" si="7"/>
        <v>75033.645310868596</v>
      </c>
      <c r="Y51" s="632">
        <v>32435.100000000002</v>
      </c>
      <c r="Z51" s="632">
        <v>0</v>
      </c>
      <c r="AA51" s="617">
        <f t="shared" si="8"/>
        <v>139542.30000684143</v>
      </c>
      <c r="AB51" s="624">
        <f t="shared" si="17"/>
        <v>-5062.7536852392295</v>
      </c>
      <c r="AC51" s="619">
        <f t="shared" si="9"/>
        <v>134479.54632160219</v>
      </c>
      <c r="AD51" s="621"/>
      <c r="AE51" s="619">
        <f t="shared" si="18"/>
        <v>-4139.1969538523699</v>
      </c>
      <c r="AF51" s="619">
        <f t="shared" si="10"/>
        <v>-709.44531739443551</v>
      </c>
      <c r="AG51" s="619">
        <f t="shared" si="11"/>
        <v>-4848.6422712468056</v>
      </c>
    </row>
    <row r="52" spans="1:33">
      <c r="A52" s="614" t="s">
        <v>988</v>
      </c>
      <c r="B52" s="474" t="s">
        <v>974</v>
      </c>
      <c r="C52" s="618">
        <v>1964606.76</v>
      </c>
      <c r="D52" s="622">
        <f t="shared" si="12"/>
        <v>2.5329446476640226E-2</v>
      </c>
      <c r="E52" s="629">
        <f t="shared" si="0"/>
        <v>49762.401775065569</v>
      </c>
      <c r="F52" s="618">
        <v>1609676.8</v>
      </c>
      <c r="G52" s="622">
        <f t="shared" si="13"/>
        <v>7.7542918127145144E-2</v>
      </c>
      <c r="H52" s="617">
        <f t="shared" si="1"/>
        <v>124819.036313565</v>
      </c>
      <c r="I52" s="618">
        <v>53633.760000000002</v>
      </c>
      <c r="J52" s="618">
        <v>0</v>
      </c>
      <c r="K52" s="617">
        <f t="shared" si="2"/>
        <v>228215.19808863057</v>
      </c>
      <c r="L52" s="618">
        <v>-16486.092904992292</v>
      </c>
      <c r="M52" s="619">
        <f t="shared" si="3"/>
        <v>211729.10518363828</v>
      </c>
      <c r="N52" s="620">
        <f t="shared" si="4"/>
        <v>2.3977423929093192E-3</v>
      </c>
      <c r="O52" s="621"/>
      <c r="P52" s="619">
        <f t="shared" si="14"/>
        <v>236856.30153073478</v>
      </c>
      <c r="Q52" s="620">
        <f t="shared" si="5"/>
        <v>2.3977423929093201E-3</v>
      </c>
      <c r="R52" s="621"/>
      <c r="S52" s="632">
        <v>1964606.7600000005</v>
      </c>
      <c r="T52" s="622">
        <f t="shared" si="15"/>
        <v>2.5648603792416423E-2</v>
      </c>
      <c r="U52" s="623">
        <f t="shared" si="6"/>
        <v>50389.420395142952</v>
      </c>
      <c r="V52" s="632">
        <v>1609769.8950000005</v>
      </c>
      <c r="W52" s="622">
        <f t="shared" si="16"/>
        <v>7.8261985692743397E-2</v>
      </c>
      <c r="X52" s="617">
        <f t="shared" si="7"/>
        <v>125983.78849109908</v>
      </c>
      <c r="Y52" s="632">
        <v>53540.640000000007</v>
      </c>
      <c r="Z52" s="632">
        <v>0</v>
      </c>
      <c r="AA52" s="617">
        <f t="shared" si="8"/>
        <v>229913.84888624205</v>
      </c>
      <c r="AB52" s="624">
        <f t="shared" si="17"/>
        <v>-16486.092904992292</v>
      </c>
      <c r="AC52" s="619">
        <f t="shared" si="9"/>
        <v>213427.75598124976</v>
      </c>
      <c r="AD52" s="621"/>
      <c r="AE52" s="619">
        <f t="shared" si="18"/>
        <v>-6942.4526444927324</v>
      </c>
      <c r="AF52" s="619">
        <f t="shared" si="10"/>
        <v>-1189.9145111430357</v>
      </c>
      <c r="AG52" s="619">
        <f t="shared" si="11"/>
        <v>-8132.3671556357676</v>
      </c>
    </row>
    <row r="53" spans="1:33">
      <c r="A53" s="614">
        <v>2793</v>
      </c>
      <c r="B53" s="474" t="s">
        <v>976</v>
      </c>
      <c r="C53" s="618">
        <v>8871.1299999999992</v>
      </c>
      <c r="D53" s="622">
        <f t="shared" si="12"/>
        <v>2.5329446476640226E-2</v>
      </c>
      <c r="E53" s="629">
        <f>C53*D53</f>
        <v>224.70081252231739</v>
      </c>
      <c r="F53" s="618">
        <v>367216.02</v>
      </c>
      <c r="G53" s="622">
        <f t="shared" si="13"/>
        <v>7.7542918127145144E-2</v>
      </c>
      <c r="H53" s="617">
        <f>F53*G53</f>
        <v>28475.001773836095</v>
      </c>
      <c r="I53" s="618">
        <v>449.77</v>
      </c>
      <c r="J53" s="618">
        <v>0</v>
      </c>
      <c r="K53" s="617">
        <f>E53+H53+I53+J53</f>
        <v>29149.472586358414</v>
      </c>
      <c r="L53" s="618">
        <v>-475.98853556200157</v>
      </c>
      <c r="M53" s="619">
        <f>K53+L53</f>
        <v>28673.484050796411</v>
      </c>
      <c r="N53" s="620">
        <f t="shared" si="4"/>
        <v>3.0625885890437379E-4</v>
      </c>
      <c r="O53" s="621"/>
      <c r="P53" s="619">
        <f>+$P$41*N53</f>
        <v>30253.183513637152</v>
      </c>
      <c r="Q53" s="620">
        <f t="shared" si="5"/>
        <v>3.0625885890437385E-4</v>
      </c>
      <c r="R53" s="621"/>
      <c r="S53" s="632">
        <v>8871.130000000001</v>
      </c>
      <c r="T53" s="622">
        <f t="shared" si="15"/>
        <v>2.5648603792416423E-2</v>
      </c>
      <c r="U53" s="623">
        <f>S53*T53</f>
        <v>227.53209856101913</v>
      </c>
      <c r="V53" s="632">
        <v>367218.69266266725</v>
      </c>
      <c r="W53" s="622">
        <f t="shared" si="16"/>
        <v>7.8261985692743397E-2</v>
      </c>
      <c r="X53" s="617">
        <f>V53*W53</f>
        <v>28739.264071273599</v>
      </c>
      <c r="Y53" s="632">
        <v>447.06</v>
      </c>
      <c r="Z53" s="632">
        <v>0</v>
      </c>
      <c r="AA53" s="617">
        <f>U53+X53+Y53+Z53</f>
        <v>29413.85616983462</v>
      </c>
      <c r="AB53" s="624">
        <f>L53</f>
        <v>-475.98853556200157</v>
      </c>
      <c r="AC53" s="619">
        <f>AA53+AB53</f>
        <v>28937.867634272618</v>
      </c>
      <c r="AD53" s="621"/>
      <c r="AE53" s="619">
        <f>+AA53-P53</f>
        <v>-839.32734380253169</v>
      </c>
      <c r="AF53" s="619">
        <f t="shared" si="10"/>
        <v>-143.85806243590829</v>
      </c>
      <c r="AG53" s="619">
        <f>+AE53+AF53</f>
        <v>-983.18540623844001</v>
      </c>
    </row>
    <row r="54" spans="1:33">
      <c r="A54" s="614">
        <v>2837</v>
      </c>
      <c r="B54" s="474" t="s">
        <v>975</v>
      </c>
      <c r="C54" s="618">
        <v>520817.72</v>
      </c>
      <c r="D54" s="622">
        <f t="shared" si="12"/>
        <v>2.5329446476640226E-2</v>
      </c>
      <c r="E54" s="629">
        <f t="shared" si="0"/>
        <v>13192.024562825794</v>
      </c>
      <c r="F54" s="618">
        <v>437825.08</v>
      </c>
      <c r="G54" s="622">
        <f t="shared" si="13"/>
        <v>7.7542918127145144E-2</v>
      </c>
      <c r="H54" s="617">
        <f t="shared" si="1"/>
        <v>33950.234332450775</v>
      </c>
      <c r="I54" s="618">
        <v>14634.98</v>
      </c>
      <c r="J54" s="618">
        <v>0</v>
      </c>
      <c r="K54" s="617">
        <f t="shared" si="2"/>
        <v>61777.238895276561</v>
      </c>
      <c r="L54" s="618">
        <v>-2368.9968221797772</v>
      </c>
      <c r="M54" s="619">
        <f t="shared" si="3"/>
        <v>59408.242073096786</v>
      </c>
      <c r="N54" s="620">
        <f t="shared" si="4"/>
        <v>6.4906240187633923E-4</v>
      </c>
      <c r="O54" s="621"/>
      <c r="P54" s="619">
        <f t="shared" si="14"/>
        <v>64116.362302186346</v>
      </c>
      <c r="Q54" s="620">
        <f t="shared" si="5"/>
        <v>6.4906240187633944E-4</v>
      </c>
      <c r="R54" s="621"/>
      <c r="S54" s="632">
        <v>520817.72</v>
      </c>
      <c r="T54" s="622">
        <f t="shared" si="15"/>
        <v>2.5648603792416423E-2</v>
      </c>
      <c r="U54" s="623">
        <f t="shared" si="6"/>
        <v>13358.247348349674</v>
      </c>
      <c r="V54" s="632">
        <v>438788.48153846152</v>
      </c>
      <c r="W54" s="622">
        <f t="shared" si="16"/>
        <v>7.8261985692743397E-2</v>
      </c>
      <c r="X54" s="617">
        <f t="shared" si="7"/>
        <v>34340.457864303673</v>
      </c>
      <c r="Y54" s="632">
        <v>14621.88</v>
      </c>
      <c r="Z54" s="632">
        <v>0</v>
      </c>
      <c r="AA54" s="617">
        <f t="shared" si="8"/>
        <v>62320.585212653343</v>
      </c>
      <c r="AB54" s="624">
        <f t="shared" si="17"/>
        <v>-2368.9968221797772</v>
      </c>
      <c r="AC54" s="619">
        <f t="shared" si="9"/>
        <v>59951.588390473567</v>
      </c>
      <c r="AD54" s="621"/>
      <c r="AE54" s="619">
        <f t="shared" si="18"/>
        <v>-1795.7770895330032</v>
      </c>
      <c r="AF54" s="619">
        <f t="shared" si="10"/>
        <v>-307.7905355693872</v>
      </c>
      <c r="AG54" s="619">
        <f t="shared" si="11"/>
        <v>-2103.5676251023906</v>
      </c>
    </row>
    <row r="55" spans="1:33">
      <c r="A55" s="614">
        <v>1950</v>
      </c>
      <c r="B55" s="474" t="s">
        <v>977</v>
      </c>
      <c r="C55" s="618">
        <v>14868228.42</v>
      </c>
      <c r="D55" s="622">
        <f t="shared" si="12"/>
        <v>2.5329446476640226E-2</v>
      </c>
      <c r="E55" s="629">
        <f t="shared" si="0"/>
        <v>376603.99596685107</v>
      </c>
      <c r="F55" s="618">
        <v>10116681.43</v>
      </c>
      <c r="G55" s="622">
        <f t="shared" si="13"/>
        <v>7.7542918127145144E-2</v>
      </c>
      <c r="H55" s="617">
        <f t="shared" si="1"/>
        <v>784476.99984489963</v>
      </c>
      <c r="I55" s="618">
        <v>419284.04</v>
      </c>
      <c r="J55" s="618">
        <v>0</v>
      </c>
      <c r="K55" s="617">
        <f t="shared" si="2"/>
        <v>1580365.0358117507</v>
      </c>
      <c r="L55" s="618">
        <v>-69772.305212135048</v>
      </c>
      <c r="M55" s="619">
        <f t="shared" si="3"/>
        <v>1510592.7305996157</v>
      </c>
      <c r="N55" s="620">
        <f t="shared" si="4"/>
        <v>1.6604101192094392E-2</v>
      </c>
      <c r="O55" s="621"/>
      <c r="P55" s="619">
        <f t="shared" si="14"/>
        <v>1640203.7225649024</v>
      </c>
      <c r="Q55" s="620">
        <f t="shared" si="5"/>
        <v>1.6604101192094399E-2</v>
      </c>
      <c r="R55" s="621"/>
      <c r="S55" s="632">
        <v>14490589.03846154</v>
      </c>
      <c r="T55" s="622">
        <f t="shared" si="15"/>
        <v>2.5648603792416423E-2</v>
      </c>
      <c r="U55" s="623">
        <f t="shared" si="6"/>
        <v>371663.37696623249</v>
      </c>
      <c r="V55" s="632">
        <v>10167298.229230769</v>
      </c>
      <c r="W55" s="622">
        <f t="shared" si="16"/>
        <v>7.8261985692743397E-2</v>
      </c>
      <c r="X55" s="617">
        <f t="shared" si="7"/>
        <v>795712.94854991371</v>
      </c>
      <c r="Y55" s="632">
        <v>408615.54000000004</v>
      </c>
      <c r="Z55" s="632">
        <v>0</v>
      </c>
      <c r="AA55" s="617">
        <f t="shared" si="8"/>
        <v>1575991.8655161462</v>
      </c>
      <c r="AB55" s="624">
        <f t="shared" si="17"/>
        <v>-69772.305212135048</v>
      </c>
      <c r="AC55" s="619">
        <f t="shared" si="9"/>
        <v>1506219.5603040112</v>
      </c>
      <c r="AD55" s="621"/>
      <c r="AE55" s="619">
        <f t="shared" si="18"/>
        <v>-64211.85704875621</v>
      </c>
      <c r="AF55" s="619">
        <f t="shared" si="10"/>
        <v>-11005.709999385968</v>
      </c>
      <c r="AG55" s="619">
        <f t="shared" si="11"/>
        <v>-75217.567048142184</v>
      </c>
    </row>
    <row r="56" spans="1:33">
      <c r="A56" s="614">
        <v>2846</v>
      </c>
      <c r="B56" s="474" t="s">
        <v>979</v>
      </c>
      <c r="C56" s="618">
        <v>120519367.12</v>
      </c>
      <c r="D56" s="622">
        <f t="shared" si="12"/>
        <v>2.5329446476640226E-2</v>
      </c>
      <c r="E56" s="629">
        <f t="shared" si="0"/>
        <v>3052688.8588645938</v>
      </c>
      <c r="F56" s="618">
        <v>84364620.069999993</v>
      </c>
      <c r="G56" s="622">
        <f t="shared" si="13"/>
        <v>7.7542918127145144E-2</v>
      </c>
      <c r="H56" s="617">
        <f t="shared" si="1"/>
        <v>6541878.8269157158</v>
      </c>
      <c r="I56" s="618">
        <v>4302541.41</v>
      </c>
      <c r="J56" s="618">
        <v>0</v>
      </c>
      <c r="K56" s="617">
        <f t="shared" si="2"/>
        <v>13897109.095780309</v>
      </c>
      <c r="L56" s="618">
        <v>-379491.33153737377</v>
      </c>
      <c r="M56" s="619">
        <f t="shared" si="3"/>
        <v>13517617.764242936</v>
      </c>
      <c r="N56" s="620">
        <f t="shared" si="4"/>
        <v>0.14600994104212639</v>
      </c>
      <c r="O56" s="621"/>
      <c r="P56" s="619">
        <f t="shared" si="14"/>
        <v>14423306.992540048</v>
      </c>
      <c r="Q56" s="620">
        <f t="shared" si="5"/>
        <v>0.14600994104212642</v>
      </c>
      <c r="R56" s="621"/>
      <c r="S56" s="632">
        <v>120341513.01692308</v>
      </c>
      <c r="T56" s="622">
        <f t="shared" si="15"/>
        <v>2.5648603792416423E-2</v>
      </c>
      <c r="U56" s="623">
        <f t="shared" si="6"/>
        <v>3086591.7871509837</v>
      </c>
      <c r="V56" s="632">
        <v>84368947.550769225</v>
      </c>
      <c r="W56" s="622">
        <f t="shared" si="16"/>
        <v>7.8261985692743397E-2</v>
      </c>
      <c r="X56" s="617">
        <f t="shared" si="7"/>
        <v>6602881.3661301192</v>
      </c>
      <c r="Y56" s="632">
        <v>4297007.01</v>
      </c>
      <c r="Z56" s="632">
        <v>0</v>
      </c>
      <c r="AA56" s="617">
        <f t="shared" si="8"/>
        <v>13986480.163281104</v>
      </c>
      <c r="AB56" s="624">
        <f t="shared" si="17"/>
        <v>-379491.33153737377</v>
      </c>
      <c r="AC56" s="619">
        <f t="shared" si="9"/>
        <v>13606988.83174373</v>
      </c>
      <c r="AD56" s="621"/>
      <c r="AE56" s="619">
        <f t="shared" si="18"/>
        <v>-436826.82925894484</v>
      </c>
      <c r="AF56" s="619">
        <f t="shared" si="10"/>
        <v>-74870.742316716103</v>
      </c>
      <c r="AG56" s="619">
        <f t="shared" si="11"/>
        <v>-511697.57157566096</v>
      </c>
    </row>
    <row r="57" spans="1:33">
      <c r="A57" s="614">
        <v>3206</v>
      </c>
      <c r="B57" s="474" t="s">
        <v>978</v>
      </c>
      <c r="C57" s="618">
        <v>26117242.07</v>
      </c>
      <c r="D57" s="622">
        <f t="shared" si="12"/>
        <v>2.5329446476640226E-2</v>
      </c>
      <c r="E57" s="629">
        <f t="shared" si="0"/>
        <v>661535.28512952139</v>
      </c>
      <c r="F57" s="618">
        <v>22433176.239999998</v>
      </c>
      <c r="G57" s="622">
        <f t="shared" si="13"/>
        <v>7.7542918127145144E-2</v>
      </c>
      <c r="H57" s="617">
        <f t="shared" si="1"/>
        <v>1739533.9485101376</v>
      </c>
      <c r="I57" s="618">
        <v>679048.29</v>
      </c>
      <c r="J57" s="618">
        <v>0</v>
      </c>
      <c r="K57" s="617">
        <f t="shared" si="2"/>
        <v>3080117.5236396589</v>
      </c>
      <c r="L57" s="618">
        <v>-111579.98860093096</v>
      </c>
      <c r="M57" s="619">
        <f t="shared" si="3"/>
        <v>2968537.5350387278</v>
      </c>
      <c r="N57" s="620">
        <f t="shared" si="4"/>
        <v>3.2361246855722059E-2</v>
      </c>
      <c r="O57" s="621"/>
      <c r="P57" s="619">
        <f t="shared" si="14"/>
        <v>3196742.5966344541</v>
      </c>
      <c r="Q57" s="620">
        <f t="shared" si="5"/>
        <v>3.2361246855722073E-2</v>
      </c>
      <c r="R57" s="621"/>
      <c r="S57" s="632">
        <v>26032147.580769233</v>
      </c>
      <c r="T57" s="622">
        <f t="shared" si="15"/>
        <v>2.5648603792416423E-2</v>
      </c>
      <c r="U57" s="623">
        <f t="shared" si="6"/>
        <v>667688.23916486173</v>
      </c>
      <c r="V57" s="632">
        <v>22433828.976153847</v>
      </c>
      <c r="W57" s="622">
        <f t="shared" si="16"/>
        <v>7.8261985692743397E-2</v>
      </c>
      <c r="X57" s="617">
        <f t="shared" si="7"/>
        <v>1755716.0023652045</v>
      </c>
      <c r="Y57" s="632">
        <v>683495.42999999993</v>
      </c>
      <c r="Z57" s="632">
        <v>0</v>
      </c>
      <c r="AA57" s="617">
        <f t="shared" si="8"/>
        <v>3106899.6715300661</v>
      </c>
      <c r="AB57" s="624">
        <f t="shared" si="17"/>
        <v>-111579.98860093096</v>
      </c>
      <c r="AC57" s="619">
        <f t="shared" si="9"/>
        <v>2995319.6829291349</v>
      </c>
      <c r="AD57" s="621"/>
      <c r="AE57" s="619">
        <f t="shared" si="18"/>
        <v>-89842.925104388036</v>
      </c>
      <c r="AF57" s="619">
        <f t="shared" si="10"/>
        <v>-15398.794313714699</v>
      </c>
      <c r="AG57" s="619">
        <f t="shared" si="11"/>
        <v>-105241.71941810273</v>
      </c>
    </row>
    <row r="58" spans="1:33">
      <c r="A58" s="614">
        <v>1270</v>
      </c>
      <c r="B58" s="474" t="s">
        <v>980</v>
      </c>
      <c r="C58" s="618">
        <v>0</v>
      </c>
      <c r="D58" s="622">
        <f t="shared" si="12"/>
        <v>2.5329446476640226E-2</v>
      </c>
      <c r="E58" s="629">
        <f t="shared" si="0"/>
        <v>0</v>
      </c>
      <c r="F58" s="618">
        <v>0</v>
      </c>
      <c r="G58" s="622">
        <f t="shared" si="13"/>
        <v>7.7542918127145144E-2</v>
      </c>
      <c r="H58" s="617">
        <f t="shared" si="1"/>
        <v>0</v>
      </c>
      <c r="I58" s="618">
        <v>0</v>
      </c>
      <c r="J58" s="618">
        <v>0</v>
      </c>
      <c r="K58" s="617">
        <f t="shared" si="2"/>
        <v>0</v>
      </c>
      <c r="L58" s="618">
        <v>0</v>
      </c>
      <c r="M58" s="619">
        <f t="shared" si="3"/>
        <v>0</v>
      </c>
      <c r="N58" s="620">
        <f t="shared" si="4"/>
        <v>0</v>
      </c>
      <c r="O58" s="621"/>
      <c r="P58" s="619">
        <f t="shared" si="14"/>
        <v>0</v>
      </c>
      <c r="Q58" s="620">
        <f t="shared" si="5"/>
        <v>0</v>
      </c>
      <c r="R58" s="621"/>
      <c r="S58" s="632">
        <v>0</v>
      </c>
      <c r="T58" s="622">
        <f t="shared" si="15"/>
        <v>2.5648603792416423E-2</v>
      </c>
      <c r="U58" s="623">
        <f t="shared" si="6"/>
        <v>0</v>
      </c>
      <c r="V58" s="632">
        <v>0</v>
      </c>
      <c r="W58" s="622">
        <f t="shared" si="16"/>
        <v>7.8261985692743397E-2</v>
      </c>
      <c r="X58" s="617">
        <f t="shared" si="7"/>
        <v>0</v>
      </c>
      <c r="Y58" s="632">
        <v>0</v>
      </c>
      <c r="Z58" s="632">
        <v>0</v>
      </c>
      <c r="AA58" s="617">
        <f t="shared" si="8"/>
        <v>0</v>
      </c>
      <c r="AB58" s="624">
        <f t="shared" si="17"/>
        <v>0</v>
      </c>
      <c r="AC58" s="619">
        <f t="shared" si="9"/>
        <v>0</v>
      </c>
      <c r="AD58" s="621"/>
      <c r="AE58" s="619">
        <f t="shared" si="18"/>
        <v>0</v>
      </c>
      <c r="AF58" s="619">
        <f t="shared" si="10"/>
        <v>0</v>
      </c>
      <c r="AG58" s="619">
        <f t="shared" si="11"/>
        <v>0</v>
      </c>
    </row>
    <row r="59" spans="1:33">
      <c r="A59" s="614">
        <v>3125</v>
      </c>
      <c r="B59" s="474" t="s">
        <v>981</v>
      </c>
      <c r="C59" s="618">
        <v>26556882.32</v>
      </c>
      <c r="D59" s="622">
        <f t="shared" si="12"/>
        <v>2.5329446476640226E-2</v>
      </c>
      <c r="E59" s="629">
        <f t="shared" si="0"/>
        <v>672671.1293108731</v>
      </c>
      <c r="F59" s="618">
        <v>20635470.010000002</v>
      </c>
      <c r="G59" s="622">
        <f t="shared" si="13"/>
        <v>7.7542918127145144E-2</v>
      </c>
      <c r="H59" s="617">
        <f t="shared" si="1"/>
        <v>1600134.5615005891</v>
      </c>
      <c r="I59" s="618">
        <v>764838.21</v>
      </c>
      <c r="J59" s="618">
        <v>0</v>
      </c>
      <c r="K59" s="617">
        <f t="shared" si="2"/>
        <v>3037643.9008114622</v>
      </c>
      <c r="L59" s="618">
        <v>-115026.98960899892</v>
      </c>
      <c r="M59" s="619">
        <f t="shared" si="3"/>
        <v>2922616.9112024633</v>
      </c>
      <c r="N59" s="620">
        <f t="shared" si="4"/>
        <v>3.1914997846503763E-2</v>
      </c>
      <c r="O59" s="621"/>
      <c r="P59" s="619">
        <f t="shared" si="14"/>
        <v>3152660.7594038281</v>
      </c>
      <c r="Q59" s="620">
        <f t="shared" si="5"/>
        <v>3.191499784650377E-2</v>
      </c>
      <c r="R59" s="621"/>
      <c r="S59" s="632">
        <v>26445410.796153847</v>
      </c>
      <c r="T59" s="622">
        <f t="shared" si="15"/>
        <v>2.5648603792416423E-2</v>
      </c>
      <c r="U59" s="623">
        <f t="shared" si="6"/>
        <v>678287.86363824178</v>
      </c>
      <c r="V59" s="632">
        <v>20648273.506153852</v>
      </c>
      <c r="W59" s="622">
        <f t="shared" si="16"/>
        <v>7.8261985692743397E-2</v>
      </c>
      <c r="X59" s="617">
        <f t="shared" si="7"/>
        <v>1615974.8857184653</v>
      </c>
      <c r="Y59" s="632">
        <v>755486.45000000019</v>
      </c>
      <c r="Z59" s="632">
        <v>0</v>
      </c>
      <c r="AA59" s="617">
        <f t="shared" si="8"/>
        <v>3049749.1993567073</v>
      </c>
      <c r="AB59" s="624">
        <f t="shared" si="17"/>
        <v>-115026.98960899892</v>
      </c>
      <c r="AC59" s="619">
        <f t="shared" si="9"/>
        <v>2934722.2097477084</v>
      </c>
      <c r="AD59" s="621"/>
      <c r="AE59" s="619">
        <f t="shared" si="18"/>
        <v>-102911.56004712079</v>
      </c>
      <c r="AF59" s="619">
        <f t="shared" si="10"/>
        <v>-17638.717170304073</v>
      </c>
      <c r="AG59" s="619">
        <f t="shared" si="11"/>
        <v>-120550.27721742485</v>
      </c>
    </row>
    <row r="60" spans="1:33">
      <c r="A60" s="614">
        <v>3679</v>
      </c>
      <c r="B60" s="474" t="s">
        <v>982</v>
      </c>
      <c r="C60" s="618">
        <v>227302755.21000001</v>
      </c>
      <c r="D60" s="622">
        <f t="shared" si="12"/>
        <v>2.5329446476640226E-2</v>
      </c>
      <c r="E60" s="629">
        <f t="shared" si="0"/>
        <v>5757452.9720845502</v>
      </c>
      <c r="F60" s="618">
        <v>195026373.25999999</v>
      </c>
      <c r="G60" s="622">
        <f t="shared" si="13"/>
        <v>7.7542918127145144E-2</v>
      </c>
      <c r="H60" s="617">
        <f t="shared" si="1"/>
        <v>15122914.094334228</v>
      </c>
      <c r="I60" s="618">
        <v>5646096.7000000002</v>
      </c>
      <c r="J60" s="618">
        <v>0</v>
      </c>
      <c r="K60" s="617">
        <f t="shared" si="2"/>
        <v>26526463.766418777</v>
      </c>
      <c r="L60" s="618">
        <v>-598836.57246402605</v>
      </c>
      <c r="M60" s="619">
        <f t="shared" si="3"/>
        <v>25927627.193954751</v>
      </c>
      <c r="N60" s="620">
        <f t="shared" si="4"/>
        <v>0.2787002234707171</v>
      </c>
      <c r="O60" s="621"/>
      <c r="P60" s="619">
        <f t="shared" si="14"/>
        <v>27530857.51091354</v>
      </c>
      <c r="Q60" s="620">
        <f t="shared" si="5"/>
        <v>0.27870022347071721</v>
      </c>
      <c r="R60" s="621"/>
      <c r="S60" s="632">
        <v>227027636.62461546</v>
      </c>
      <c r="T60" s="622">
        <f t="shared" si="15"/>
        <v>2.5648603792416423E-2</v>
      </c>
      <c r="U60" s="623">
        <f t="shared" si="6"/>
        <v>5822941.9017134495</v>
      </c>
      <c r="V60" s="632">
        <v>195081539.0984616</v>
      </c>
      <c r="W60" s="622">
        <f t="shared" si="16"/>
        <v>7.8261985692743397E-2</v>
      </c>
      <c r="X60" s="617">
        <f t="shared" si="7"/>
        <v>15267468.621842163</v>
      </c>
      <c r="Y60" s="632">
        <v>5578144.9299999997</v>
      </c>
      <c r="Z60" s="632">
        <v>0</v>
      </c>
      <c r="AA60" s="617">
        <f t="shared" si="8"/>
        <v>26668555.453555614</v>
      </c>
      <c r="AB60" s="624">
        <f t="shared" si="17"/>
        <v>-598836.57246402605</v>
      </c>
      <c r="AC60" s="619">
        <f t="shared" si="9"/>
        <v>26069718.881091587</v>
      </c>
      <c r="AD60" s="621"/>
      <c r="AE60" s="619">
        <f t="shared" si="18"/>
        <v>-862302.05735792592</v>
      </c>
      <c r="AF60" s="619">
        <f t="shared" si="10"/>
        <v>-147795.8559577128</v>
      </c>
      <c r="AG60" s="619">
        <f t="shared" si="11"/>
        <v>-1010097.9133156387</v>
      </c>
    </row>
    <row r="61" spans="1:33">
      <c r="A61" s="614">
        <v>12284</v>
      </c>
      <c r="B61" s="474" t="s">
        <v>983</v>
      </c>
      <c r="C61" s="618">
        <v>7453660.7699999996</v>
      </c>
      <c r="D61" s="622">
        <f t="shared" si="12"/>
        <v>2.5329446476640226E-2</v>
      </c>
      <c r="E61" s="629">
        <f t="shared" si="0"/>
        <v>188797.10152874797</v>
      </c>
      <c r="F61" s="618">
        <v>6528715.4199999999</v>
      </c>
      <c r="G61" s="622">
        <f t="shared" si="13"/>
        <v>7.7542918127145144E-2</v>
      </c>
      <c r="H61" s="617">
        <f t="shared" si="1"/>
        <v>506255.64528848999</v>
      </c>
      <c r="I61" s="618">
        <v>193635.95</v>
      </c>
      <c r="J61" s="618">
        <v>0</v>
      </c>
      <c r="K61" s="617">
        <f t="shared" si="2"/>
        <v>888688.69681723788</v>
      </c>
      <c r="L61" s="618">
        <v>-41714.560048855332</v>
      </c>
      <c r="M61" s="619">
        <f t="shared" si="3"/>
        <v>846974.13676838251</v>
      </c>
      <c r="N61" s="620">
        <f t="shared" si="4"/>
        <v>9.3370055119224981E-3</v>
      </c>
      <c r="O61" s="621"/>
      <c r="P61" s="619">
        <f t="shared" si="14"/>
        <v>922337.86225995386</v>
      </c>
      <c r="Q61" s="620">
        <f t="shared" si="5"/>
        <v>9.3370055119225016E-3</v>
      </c>
      <c r="R61" s="621"/>
      <c r="S61" s="632">
        <v>7451662.8319230769</v>
      </c>
      <c r="T61" s="622">
        <f t="shared" si="15"/>
        <v>2.5648603792416423E-2</v>
      </c>
      <c r="U61" s="623">
        <f t="shared" si="6"/>
        <v>191124.74757067073</v>
      </c>
      <c r="V61" s="632">
        <v>6528792.3584615383</v>
      </c>
      <c r="W61" s="622">
        <f t="shared" si="16"/>
        <v>7.8261985692743397E-2</v>
      </c>
      <c r="X61" s="617">
        <f t="shared" si="7"/>
        <v>510956.25414880936</v>
      </c>
      <c r="Y61" s="632">
        <v>193597.06000000003</v>
      </c>
      <c r="Z61" s="632">
        <v>0</v>
      </c>
      <c r="AA61" s="617">
        <f t="shared" si="8"/>
        <v>895678.0617194802</v>
      </c>
      <c r="AB61" s="624">
        <f t="shared" si="17"/>
        <v>-41714.560048855332</v>
      </c>
      <c r="AC61" s="619">
        <f t="shared" si="9"/>
        <v>853963.50167062483</v>
      </c>
      <c r="AD61" s="621"/>
      <c r="AE61" s="619">
        <f t="shared" si="18"/>
        <v>-26659.800540473661</v>
      </c>
      <c r="AF61" s="619">
        <f t="shared" si="10"/>
        <v>-4569.4058212198961</v>
      </c>
      <c r="AG61" s="619">
        <f t="shared" si="11"/>
        <v>-31229.206361693556</v>
      </c>
    </row>
    <row r="62" spans="1:33">
      <c r="A62" s="614">
        <v>13103</v>
      </c>
      <c r="B62" s="474" t="s">
        <v>984</v>
      </c>
      <c r="C62" s="618">
        <v>20352576.210000001</v>
      </c>
      <c r="D62" s="622">
        <f t="shared" si="12"/>
        <v>2.5329446476640226E-2</v>
      </c>
      <c r="E62" s="629">
        <f t="shared" si="0"/>
        <v>515519.48977293621</v>
      </c>
      <c r="F62" s="618">
        <v>18740317.780000001</v>
      </c>
      <c r="G62" s="622">
        <f t="shared" si="13"/>
        <v>7.7542918127145144E-2</v>
      </c>
      <c r="H62" s="617">
        <f t="shared" si="1"/>
        <v>1453178.9272912226</v>
      </c>
      <c r="I62" s="618">
        <v>531202.24</v>
      </c>
      <c r="J62" s="618">
        <v>0</v>
      </c>
      <c r="K62" s="617">
        <f t="shared" si="2"/>
        <v>2499900.6570641585</v>
      </c>
      <c r="L62" s="618">
        <v>-142307.21900866702</v>
      </c>
      <c r="M62" s="619">
        <f t="shared" si="3"/>
        <v>2357593.4380554915</v>
      </c>
      <c r="N62" s="620">
        <f t="shared" si="4"/>
        <v>2.6265199836413591E-2</v>
      </c>
      <c r="O62" s="621"/>
      <c r="P62" s="619">
        <f t="shared" si="14"/>
        <v>2594556.4922302556</v>
      </c>
      <c r="Q62" s="620">
        <f t="shared" si="5"/>
        <v>2.6265199836413598E-2</v>
      </c>
      <c r="R62" s="621"/>
      <c r="S62" s="632">
        <v>20325024.98</v>
      </c>
      <c r="T62" s="622">
        <f t="shared" si="15"/>
        <v>2.5648603792416423E-2</v>
      </c>
      <c r="U62" s="623">
        <f t="shared" si="6"/>
        <v>521308.51278298657</v>
      </c>
      <c r="V62" s="632">
        <v>18735357.704999998</v>
      </c>
      <c r="W62" s="622">
        <f t="shared" si="16"/>
        <v>7.8261985692743397E-2</v>
      </c>
      <c r="X62" s="617">
        <f t="shared" si="7"/>
        <v>1466266.2966571397</v>
      </c>
      <c r="Y62" s="632">
        <v>529768.94000000006</v>
      </c>
      <c r="Z62" s="632">
        <v>0</v>
      </c>
      <c r="AA62" s="617">
        <f t="shared" si="8"/>
        <v>2517343.7494401261</v>
      </c>
      <c r="AB62" s="624">
        <f t="shared" si="17"/>
        <v>-142307.21900866702</v>
      </c>
      <c r="AC62" s="619">
        <f t="shared" si="9"/>
        <v>2375036.5304314592</v>
      </c>
      <c r="AD62" s="621"/>
      <c r="AE62" s="619">
        <f t="shared" si="18"/>
        <v>-77212.742790129501</v>
      </c>
      <c r="AF62" s="619">
        <f t="shared" si="10"/>
        <v>-13234.020856305471</v>
      </c>
      <c r="AG62" s="619">
        <f t="shared" si="11"/>
        <v>-90446.763646434978</v>
      </c>
    </row>
    <row r="63" spans="1:33">
      <c r="A63" s="614">
        <v>13769</v>
      </c>
      <c r="B63" s="474" t="s">
        <v>986</v>
      </c>
      <c r="C63" s="618">
        <v>8423892.3200000003</v>
      </c>
      <c r="D63" s="622">
        <f t="shared" si="12"/>
        <v>2.5329446476640226E-2</v>
      </c>
      <c r="E63" s="629">
        <f t="shared" si="0"/>
        <v>213372.52964442066</v>
      </c>
      <c r="F63" s="618">
        <v>7433037.3099999996</v>
      </c>
      <c r="G63" s="622">
        <f t="shared" si="13"/>
        <v>7.7542918127145144E-2</v>
      </c>
      <c r="H63" s="617">
        <f t="shared" si="1"/>
        <v>576379.4035653451</v>
      </c>
      <c r="I63" s="618">
        <v>242608.1</v>
      </c>
      <c r="J63" s="618">
        <v>0</v>
      </c>
      <c r="K63" s="617">
        <f t="shared" si="2"/>
        <v>1032360.0332097657</v>
      </c>
      <c r="L63" s="618">
        <v>-25236.536849325417</v>
      </c>
      <c r="M63" s="619">
        <f t="shared" si="3"/>
        <v>1007123.4963604403</v>
      </c>
      <c r="N63" s="620">
        <f t="shared" si="4"/>
        <v>1.0846488038938569E-2</v>
      </c>
      <c r="O63" s="621"/>
      <c r="P63" s="619">
        <f t="shared" si="14"/>
        <v>1071449.1469549213</v>
      </c>
      <c r="Q63" s="620">
        <f t="shared" si="5"/>
        <v>1.0846488038938572E-2</v>
      </c>
      <c r="R63" s="621"/>
      <c r="S63" s="632">
        <v>8423892.3199999966</v>
      </c>
      <c r="T63" s="622">
        <f t="shared" si="15"/>
        <v>2.5648603792416423E-2</v>
      </c>
      <c r="U63" s="623">
        <f t="shared" si="6"/>
        <v>216061.0765056595</v>
      </c>
      <c r="V63" s="632">
        <v>7433029.596153846</v>
      </c>
      <c r="W63" s="622">
        <f t="shared" si="16"/>
        <v>7.8261985692743397E-2</v>
      </c>
      <c r="X63" s="617">
        <f t="shared" si="7"/>
        <v>581723.65590793057</v>
      </c>
      <c r="Y63" s="632">
        <v>242698.5</v>
      </c>
      <c r="Z63" s="632">
        <v>0</v>
      </c>
      <c r="AA63" s="617">
        <f t="shared" si="8"/>
        <v>1040483.2324135901</v>
      </c>
      <c r="AB63" s="624">
        <f t="shared" si="17"/>
        <v>-25236.536849325417</v>
      </c>
      <c r="AC63" s="619">
        <f t="shared" si="9"/>
        <v>1015246.6955642647</v>
      </c>
      <c r="AD63" s="621"/>
      <c r="AE63" s="619">
        <f t="shared" si="18"/>
        <v>-30965.914541331236</v>
      </c>
      <c r="AF63" s="619">
        <f t="shared" si="10"/>
        <v>-5307.4601946006469</v>
      </c>
      <c r="AG63" s="619">
        <f t="shared" si="11"/>
        <v>-36273.37473593188</v>
      </c>
    </row>
    <row r="64" spans="1:33">
      <c r="A64" s="614">
        <v>13784</v>
      </c>
      <c r="B64" s="474" t="s">
        <v>985</v>
      </c>
      <c r="C64" s="618">
        <v>6702807.2199999997</v>
      </c>
      <c r="D64" s="622">
        <f t="shared" si="12"/>
        <v>2.5329446476640226E-2</v>
      </c>
      <c r="E64" s="629">
        <f t="shared" si="0"/>
        <v>169778.39672222766</v>
      </c>
      <c r="F64" s="618">
        <v>5959736.6799999997</v>
      </c>
      <c r="G64" s="622">
        <f t="shared" si="13"/>
        <v>7.7542918127145144E-2</v>
      </c>
      <c r="H64" s="617">
        <f t="shared" si="1"/>
        <v>462135.37343658379</v>
      </c>
      <c r="I64" s="618">
        <v>189019.16</v>
      </c>
      <c r="J64" s="618">
        <v>0</v>
      </c>
      <c r="K64" s="617">
        <f t="shared" si="2"/>
        <v>820932.9301588115</v>
      </c>
      <c r="L64" s="618">
        <v>-21982.137723064898</v>
      </c>
      <c r="M64" s="619">
        <f t="shared" si="3"/>
        <v>798950.79243574664</v>
      </c>
      <c r="N64" s="620">
        <f t="shared" si="4"/>
        <v>8.6251297234489939E-3</v>
      </c>
      <c r="O64" s="621"/>
      <c r="P64" s="619">
        <f t="shared" si="14"/>
        <v>852016.60218391917</v>
      </c>
      <c r="Q64" s="620">
        <f t="shared" si="5"/>
        <v>8.6251297234489956E-3</v>
      </c>
      <c r="R64" s="621"/>
      <c r="S64" s="632">
        <v>6699095.5988461534</v>
      </c>
      <c r="T64" s="622">
        <f t="shared" si="15"/>
        <v>2.5648603792416423E-2</v>
      </c>
      <c r="U64" s="623">
        <f t="shared" si="6"/>
        <v>171822.44878232561</v>
      </c>
      <c r="V64" s="632">
        <v>5959387.615384615</v>
      </c>
      <c r="W64" s="622">
        <f t="shared" si="16"/>
        <v>7.8261985692743397E-2</v>
      </c>
      <c r="X64" s="617">
        <f t="shared" si="7"/>
        <v>466393.50829274295</v>
      </c>
      <c r="Y64" s="632">
        <v>189292.59500000003</v>
      </c>
      <c r="Z64" s="632">
        <v>0</v>
      </c>
      <c r="AA64" s="617">
        <f t="shared" si="8"/>
        <v>827508.55207506847</v>
      </c>
      <c r="AB64" s="624">
        <f t="shared" si="17"/>
        <v>-21982.137723064898</v>
      </c>
      <c r="AC64" s="619">
        <f t="shared" si="9"/>
        <v>805526.4143520036</v>
      </c>
      <c r="AD64" s="621"/>
      <c r="AE64" s="619">
        <f t="shared" si="18"/>
        <v>-24508.050108850701</v>
      </c>
      <c r="AF64" s="619">
        <f t="shared" si="10"/>
        <v>-4200.6025763065081</v>
      </c>
      <c r="AG64" s="619">
        <f t="shared" si="11"/>
        <v>-28708.652685157209</v>
      </c>
    </row>
    <row r="65" spans="1:33">
      <c r="A65" s="614">
        <v>14925</v>
      </c>
      <c r="B65" s="474" t="s">
        <v>987</v>
      </c>
      <c r="C65" s="618">
        <v>2664959.21</v>
      </c>
      <c r="D65" s="622">
        <f t="shared" si="12"/>
        <v>2.5329446476640226E-2</v>
      </c>
      <c r="E65" s="629">
        <f>C65*D65</f>
        <v>67501.94167212442</v>
      </c>
      <c r="F65" s="618">
        <v>2534130.5699999998</v>
      </c>
      <c r="G65" s="622">
        <f t="shared" si="13"/>
        <v>7.7542918127145144E-2</v>
      </c>
      <c r="H65" s="617">
        <f>F65*G65</f>
        <v>196503.87931300563</v>
      </c>
      <c r="I65" s="618">
        <v>78616.3</v>
      </c>
      <c r="J65" s="618">
        <v>0</v>
      </c>
      <c r="K65" s="617">
        <f>E65+H65+I65+J65</f>
        <v>342622.12098513002</v>
      </c>
      <c r="L65" s="618">
        <v>11115.67850764451</v>
      </c>
      <c r="M65" s="619">
        <f>K65+L65</f>
        <v>353737.79949277453</v>
      </c>
      <c r="N65" s="620">
        <f t="shared" si="4"/>
        <v>3.5997584346486129E-3</v>
      </c>
      <c r="O65" s="621"/>
      <c r="P65" s="619">
        <f t="shared" si="14"/>
        <v>355595.109698335</v>
      </c>
      <c r="Q65" s="620">
        <f t="shared" si="5"/>
        <v>3.5997584346486138E-3</v>
      </c>
      <c r="R65" s="621"/>
      <c r="S65" s="632">
        <v>2664959.2100000004</v>
      </c>
      <c r="T65" s="622">
        <f t="shared" si="15"/>
        <v>2.5648603792416423E-2</v>
      </c>
      <c r="U65" s="623">
        <f>S65*T65</f>
        <v>68352.482900241084</v>
      </c>
      <c r="V65" s="632">
        <v>2535128.3738461537</v>
      </c>
      <c r="W65" s="622">
        <f t="shared" si="16"/>
        <v>7.8261985692743397E-2</v>
      </c>
      <c r="X65" s="617">
        <f>V65*W65</f>
        <v>198404.1805232155</v>
      </c>
      <c r="Y65" s="632">
        <v>76461.149999999994</v>
      </c>
      <c r="Z65" s="632">
        <v>0</v>
      </c>
      <c r="AA65" s="617">
        <f>U65+X65+Y65+Z65</f>
        <v>343217.81342345662</v>
      </c>
      <c r="AB65" s="624">
        <f>L65</f>
        <v>11115.67850764451</v>
      </c>
      <c r="AC65" s="619">
        <f>AA65+AB65</f>
        <v>354333.49193110113</v>
      </c>
      <c r="AD65" s="621"/>
      <c r="AE65" s="619">
        <f t="shared" si="18"/>
        <v>-12377.296274878376</v>
      </c>
      <c r="AF65" s="619">
        <f t="shared" si="10"/>
        <v>-2121.4295869742373</v>
      </c>
      <c r="AG65" s="619">
        <f>+AE65+AF65</f>
        <v>-14498.725861852614</v>
      </c>
    </row>
    <row r="66" spans="1:33">
      <c r="A66" s="614">
        <v>16494</v>
      </c>
      <c r="B66" s="474" t="s">
        <v>967</v>
      </c>
      <c r="C66" s="618">
        <v>216107.65</v>
      </c>
      <c r="D66" s="622">
        <f t="shared" si="12"/>
        <v>2.5329446476640226E-2</v>
      </c>
      <c r="E66" s="629">
        <f>C66*D66</f>
        <v>5473.8871538674994</v>
      </c>
      <c r="F66" s="618">
        <v>207873.54</v>
      </c>
      <c r="G66" s="622">
        <f t="shared" si="13"/>
        <v>7.7542918127145144E-2</v>
      </c>
      <c r="H66" s="617">
        <f>F66*G66</f>
        <v>16119.120893019832</v>
      </c>
      <c r="I66" s="618">
        <v>5720.37</v>
      </c>
      <c r="J66" s="618">
        <v>0</v>
      </c>
      <c r="K66" s="617">
        <f>E66+H66+I66+J66</f>
        <v>27313.37804688733</v>
      </c>
      <c r="L66" s="618">
        <v>-23745.069025021177</v>
      </c>
      <c r="M66" s="619">
        <f>K66+L66</f>
        <v>3568.3090218661528</v>
      </c>
      <c r="N66" s="620">
        <f t="shared" si="4"/>
        <v>2.8696793633851834E-4</v>
      </c>
      <c r="O66" s="621"/>
      <c r="P66" s="619">
        <f t="shared" si="14"/>
        <v>28347.567386743609</v>
      </c>
      <c r="Q66" s="620">
        <f t="shared" si="5"/>
        <v>2.8696793633851844E-4</v>
      </c>
      <c r="R66" s="621"/>
      <c r="S66" s="632">
        <v>216107.64500000002</v>
      </c>
      <c r="T66" s="622">
        <f t="shared" si="15"/>
        <v>2.5648603792416423E-2</v>
      </c>
      <c r="U66" s="623">
        <f>S66*T66</f>
        <v>5542.8593631171825</v>
      </c>
      <c r="V66" s="632">
        <v>207294.67807692307</v>
      </c>
      <c r="W66" s="622">
        <f t="shared" si="16"/>
        <v>7.8261985692743397E-2</v>
      </c>
      <c r="X66" s="617">
        <f>V66*W66</f>
        <v>16223.293129838001</v>
      </c>
      <c r="Y66" s="632">
        <v>6765.5100000000011</v>
      </c>
      <c r="Z66" s="632">
        <v>0</v>
      </c>
      <c r="AA66" s="617">
        <f>U66+X66+Y66+Z66</f>
        <v>28531.662492955184</v>
      </c>
      <c r="AB66" s="624">
        <f>L66</f>
        <v>-23745.069025021177</v>
      </c>
      <c r="AC66" s="619">
        <f>AA66+AB66</f>
        <v>4786.5934679340062</v>
      </c>
      <c r="AD66" s="621"/>
      <c r="AE66" s="619">
        <f t="shared" si="18"/>
        <v>184.0951062115746</v>
      </c>
      <c r="AF66" s="619">
        <f t="shared" si="10"/>
        <v>31.553321214995048</v>
      </c>
      <c r="AG66" s="619">
        <f>+AE66+AF66</f>
        <v>215.64842742656964</v>
      </c>
    </row>
    <row r="67" spans="1:33">
      <c r="A67" s="803">
        <v>17064</v>
      </c>
      <c r="B67" s="474" t="s">
        <v>968</v>
      </c>
      <c r="C67" s="618">
        <v>60347.02</v>
      </c>
      <c r="D67" s="622">
        <f t="shared" si="12"/>
        <v>2.5329446476640226E-2</v>
      </c>
      <c r="E67" s="629">
        <f>C67*D67</f>
        <v>1528.556613114737</v>
      </c>
      <c r="F67" s="618">
        <v>58065.06</v>
      </c>
      <c r="G67" s="622">
        <f t="shared" si="13"/>
        <v>7.7542918127145144E-2</v>
      </c>
      <c r="H67" s="617">
        <f>F67*G67</f>
        <v>4502.53419362777</v>
      </c>
      <c r="I67" s="618">
        <v>1677.65</v>
      </c>
      <c r="J67" s="618">
        <v>0</v>
      </c>
      <c r="K67" s="617">
        <f>E67+H67+I67+J67</f>
        <v>7708.7408067425076</v>
      </c>
      <c r="L67" s="618">
        <v>-5810.9682839758498</v>
      </c>
      <c r="M67" s="619">
        <f>K67+L67</f>
        <v>1897.7725227666579</v>
      </c>
      <c r="N67" s="620">
        <f t="shared" si="4"/>
        <v>8.0991865498362389E-5</v>
      </c>
      <c r="O67" s="621"/>
      <c r="P67" s="619">
        <f t="shared" si="14"/>
        <v>8000.6233249854959</v>
      </c>
      <c r="Q67" s="620">
        <f t="shared" si="5"/>
        <v>8.0991865498362416E-5</v>
      </c>
      <c r="R67" s="621"/>
      <c r="S67" s="632">
        <v>52197.685000000005</v>
      </c>
      <c r="T67" s="622">
        <f t="shared" si="15"/>
        <v>2.5648603792416423E-2</v>
      </c>
      <c r="U67" s="623">
        <f>S67*T67</f>
        <v>1338.797741446358</v>
      </c>
      <c r="V67" s="632">
        <v>50098.471538461541</v>
      </c>
      <c r="W67" s="622">
        <f t="shared" si="16"/>
        <v>7.8261985692743397E-2</v>
      </c>
      <c r="X67" s="617">
        <f>V67*W67</f>
        <v>3920.8058627713895</v>
      </c>
      <c r="Y67" s="632">
        <v>1593.4449999999999</v>
      </c>
      <c r="Z67" s="632">
        <v>0</v>
      </c>
      <c r="AA67" s="617">
        <f>U67+X67+Y67+Z67</f>
        <v>6853.0486042177472</v>
      </c>
      <c r="AB67" s="624">
        <f>L67</f>
        <v>-5810.9682839758498</v>
      </c>
      <c r="AC67" s="619">
        <f>AA67+AB67</f>
        <v>1042.0803202418974</v>
      </c>
      <c r="AD67" s="621"/>
      <c r="AE67" s="619">
        <f t="shared" si="18"/>
        <v>-1147.5747207677487</v>
      </c>
      <c r="AF67" s="619">
        <f t="shared" si="10"/>
        <v>-196.69069171767265</v>
      </c>
      <c r="AG67" s="619">
        <f>+AE67+AF67</f>
        <v>-1344.2654124854214</v>
      </c>
    </row>
    <row r="68" spans="1:33">
      <c r="A68" s="614">
        <v>17525</v>
      </c>
      <c r="B68" s="474" t="s">
        <v>969</v>
      </c>
      <c r="C68" s="618">
        <v>5616680.4299999997</v>
      </c>
      <c r="D68" s="622">
        <f t="shared" si="12"/>
        <v>2.5329446476640226E-2</v>
      </c>
      <c r="E68" s="629">
        <f t="shared" si="0"/>
        <v>142267.4063280776</v>
      </c>
      <c r="F68" s="618">
        <v>5462675.71</v>
      </c>
      <c r="G68" s="622">
        <f t="shared" si="13"/>
        <v>7.7542918127145144E-2</v>
      </c>
      <c r="H68" s="617">
        <f t="shared" si="1"/>
        <v>423591.81533567444</v>
      </c>
      <c r="I68" s="618">
        <v>150838.49</v>
      </c>
      <c r="J68" s="618">
        <v>0</v>
      </c>
      <c r="K68" s="617">
        <f t="shared" si="2"/>
        <v>716697.7116637521</v>
      </c>
      <c r="L68" s="618">
        <v>0</v>
      </c>
      <c r="M68" s="619">
        <f t="shared" si="3"/>
        <v>716697.7116637521</v>
      </c>
      <c r="N68" s="620">
        <f t="shared" si="4"/>
        <v>7.5299826678935358E-3</v>
      </c>
      <c r="O68" s="621"/>
      <c r="P68" s="619">
        <f t="shared" si="14"/>
        <v>743834.63819219777</v>
      </c>
      <c r="Q68" s="620">
        <f t="shared" si="5"/>
        <v>7.5299826678935384E-3</v>
      </c>
      <c r="R68" s="621"/>
      <c r="S68" s="632">
        <v>4671281.0949999988</v>
      </c>
      <c r="T68" s="622">
        <f t="shared" si="15"/>
        <v>2.5648603792416423E-2</v>
      </c>
      <c r="U68" s="623">
        <f t="shared" si="6"/>
        <v>119811.83800866011</v>
      </c>
      <c r="V68" s="632">
        <v>4517477.0173076922</v>
      </c>
      <c r="W68" s="622">
        <f t="shared" si="16"/>
        <v>7.8261985692743397E-2</v>
      </c>
      <c r="X68" s="617">
        <f t="shared" si="7"/>
        <v>353546.72169583174</v>
      </c>
      <c r="Y68" s="632">
        <v>132403.54500000001</v>
      </c>
      <c r="Z68" s="632">
        <v>0</v>
      </c>
      <c r="AA68" s="617">
        <f t="shared" si="8"/>
        <v>605762.10470449191</v>
      </c>
      <c r="AB68" s="624">
        <f t="shared" si="17"/>
        <v>0</v>
      </c>
      <c r="AC68" s="619">
        <f t="shared" si="9"/>
        <v>605762.10470449191</v>
      </c>
      <c r="AD68" s="621"/>
      <c r="AE68" s="619">
        <f t="shared" si="18"/>
        <v>-138072.53348770586</v>
      </c>
      <c r="AF68" s="619">
        <f t="shared" si="10"/>
        <v>-23665.197243748506</v>
      </c>
      <c r="AG68" s="619">
        <f t="shared" si="11"/>
        <v>-161737.73073145436</v>
      </c>
    </row>
    <row r="69" spans="1:33">
      <c r="A69" s="614">
        <v>17526</v>
      </c>
      <c r="B69" s="474" t="s">
        <v>970</v>
      </c>
      <c r="C69" s="618">
        <v>539931.55000000005</v>
      </c>
      <c r="D69" s="622">
        <f t="shared" si="12"/>
        <v>2.5329446476640226E-2</v>
      </c>
      <c r="E69" s="629">
        <f t="shared" si="0"/>
        <v>13676.167296774398</v>
      </c>
      <c r="F69" s="618">
        <v>452870.7</v>
      </c>
      <c r="G69" s="622">
        <f t="shared" si="13"/>
        <v>7.7542918127145144E-2</v>
      </c>
      <c r="H69" s="617">
        <f t="shared" si="1"/>
        <v>35116.915612282908</v>
      </c>
      <c r="I69" s="618">
        <v>18087.71</v>
      </c>
      <c r="J69" s="618">
        <v>0</v>
      </c>
      <c r="K69" s="617">
        <f t="shared" si="2"/>
        <v>66880.792909057316</v>
      </c>
      <c r="L69" s="618">
        <v>2987.528005586511</v>
      </c>
      <c r="M69" s="619">
        <f t="shared" si="3"/>
        <v>69868.320914643831</v>
      </c>
      <c r="N69" s="620">
        <f t="shared" si="4"/>
        <v>7.0268287902174043E-4</v>
      </c>
      <c r="O69" s="621"/>
      <c r="P69" s="619">
        <f t="shared" si="14"/>
        <v>69413.156461780338</v>
      </c>
      <c r="Q69" s="620">
        <f t="shared" si="5"/>
        <v>7.0268287902174064E-4</v>
      </c>
      <c r="R69" s="621"/>
      <c r="S69" s="632">
        <v>539931.54499999993</v>
      </c>
      <c r="T69" s="622">
        <f t="shared" si="15"/>
        <v>2.5648603792416423E-2</v>
      </c>
      <c r="U69" s="623">
        <f t="shared" si="6"/>
        <v>13848.490272732257</v>
      </c>
      <c r="V69" s="632">
        <v>452895.13500000001</v>
      </c>
      <c r="W69" s="622">
        <f t="shared" si="16"/>
        <v>7.8261985692743397E-2</v>
      </c>
      <c r="X69" s="617">
        <f t="shared" si="7"/>
        <v>35444.472575683089</v>
      </c>
      <c r="Y69" s="632">
        <v>18063.719999999998</v>
      </c>
      <c r="Z69" s="632">
        <v>0</v>
      </c>
      <c r="AA69" s="617">
        <f t="shared" si="8"/>
        <v>67356.682848415338</v>
      </c>
      <c r="AB69" s="624">
        <f t="shared" si="17"/>
        <v>2987.528005586511</v>
      </c>
      <c r="AC69" s="619">
        <f t="shared" si="9"/>
        <v>70344.210854001853</v>
      </c>
      <c r="AD69" s="621"/>
      <c r="AE69" s="619">
        <f t="shared" si="18"/>
        <v>-2056.4736133650003</v>
      </c>
      <c r="AF69" s="619">
        <f t="shared" si="10"/>
        <v>-352.47309843257341</v>
      </c>
      <c r="AG69" s="619">
        <f t="shared" si="11"/>
        <v>-2408.9467117975737</v>
      </c>
    </row>
    <row r="70" spans="1:33">
      <c r="A70" s="614">
        <v>18849</v>
      </c>
      <c r="B70" s="474" t="s">
        <v>1003</v>
      </c>
      <c r="C70" s="618">
        <v>2917853.94</v>
      </c>
      <c r="D70" s="622">
        <f t="shared" si="12"/>
        <v>2.5329446476640226E-2</v>
      </c>
      <c r="E70" s="629">
        <f t="shared" ref="E70:E78" si="19">C70*D70</f>
        <v>73907.625199883798</v>
      </c>
      <c r="F70" s="618">
        <v>2843936.33</v>
      </c>
      <c r="G70" s="622">
        <f t="shared" si="13"/>
        <v>7.7542918127145144E-2</v>
      </c>
      <c r="H70" s="617">
        <f t="shared" ref="H70:H78" si="20">F70*G70</f>
        <v>220527.12199600364</v>
      </c>
      <c r="I70" s="618">
        <v>78953.820000000007</v>
      </c>
      <c r="J70" s="618">
        <v>0</v>
      </c>
      <c r="K70" s="617">
        <f t="shared" ref="K70:K78" si="21">E70+H70+I70+J70</f>
        <v>373388.56719588744</v>
      </c>
      <c r="L70" s="618">
        <v>0</v>
      </c>
      <c r="M70" s="619">
        <f t="shared" ref="M70:M78" si="22">K70+L70</f>
        <v>373388.56719588744</v>
      </c>
      <c r="N70" s="620">
        <f t="shared" si="4"/>
        <v>3.9230060227871018E-3</v>
      </c>
      <c r="O70" s="621"/>
      <c r="P70" s="619">
        <f t="shared" si="14"/>
        <v>387526.49166481645</v>
      </c>
      <c r="Q70" s="620">
        <f t="shared" si="5"/>
        <v>3.9230060227871026E-3</v>
      </c>
      <c r="R70" s="621"/>
      <c r="S70" s="632">
        <v>2135531.3249999997</v>
      </c>
      <c r="T70" s="622">
        <f t="shared" si="15"/>
        <v>2.5648603792416423E-2</v>
      </c>
      <c r="U70" s="623">
        <f t="shared" ref="U70:U78" si="23">S70*T70</f>
        <v>54773.396841219059</v>
      </c>
      <c r="V70" s="632">
        <v>2068530.4399999997</v>
      </c>
      <c r="W70" s="622">
        <f t="shared" si="16"/>
        <v>7.8261985692743397E-2</v>
      </c>
      <c r="X70" s="617">
        <f t="shared" ref="X70:X78" si="24">V70*W70</f>
        <v>161887.29970028417</v>
      </c>
      <c r="Y70" s="632">
        <v>57475.80000000001</v>
      </c>
      <c r="Z70" s="632">
        <v>0</v>
      </c>
      <c r="AA70" s="617">
        <f t="shared" ref="AA70:AA78" si="25">U70+X70+Y70+Z70</f>
        <v>274136.49654150323</v>
      </c>
      <c r="AB70" s="624">
        <f t="shared" ref="AB70:AB78" si="26">L70</f>
        <v>0</v>
      </c>
      <c r="AC70" s="619">
        <f t="shared" ref="AC70:AC78" si="27">AA70+AB70</f>
        <v>274136.49654150323</v>
      </c>
      <c r="AD70" s="621"/>
      <c r="AE70" s="619">
        <f t="shared" si="18"/>
        <v>-113389.99512331322</v>
      </c>
      <c r="AF70" s="619">
        <f t="shared" si="10"/>
        <v>-19434.687930165495</v>
      </c>
      <c r="AG70" s="619">
        <f t="shared" ref="AG70:AG78" si="28">+AE70+AF70</f>
        <v>-132824.68305347872</v>
      </c>
    </row>
    <row r="71" spans="1:33">
      <c r="A71" s="614">
        <v>19269</v>
      </c>
      <c r="B71" s="474" t="s">
        <v>971</v>
      </c>
      <c r="C71" s="618">
        <v>196330.38</v>
      </c>
      <c r="D71" s="622">
        <f t="shared" si="12"/>
        <v>2.5329446476640226E-2</v>
      </c>
      <c r="E71" s="629">
        <f>C71*D71</f>
        <v>4972.9398519484366</v>
      </c>
      <c r="F71" s="618">
        <v>191168.07</v>
      </c>
      <c r="G71" s="622">
        <f t="shared" si="13"/>
        <v>7.7542918127145144E-2</v>
      </c>
      <c r="H71" s="617">
        <f>F71*G71</f>
        <v>14823.730000534353</v>
      </c>
      <c r="I71" s="618">
        <v>5354.59</v>
      </c>
      <c r="J71" s="618">
        <v>0</v>
      </c>
      <c r="K71" s="617">
        <f>E71+H71+I71+J71</f>
        <v>25151.259852482788</v>
      </c>
      <c r="L71" s="618">
        <v>0</v>
      </c>
      <c r="M71" s="619">
        <f>K71+L71</f>
        <v>25151.259852482788</v>
      </c>
      <c r="N71" s="620">
        <f t="shared" si="4"/>
        <v>2.6425164707897934E-4</v>
      </c>
      <c r="O71" s="621"/>
      <c r="P71" s="619">
        <f t="shared" si="14"/>
        <v>26103.583097844126</v>
      </c>
      <c r="Q71" s="620">
        <f t="shared" si="5"/>
        <v>2.6425164707897939E-4</v>
      </c>
      <c r="R71" s="621"/>
      <c r="S71" s="632">
        <v>126574.26653846154</v>
      </c>
      <c r="T71" s="622">
        <f t="shared" si="15"/>
        <v>2.5648603792416423E-2</v>
      </c>
      <c r="U71" s="623">
        <f>S71*T71</f>
        <v>3246.4532127607117</v>
      </c>
      <c r="V71" s="632">
        <v>121133.15653846151</v>
      </c>
      <c r="W71" s="622">
        <f t="shared" si="16"/>
        <v>7.8261985692743397E-2</v>
      </c>
      <c r="X71" s="617">
        <f>V71*W71</f>
        <v>9480.1213639299203</v>
      </c>
      <c r="Y71" s="632">
        <v>4353</v>
      </c>
      <c r="Z71" s="632">
        <v>0</v>
      </c>
      <c r="AA71" s="617">
        <f>U71+X71+Y71+Z71</f>
        <v>17079.574576690633</v>
      </c>
      <c r="AB71" s="624">
        <f>L71</f>
        <v>0</v>
      </c>
      <c r="AC71" s="619">
        <f>AA71+AB71</f>
        <v>17079.574576690633</v>
      </c>
      <c r="AD71" s="621"/>
      <c r="AE71" s="619">
        <f t="shared" si="18"/>
        <v>-9024.0085211534933</v>
      </c>
      <c r="AF71" s="619">
        <f t="shared" si="10"/>
        <v>-1546.6866304830994</v>
      </c>
      <c r="AG71" s="619">
        <f>+AE71+AF71</f>
        <v>-10570.695151636593</v>
      </c>
    </row>
    <row r="72" spans="1:33">
      <c r="A72" s="614">
        <v>18925</v>
      </c>
      <c r="B72" s="474" t="s">
        <v>1079</v>
      </c>
      <c r="C72" s="618">
        <v>0</v>
      </c>
      <c r="D72" s="622">
        <f t="shared" si="12"/>
        <v>2.5329446476640226E-2</v>
      </c>
      <c r="E72" s="629">
        <f>C72*D72</f>
        <v>0</v>
      </c>
      <c r="F72" s="618">
        <v>0</v>
      </c>
      <c r="G72" s="622">
        <f t="shared" si="13"/>
        <v>7.7542918127145144E-2</v>
      </c>
      <c r="H72" s="617">
        <f>F72*G72</f>
        <v>0</v>
      </c>
      <c r="I72" s="618">
        <v>0</v>
      </c>
      <c r="J72" s="618">
        <v>0</v>
      </c>
      <c r="K72" s="617">
        <f>E72+H72+I72+J72</f>
        <v>0</v>
      </c>
      <c r="L72" s="618">
        <v>0</v>
      </c>
      <c r="M72" s="619">
        <f>K72+L72</f>
        <v>0</v>
      </c>
      <c r="N72" s="620">
        <f t="shared" si="4"/>
        <v>0</v>
      </c>
      <c r="O72" s="621"/>
      <c r="P72" s="619">
        <f t="shared" si="14"/>
        <v>0</v>
      </c>
      <c r="Q72" s="620">
        <f t="shared" si="5"/>
        <v>0</v>
      </c>
      <c r="R72" s="621"/>
      <c r="S72" s="632">
        <v>0</v>
      </c>
      <c r="T72" s="622">
        <f t="shared" si="15"/>
        <v>2.5648603792416423E-2</v>
      </c>
      <c r="U72" s="623">
        <f>S72*T72</f>
        <v>0</v>
      </c>
      <c r="V72" s="632">
        <v>0</v>
      </c>
      <c r="W72" s="622">
        <f t="shared" si="16"/>
        <v>7.8261985692743397E-2</v>
      </c>
      <c r="X72" s="617">
        <f>V72*W72</f>
        <v>0</v>
      </c>
      <c r="Y72" s="632">
        <v>0</v>
      </c>
      <c r="Z72" s="632">
        <v>0</v>
      </c>
      <c r="AA72" s="617">
        <f>U72+X72+Y72+Z72</f>
        <v>0</v>
      </c>
      <c r="AB72" s="624">
        <f>L72</f>
        <v>0</v>
      </c>
      <c r="AC72" s="619">
        <f>AA72+AB72</f>
        <v>0</v>
      </c>
      <c r="AD72" s="621"/>
      <c r="AE72" s="619">
        <f t="shared" si="18"/>
        <v>0</v>
      </c>
      <c r="AF72" s="619">
        <f t="shared" si="10"/>
        <v>0</v>
      </c>
      <c r="AG72" s="619">
        <f>+AE72+AF72</f>
        <v>0</v>
      </c>
    </row>
    <row r="73" spans="1:33">
      <c r="A73" s="614">
        <v>19267</v>
      </c>
      <c r="B73" s="474" t="s">
        <v>971</v>
      </c>
      <c r="C73" s="618">
        <v>16698.22</v>
      </c>
      <c r="D73" s="622">
        <f t="shared" si="12"/>
        <v>2.5329446476640226E-2</v>
      </c>
      <c r="E73" s="629">
        <f>C73*D73</f>
        <v>422.95666974516337</v>
      </c>
      <c r="F73" s="618">
        <v>16542.12</v>
      </c>
      <c r="G73" s="622">
        <f t="shared" si="13"/>
        <v>7.7542918127145144E-2</v>
      </c>
      <c r="H73" s="617">
        <f>F73*G73</f>
        <v>1282.7242568094102</v>
      </c>
      <c r="I73" s="618">
        <v>472.83</v>
      </c>
      <c r="J73" s="618">
        <v>0</v>
      </c>
      <c r="K73" s="617">
        <f>E73+H73+I73+J73</f>
        <v>2178.5109265545734</v>
      </c>
      <c r="L73" s="618">
        <v>0</v>
      </c>
      <c r="M73" s="619">
        <f>K73+L73</f>
        <v>2178.5109265545734</v>
      </c>
      <c r="N73" s="620">
        <f t="shared" si="4"/>
        <v>2.288851945779456E-5</v>
      </c>
      <c r="O73" s="621"/>
      <c r="P73" s="619">
        <f t="shared" si="14"/>
        <v>2260.9977128149758</v>
      </c>
      <c r="Q73" s="620">
        <f t="shared" si="5"/>
        <v>2.2888519457794567E-5</v>
      </c>
      <c r="R73" s="621"/>
      <c r="S73" s="632">
        <v>4012.7665384615389</v>
      </c>
      <c r="T73" s="622">
        <f t="shared" si="15"/>
        <v>2.5648603792416423E-2</v>
      </c>
      <c r="U73" s="623">
        <f>S73*T73</f>
        <v>102.92185905646635</v>
      </c>
      <c r="V73" s="632">
        <v>3953.7565384615391</v>
      </c>
      <c r="W73" s="622">
        <f t="shared" si="16"/>
        <v>7.8261985692743397E-2</v>
      </c>
      <c r="X73" s="617">
        <f>V73*W73</f>
        <v>309.42883764566761</v>
      </c>
      <c r="Y73" s="632">
        <v>101.16000000000003</v>
      </c>
      <c r="Z73" s="632">
        <v>0</v>
      </c>
      <c r="AA73" s="617">
        <f>U73+X73+Y73+Z73</f>
        <v>513.51069670213406</v>
      </c>
      <c r="AB73" s="624">
        <f>L73</f>
        <v>0</v>
      </c>
      <c r="AC73" s="619">
        <f>AA73+AB73</f>
        <v>513.51069670213406</v>
      </c>
      <c r="AD73" s="621"/>
      <c r="AE73" s="619">
        <f t="shared" si="18"/>
        <v>-1747.4870161128417</v>
      </c>
      <c r="AF73" s="619">
        <f t="shared" si="10"/>
        <v>-299.51376912253289</v>
      </c>
      <c r="AG73" s="619">
        <f>+AE73+AF73</f>
        <v>-2047.0007852353747</v>
      </c>
    </row>
    <row r="74" spans="1:33">
      <c r="A74" s="614">
        <v>22045</v>
      </c>
      <c r="B74" s="474" t="s">
        <v>1023</v>
      </c>
      <c r="C74" s="618">
        <v>0</v>
      </c>
      <c r="D74" s="622">
        <f t="shared" si="12"/>
        <v>2.5329446476640226E-2</v>
      </c>
      <c r="E74" s="629">
        <f>C74*D74</f>
        <v>0</v>
      </c>
      <c r="F74" s="618">
        <v>0</v>
      </c>
      <c r="G74" s="622">
        <f t="shared" si="13"/>
        <v>7.7542918127145144E-2</v>
      </c>
      <c r="H74" s="617">
        <f>F74*G74</f>
        <v>0</v>
      </c>
      <c r="I74" s="618">
        <v>0</v>
      </c>
      <c r="J74" s="618">
        <v>0</v>
      </c>
      <c r="K74" s="617">
        <f>E74+H74+I74+J74</f>
        <v>0</v>
      </c>
      <c r="L74" s="618">
        <v>0</v>
      </c>
      <c r="M74" s="619">
        <f>K74+L74</f>
        <v>0</v>
      </c>
      <c r="N74" s="620">
        <f t="shared" si="4"/>
        <v>0</v>
      </c>
      <c r="O74" s="621"/>
      <c r="P74" s="619">
        <f t="shared" si="14"/>
        <v>0</v>
      </c>
      <c r="Q74" s="620">
        <f t="shared" si="5"/>
        <v>0</v>
      </c>
      <c r="R74" s="621"/>
      <c r="S74" s="632">
        <v>2876.1523076923072</v>
      </c>
      <c r="T74" s="622">
        <f t="shared" si="15"/>
        <v>2.5648603792416423E-2</v>
      </c>
      <c r="U74" s="623">
        <f>S74*T74</f>
        <v>73.769290986644151</v>
      </c>
      <c r="V74" s="632">
        <v>2859.0023076923076</v>
      </c>
      <c r="W74" s="622">
        <f t="shared" si="16"/>
        <v>7.8261985692743397E-2</v>
      </c>
      <c r="X74" s="617">
        <f>V74*W74</f>
        <v>223.75119770013572</v>
      </c>
      <c r="Y74" s="632">
        <v>41.290000000000006</v>
      </c>
      <c r="Z74" s="632">
        <v>0</v>
      </c>
      <c r="AA74" s="617">
        <f>U74+X74+Y74+Z74</f>
        <v>338.81048868677988</v>
      </c>
      <c r="AB74" s="624">
        <f>L74</f>
        <v>0</v>
      </c>
      <c r="AC74" s="619">
        <f>AA74+AB74</f>
        <v>338.81048868677988</v>
      </c>
      <c r="AD74" s="621"/>
      <c r="AE74" s="619">
        <f t="shared" si="18"/>
        <v>338.81048868677988</v>
      </c>
      <c r="AF74" s="619">
        <f t="shared" si="10"/>
        <v>58.071050342082707</v>
      </c>
      <c r="AG74" s="619">
        <f>+AE74+AF74</f>
        <v>396.88153902886256</v>
      </c>
    </row>
    <row r="75" spans="1:33">
      <c r="A75" s="614">
        <v>18665</v>
      </c>
      <c r="B75" s="474" t="s">
        <v>1010</v>
      </c>
      <c r="C75" s="618">
        <v>2129520.87</v>
      </c>
      <c r="D75" s="622">
        <f t="shared" si="12"/>
        <v>2.5329446476640226E-2</v>
      </c>
      <c r="E75" s="629">
        <f>C75*D75</f>
        <v>53939.58489755333</v>
      </c>
      <c r="F75" s="618">
        <v>2101336.66</v>
      </c>
      <c r="G75" s="622">
        <f t="shared" si="13"/>
        <v>7.7542918127145144E-2</v>
      </c>
      <c r="H75" s="617">
        <f>F75*G75</f>
        <v>162943.77658394864</v>
      </c>
      <c r="I75" s="618">
        <v>61065.79</v>
      </c>
      <c r="J75" s="618">
        <v>0</v>
      </c>
      <c r="K75" s="617">
        <f>E75+H75+I75+J75</f>
        <v>277949.15148150193</v>
      </c>
      <c r="L75" s="618">
        <v>-13270.736804732624</v>
      </c>
      <c r="M75" s="619">
        <f>K75+L75</f>
        <v>264678.41467676929</v>
      </c>
      <c r="N75" s="620">
        <f t="shared" si="4"/>
        <v>2.9202720465687209E-3</v>
      </c>
      <c r="O75" s="621"/>
      <c r="P75" s="619">
        <f t="shared" si="14"/>
        <v>288473.37331121537</v>
      </c>
      <c r="Q75" s="620">
        <f t="shared" si="5"/>
        <v>2.9202720465687218E-3</v>
      </c>
      <c r="R75" s="621"/>
      <c r="S75" s="632">
        <v>1537031.6669230771</v>
      </c>
      <c r="T75" s="622">
        <f t="shared" si="15"/>
        <v>2.5648603792416423E-2</v>
      </c>
      <c r="U75" s="623">
        <f>S75*T75</f>
        <v>39422.716241307375</v>
      </c>
      <c r="V75" s="632">
        <v>1524125.2134615383</v>
      </c>
      <c r="W75" s="622">
        <f t="shared" si="16"/>
        <v>7.8261985692743397E-2</v>
      </c>
      <c r="X75" s="617">
        <f>V75*W75</f>
        <v>119281.06564987639</v>
      </c>
      <c r="Y75" s="632">
        <v>41871.425000000003</v>
      </c>
      <c r="Z75" s="632">
        <v>0</v>
      </c>
      <c r="AA75" s="617">
        <f>U75+X75+Y75+Z75</f>
        <v>200575.20689118374</v>
      </c>
      <c r="AB75" s="624">
        <f>L75</f>
        <v>-13270.736804732624</v>
      </c>
      <c r="AC75" s="619">
        <f>AA75+AB75</f>
        <v>187304.47008645113</v>
      </c>
      <c r="AD75" s="621"/>
      <c r="AE75" s="619">
        <f t="shared" si="18"/>
        <v>-87898.16642003163</v>
      </c>
      <c r="AF75" s="619">
        <f t="shared" si="10"/>
        <v>-15065.468802157504</v>
      </c>
      <c r="AG75" s="619">
        <f>+AE75+AF75</f>
        <v>-102963.63522218913</v>
      </c>
    </row>
    <row r="76" spans="1:33">
      <c r="A76" s="614">
        <v>18985</v>
      </c>
      <c r="B76" s="474" t="s">
        <v>1010</v>
      </c>
      <c r="C76" s="618">
        <v>0</v>
      </c>
      <c r="D76" s="622">
        <f t="shared" si="12"/>
        <v>2.5329446476640226E-2</v>
      </c>
      <c r="E76" s="629">
        <f t="shared" si="19"/>
        <v>0</v>
      </c>
      <c r="F76" s="618">
        <v>0</v>
      </c>
      <c r="G76" s="622">
        <f t="shared" si="13"/>
        <v>7.7542918127145144E-2</v>
      </c>
      <c r="H76" s="617">
        <f t="shared" si="20"/>
        <v>0</v>
      </c>
      <c r="I76" s="618">
        <v>0</v>
      </c>
      <c r="J76" s="618">
        <v>0</v>
      </c>
      <c r="K76" s="617">
        <f t="shared" si="21"/>
        <v>0</v>
      </c>
      <c r="L76" s="618">
        <v>0</v>
      </c>
      <c r="M76" s="619">
        <f t="shared" si="22"/>
        <v>0</v>
      </c>
      <c r="N76" s="620">
        <f t="shared" si="4"/>
        <v>0</v>
      </c>
      <c r="O76" s="621"/>
      <c r="P76" s="619">
        <f t="shared" si="14"/>
        <v>0</v>
      </c>
      <c r="Q76" s="620">
        <f t="shared" si="5"/>
        <v>0</v>
      </c>
      <c r="R76" s="621"/>
      <c r="S76" s="632">
        <v>0</v>
      </c>
      <c r="T76" s="622">
        <f t="shared" si="15"/>
        <v>2.5648603792416423E-2</v>
      </c>
      <c r="U76" s="623">
        <f t="shared" si="23"/>
        <v>0</v>
      </c>
      <c r="V76" s="632">
        <v>0</v>
      </c>
      <c r="W76" s="622">
        <f t="shared" si="16"/>
        <v>7.8261985692743397E-2</v>
      </c>
      <c r="X76" s="617">
        <f t="shared" si="24"/>
        <v>0</v>
      </c>
      <c r="Y76" s="632">
        <v>0</v>
      </c>
      <c r="Z76" s="632">
        <v>0</v>
      </c>
      <c r="AA76" s="617">
        <f t="shared" si="25"/>
        <v>0</v>
      </c>
      <c r="AB76" s="624">
        <f t="shared" si="26"/>
        <v>0</v>
      </c>
      <c r="AC76" s="619">
        <f t="shared" si="27"/>
        <v>0</v>
      </c>
      <c r="AD76" s="621"/>
      <c r="AE76" s="619">
        <f t="shared" si="18"/>
        <v>0</v>
      </c>
      <c r="AF76" s="619">
        <f t="shared" si="10"/>
        <v>0</v>
      </c>
      <c r="AG76" s="619">
        <f t="shared" si="28"/>
        <v>0</v>
      </c>
    </row>
    <row r="77" spans="1:33">
      <c r="A77" s="614">
        <v>19145</v>
      </c>
      <c r="B77" s="474" t="s">
        <v>1009</v>
      </c>
      <c r="C77" s="618">
        <v>738821.93</v>
      </c>
      <c r="D77" s="622">
        <f t="shared" si="12"/>
        <v>2.5329446476640226E-2</v>
      </c>
      <c r="E77" s="629">
        <f t="shared" si="19"/>
        <v>18713.950531703034</v>
      </c>
      <c r="F77" s="618">
        <v>736383.51</v>
      </c>
      <c r="G77" s="622">
        <f t="shared" si="13"/>
        <v>7.7542918127145144E-2</v>
      </c>
      <c r="H77" s="617">
        <f t="shared" si="20"/>
        <v>57101.32622610977</v>
      </c>
      <c r="I77" s="618">
        <v>21186.33</v>
      </c>
      <c r="J77" s="618">
        <v>0</v>
      </c>
      <c r="K77" s="617">
        <f t="shared" si="21"/>
        <v>97001.606757812799</v>
      </c>
      <c r="L77" s="618">
        <v>0</v>
      </c>
      <c r="M77" s="619">
        <f t="shared" si="22"/>
        <v>97001.606757812799</v>
      </c>
      <c r="N77" s="620">
        <f t="shared" si="4"/>
        <v>1.0191471324061392E-3</v>
      </c>
      <c r="O77" s="621"/>
      <c r="P77" s="619">
        <f t="shared" si="14"/>
        <v>100674.45994666593</v>
      </c>
      <c r="Q77" s="620">
        <f t="shared" si="5"/>
        <v>1.0191471324061394E-3</v>
      </c>
      <c r="R77" s="621"/>
      <c r="S77" s="632">
        <v>0</v>
      </c>
      <c r="T77" s="622">
        <f t="shared" si="15"/>
        <v>2.5648603792416423E-2</v>
      </c>
      <c r="U77" s="623">
        <f t="shared" si="23"/>
        <v>0</v>
      </c>
      <c r="V77" s="632">
        <v>0</v>
      </c>
      <c r="W77" s="622">
        <f t="shared" si="16"/>
        <v>7.8261985692743397E-2</v>
      </c>
      <c r="X77" s="617">
        <f t="shared" si="24"/>
        <v>0</v>
      </c>
      <c r="Y77" s="632">
        <v>0</v>
      </c>
      <c r="Z77" s="632">
        <v>0</v>
      </c>
      <c r="AA77" s="617">
        <f t="shared" si="25"/>
        <v>0</v>
      </c>
      <c r="AB77" s="624">
        <f t="shared" si="26"/>
        <v>0</v>
      </c>
      <c r="AC77" s="619">
        <f t="shared" si="27"/>
        <v>0</v>
      </c>
      <c r="AD77" s="621"/>
      <c r="AE77" s="619">
        <f t="shared" si="18"/>
        <v>-100674.45994666593</v>
      </c>
      <c r="AF77" s="619">
        <f t="shared" si="10"/>
        <v>-17255.28526104612</v>
      </c>
      <c r="AG77" s="619">
        <f t="shared" si="28"/>
        <v>-117929.74520771205</v>
      </c>
    </row>
    <row r="78" spans="1:33">
      <c r="A78" s="614">
        <v>19246</v>
      </c>
      <c r="B78" s="474" t="s">
        <v>1028</v>
      </c>
      <c r="C78" s="618">
        <v>123613.34</v>
      </c>
      <c r="D78" s="622">
        <f t="shared" si="12"/>
        <v>2.5329446476640226E-2</v>
      </c>
      <c r="E78" s="629">
        <f t="shared" si="19"/>
        <v>3131.0574793287301</v>
      </c>
      <c r="F78" s="618">
        <v>122003.11</v>
      </c>
      <c r="G78" s="622">
        <f t="shared" si="13"/>
        <v>7.7542918127145144E-2</v>
      </c>
      <c r="H78" s="617">
        <f t="shared" si="20"/>
        <v>9460.4771699870835</v>
      </c>
      <c r="I78" s="618">
        <v>3544.72</v>
      </c>
      <c r="J78" s="618">
        <v>0</v>
      </c>
      <c r="K78" s="617">
        <f t="shared" si="21"/>
        <v>16136.254649315813</v>
      </c>
      <c r="L78" s="618">
        <v>0</v>
      </c>
      <c r="M78" s="619">
        <f t="shared" si="22"/>
        <v>16136.254649315813</v>
      </c>
      <c r="N78" s="620">
        <f t="shared" si="4"/>
        <v>1.6953551805265219E-4</v>
      </c>
      <c r="O78" s="621"/>
      <c r="P78" s="619">
        <f t="shared" si="14"/>
        <v>16747.235192069678</v>
      </c>
      <c r="Q78" s="620">
        <f t="shared" si="5"/>
        <v>1.6953551805265224E-4</v>
      </c>
      <c r="R78" s="621"/>
      <c r="S78" s="632">
        <v>10398.949615384616</v>
      </c>
      <c r="T78" s="622">
        <f t="shared" si="15"/>
        <v>2.5648603792416423E-2</v>
      </c>
      <c r="U78" s="623">
        <f t="shared" si="23"/>
        <v>266.71853854230113</v>
      </c>
      <c r="V78" s="632">
        <v>10398.949615384616</v>
      </c>
      <c r="W78" s="622">
        <f t="shared" si="16"/>
        <v>7.8261985692743397E-2</v>
      </c>
      <c r="X78" s="617">
        <f t="shared" si="24"/>
        <v>813.84244601879027</v>
      </c>
      <c r="Y78" s="632">
        <v>0</v>
      </c>
      <c r="Z78" s="632">
        <v>0</v>
      </c>
      <c r="AA78" s="617">
        <f t="shared" si="25"/>
        <v>1080.5609845610913</v>
      </c>
      <c r="AB78" s="624">
        <f t="shared" si="26"/>
        <v>0</v>
      </c>
      <c r="AC78" s="619">
        <f t="shared" si="27"/>
        <v>1080.5609845610913</v>
      </c>
      <c r="AD78" s="621"/>
      <c r="AE78" s="619">
        <f t="shared" si="18"/>
        <v>-15666.674207508588</v>
      </c>
      <c r="AF78" s="619">
        <f t="shared" si="10"/>
        <v>-2685.2186014769586</v>
      </c>
      <c r="AG78" s="619">
        <f t="shared" si="28"/>
        <v>-18351.892808985547</v>
      </c>
    </row>
    <row r="79" spans="1:33">
      <c r="A79" s="614">
        <v>19248</v>
      </c>
      <c r="B79" s="474" t="s">
        <v>1021</v>
      </c>
      <c r="C79" s="618">
        <v>16708.29</v>
      </c>
      <c r="D79" s="622">
        <f t="shared" si="12"/>
        <v>2.5329446476640226E-2</v>
      </c>
      <c r="E79" s="629">
        <f t="shared" ref="E79:E87" si="29">C79*D79</f>
        <v>423.21173727118315</v>
      </c>
      <c r="F79" s="618">
        <v>16648.29</v>
      </c>
      <c r="G79" s="622">
        <f t="shared" si="13"/>
        <v>7.7542918127145144E-2</v>
      </c>
      <c r="H79" s="617">
        <f t="shared" ref="H79:H87" si="30">F79*G79</f>
        <v>1290.9569884269692</v>
      </c>
      <c r="I79" s="618">
        <v>479.12</v>
      </c>
      <c r="J79" s="618">
        <v>0</v>
      </c>
      <c r="K79" s="617">
        <f t="shared" ref="K79:K87" si="31">E79+H79+I79+J79</f>
        <v>2193.2887256981526</v>
      </c>
      <c r="L79" s="618">
        <v>0</v>
      </c>
      <c r="M79" s="619">
        <f t="shared" ref="M79:M87" si="32">K79+L79</f>
        <v>2193.2887256981526</v>
      </c>
      <c r="N79" s="620">
        <f t="shared" si="4"/>
        <v>2.304378236656323E-5</v>
      </c>
      <c r="O79" s="621"/>
      <c r="P79" s="619">
        <f t="shared" si="14"/>
        <v>2276.3350561612019</v>
      </c>
      <c r="Q79" s="620">
        <f t="shared" si="5"/>
        <v>2.3043782366563241E-5</v>
      </c>
      <c r="R79" s="621"/>
      <c r="S79" s="632">
        <v>667.51807692307693</v>
      </c>
      <c r="T79" s="622">
        <f t="shared" si="15"/>
        <v>2.5648603792416423E-2</v>
      </c>
      <c r="U79" s="623">
        <f t="shared" ref="U79:U87" si="33">S79*T79</f>
        <v>17.120906679275748</v>
      </c>
      <c r="V79" s="632">
        <v>667.51807692307693</v>
      </c>
      <c r="W79" s="622">
        <f t="shared" si="16"/>
        <v>7.8261985692743397E-2</v>
      </c>
      <c r="X79" s="617">
        <f t="shared" ref="X79:X87" si="34">V79*W79</f>
        <v>52.241290185801432</v>
      </c>
      <c r="Y79" s="632">
        <v>0</v>
      </c>
      <c r="Z79" s="632">
        <v>0</v>
      </c>
      <c r="AA79" s="617">
        <f t="shared" ref="AA79:AA87" si="35">U79+X79+Y79+Z79</f>
        <v>69.362196865077181</v>
      </c>
      <c r="AB79" s="624">
        <f t="shared" ref="AB79:AB87" si="36">L79</f>
        <v>0</v>
      </c>
      <c r="AC79" s="619">
        <f t="shared" ref="AC79:AC87" si="37">AA79+AB79</f>
        <v>69.362196865077181</v>
      </c>
      <c r="AD79" s="621"/>
      <c r="AE79" s="619">
        <f t="shared" si="18"/>
        <v>-2206.9728592961246</v>
      </c>
      <c r="AF79" s="619">
        <f t="shared" si="10"/>
        <v>-378.2681950388988</v>
      </c>
      <c r="AG79" s="619">
        <f t="shared" ref="AG79:AG87" si="38">+AE79+AF79</f>
        <v>-2585.2410543350234</v>
      </c>
    </row>
    <row r="80" spans="1:33">
      <c r="A80" s="614">
        <v>19265</v>
      </c>
      <c r="B80" s="474" t="s">
        <v>1022</v>
      </c>
      <c r="C80" s="618">
        <v>1135574.79</v>
      </c>
      <c r="D80" s="622">
        <f t="shared" si="12"/>
        <v>2.5329446476640226E-2</v>
      </c>
      <c r="E80" s="629">
        <f t="shared" si="29"/>
        <v>28763.480863526966</v>
      </c>
      <c r="F80" s="618">
        <v>1120545.46</v>
      </c>
      <c r="G80" s="622">
        <f t="shared" si="13"/>
        <v>7.7542918127145144E-2</v>
      </c>
      <c r="H80" s="617">
        <f t="shared" si="30"/>
        <v>86890.364862524191</v>
      </c>
      <c r="I80" s="618">
        <v>32563.55</v>
      </c>
      <c r="J80" s="618">
        <v>0</v>
      </c>
      <c r="K80" s="617">
        <f t="shared" si="31"/>
        <v>148217.39572605115</v>
      </c>
      <c r="L80" s="618">
        <v>0</v>
      </c>
      <c r="M80" s="619">
        <f t="shared" si="32"/>
        <v>148217.39572605115</v>
      </c>
      <c r="N80" s="620">
        <f t="shared" si="4"/>
        <v>1.5572456877343893E-3</v>
      </c>
      <c r="O80" s="621"/>
      <c r="P80" s="619">
        <f t="shared" si="14"/>
        <v>153829.47528567232</v>
      </c>
      <c r="Q80" s="620">
        <f t="shared" si="5"/>
        <v>1.5572456877343897E-3</v>
      </c>
      <c r="R80" s="621"/>
      <c r="S80" s="632">
        <v>0</v>
      </c>
      <c r="T80" s="622">
        <f t="shared" si="15"/>
        <v>2.5648603792416423E-2</v>
      </c>
      <c r="U80" s="623">
        <f t="shared" si="33"/>
        <v>0</v>
      </c>
      <c r="V80" s="632">
        <v>0</v>
      </c>
      <c r="W80" s="622">
        <f t="shared" si="16"/>
        <v>7.8261985692743397E-2</v>
      </c>
      <c r="X80" s="617">
        <f t="shared" si="34"/>
        <v>0</v>
      </c>
      <c r="Y80" s="632">
        <v>0</v>
      </c>
      <c r="Z80" s="632">
        <v>0</v>
      </c>
      <c r="AA80" s="617">
        <f t="shared" si="35"/>
        <v>0</v>
      </c>
      <c r="AB80" s="624">
        <f t="shared" si="36"/>
        <v>0</v>
      </c>
      <c r="AC80" s="619">
        <f t="shared" si="37"/>
        <v>0</v>
      </c>
      <c r="AD80" s="621"/>
      <c r="AE80" s="619">
        <f t="shared" si="18"/>
        <v>-153829.47528567232</v>
      </c>
      <c r="AF80" s="619">
        <f t="shared" si="10"/>
        <v>-26365.887425842862</v>
      </c>
      <c r="AG80" s="619">
        <f t="shared" si="38"/>
        <v>-180195.36271151519</v>
      </c>
    </row>
    <row r="81" spans="1:33">
      <c r="A81" s="614">
        <v>20625</v>
      </c>
      <c r="B81" s="474" t="s">
        <v>1008</v>
      </c>
      <c r="C81" s="618">
        <v>2946778.33</v>
      </c>
      <c r="D81" s="622">
        <f t="shared" si="12"/>
        <v>2.5329446476640226E-2</v>
      </c>
      <c r="E81" s="629">
        <f t="shared" si="29"/>
        <v>74640.263988258273</v>
      </c>
      <c r="F81" s="618">
        <v>2894916.4</v>
      </c>
      <c r="G81" s="622">
        <f t="shared" si="13"/>
        <v>7.7542918127145144E-2</v>
      </c>
      <c r="H81" s="617">
        <f t="shared" si="30"/>
        <v>224480.26539012976</v>
      </c>
      <c r="I81" s="618">
        <v>78027.31</v>
      </c>
      <c r="J81" s="618">
        <v>0</v>
      </c>
      <c r="K81" s="617">
        <f t="shared" si="31"/>
        <v>377147.83937838802</v>
      </c>
      <c r="L81" s="618">
        <v>0</v>
      </c>
      <c r="M81" s="619">
        <f t="shared" si="32"/>
        <v>377147.83937838802</v>
      </c>
      <c r="N81" s="620">
        <f t="shared" si="4"/>
        <v>3.9625028063228146E-3</v>
      </c>
      <c r="O81" s="621"/>
      <c r="P81" s="619">
        <f t="shared" si="14"/>
        <v>391428.10432274587</v>
      </c>
      <c r="Q81" s="620">
        <f t="shared" si="5"/>
        <v>3.9625028063228164E-3</v>
      </c>
      <c r="R81" s="621"/>
      <c r="S81" s="632">
        <v>3287719.210769231</v>
      </c>
      <c r="T81" s="622">
        <f t="shared" si="15"/>
        <v>2.5648603792416423E-2</v>
      </c>
      <c r="U81" s="623">
        <f t="shared" si="33"/>
        <v>84325.407417736031</v>
      </c>
      <c r="V81" s="632">
        <v>3247469.7173076919</v>
      </c>
      <c r="W81" s="622">
        <f t="shared" si="16"/>
        <v>7.8261985692743397E-2</v>
      </c>
      <c r="X81" s="617">
        <f t="shared" si="34"/>
        <v>254153.42855355202</v>
      </c>
      <c r="Y81" s="632">
        <v>93817.44</v>
      </c>
      <c r="Z81" s="632">
        <v>0</v>
      </c>
      <c r="AA81" s="617">
        <f t="shared" si="35"/>
        <v>432296.27597128804</v>
      </c>
      <c r="AB81" s="624">
        <f t="shared" si="36"/>
        <v>0</v>
      </c>
      <c r="AC81" s="619">
        <f t="shared" si="37"/>
        <v>432296.27597128804</v>
      </c>
      <c r="AD81" s="621"/>
      <c r="AE81" s="619">
        <f t="shared" si="18"/>
        <v>40868.171648542164</v>
      </c>
      <c r="AF81" s="619">
        <f t="shared" si="10"/>
        <v>7004.6758658211875</v>
      </c>
      <c r="AG81" s="619">
        <f t="shared" si="38"/>
        <v>47872.847514363355</v>
      </c>
    </row>
    <row r="82" spans="1:33">
      <c r="A82" s="614">
        <v>22047</v>
      </c>
      <c r="B82" s="474" t="s">
        <v>1026</v>
      </c>
      <c r="C82" s="618">
        <v>0</v>
      </c>
      <c r="D82" s="622">
        <f t="shared" si="12"/>
        <v>2.5329446476640226E-2</v>
      </c>
      <c r="E82" s="629">
        <f t="shared" si="29"/>
        <v>0</v>
      </c>
      <c r="F82" s="618">
        <v>0</v>
      </c>
      <c r="G82" s="622">
        <f t="shared" si="13"/>
        <v>7.7542918127145144E-2</v>
      </c>
      <c r="H82" s="617">
        <f t="shared" si="30"/>
        <v>0</v>
      </c>
      <c r="I82" s="618">
        <v>0</v>
      </c>
      <c r="J82" s="618">
        <v>0</v>
      </c>
      <c r="K82" s="617">
        <f t="shared" si="31"/>
        <v>0</v>
      </c>
      <c r="L82" s="618">
        <v>0</v>
      </c>
      <c r="M82" s="619">
        <f t="shared" si="32"/>
        <v>0</v>
      </c>
      <c r="N82" s="620">
        <f t="shared" si="4"/>
        <v>0</v>
      </c>
      <c r="O82" s="621"/>
      <c r="P82" s="619">
        <f t="shared" si="14"/>
        <v>0</v>
      </c>
      <c r="Q82" s="620">
        <f t="shared" si="5"/>
        <v>0</v>
      </c>
      <c r="R82" s="621"/>
      <c r="S82" s="632">
        <v>0</v>
      </c>
      <c r="T82" s="622">
        <f t="shared" si="15"/>
        <v>2.5648603792416423E-2</v>
      </c>
      <c r="U82" s="623">
        <f t="shared" si="33"/>
        <v>0</v>
      </c>
      <c r="V82" s="632">
        <v>0</v>
      </c>
      <c r="W82" s="622">
        <f t="shared" si="16"/>
        <v>7.8261985692743397E-2</v>
      </c>
      <c r="X82" s="617">
        <f t="shared" si="34"/>
        <v>0</v>
      </c>
      <c r="Y82" s="632">
        <v>0</v>
      </c>
      <c r="Z82" s="632">
        <v>0</v>
      </c>
      <c r="AA82" s="617">
        <f t="shared" si="35"/>
        <v>0</v>
      </c>
      <c r="AB82" s="624">
        <f t="shared" si="36"/>
        <v>0</v>
      </c>
      <c r="AC82" s="619">
        <f t="shared" si="37"/>
        <v>0</v>
      </c>
      <c r="AD82" s="621"/>
      <c r="AE82" s="619">
        <f t="shared" si="18"/>
        <v>0</v>
      </c>
      <c r="AF82" s="619">
        <f t="shared" si="10"/>
        <v>0</v>
      </c>
      <c r="AG82" s="619">
        <f t="shared" si="38"/>
        <v>0</v>
      </c>
    </row>
    <row r="83" spans="1:33">
      <c r="A83" s="614">
        <v>22048</v>
      </c>
      <c r="B83" s="474" t="s">
        <v>1027</v>
      </c>
      <c r="C83" s="618">
        <v>0</v>
      </c>
      <c r="D83" s="622">
        <f t="shared" si="12"/>
        <v>2.5329446476640226E-2</v>
      </c>
      <c r="E83" s="629">
        <f t="shared" si="29"/>
        <v>0</v>
      </c>
      <c r="F83" s="618">
        <v>0</v>
      </c>
      <c r="G83" s="622">
        <f t="shared" si="13"/>
        <v>7.7542918127145144E-2</v>
      </c>
      <c r="H83" s="617">
        <f t="shared" si="30"/>
        <v>0</v>
      </c>
      <c r="I83" s="618">
        <v>0</v>
      </c>
      <c r="J83" s="618">
        <v>0</v>
      </c>
      <c r="K83" s="617">
        <f t="shared" si="31"/>
        <v>0</v>
      </c>
      <c r="L83" s="618">
        <v>0</v>
      </c>
      <c r="M83" s="619">
        <f t="shared" si="32"/>
        <v>0</v>
      </c>
      <c r="N83" s="620">
        <f t="shared" si="4"/>
        <v>0</v>
      </c>
      <c r="O83" s="621"/>
      <c r="P83" s="619">
        <f t="shared" si="14"/>
        <v>0</v>
      </c>
      <c r="Q83" s="620">
        <f t="shared" si="5"/>
        <v>0</v>
      </c>
      <c r="R83" s="621"/>
      <c r="S83" s="632">
        <v>658.84461538461539</v>
      </c>
      <c r="T83" s="622">
        <f t="shared" si="15"/>
        <v>2.5648603792416423E-2</v>
      </c>
      <c r="U83" s="623">
        <f t="shared" si="33"/>
        <v>16.898444500766985</v>
      </c>
      <c r="V83" s="632">
        <v>658.84461538461539</v>
      </c>
      <c r="W83" s="622">
        <f t="shared" si="16"/>
        <v>7.8261985692743397E-2</v>
      </c>
      <c r="X83" s="617">
        <f t="shared" si="34"/>
        <v>51.562487862971793</v>
      </c>
      <c r="Y83" s="632">
        <v>0</v>
      </c>
      <c r="Z83" s="632">
        <v>0</v>
      </c>
      <c r="AA83" s="617">
        <f t="shared" si="35"/>
        <v>68.460932363738777</v>
      </c>
      <c r="AB83" s="624">
        <f t="shared" si="36"/>
        <v>0</v>
      </c>
      <c r="AC83" s="619">
        <f t="shared" si="37"/>
        <v>68.460932363738777</v>
      </c>
      <c r="AD83" s="621"/>
      <c r="AE83" s="619">
        <f t="shared" si="18"/>
        <v>68.460932363738777</v>
      </c>
      <c r="AF83" s="619">
        <f t="shared" si="10"/>
        <v>11.733988121707517</v>
      </c>
      <c r="AG83" s="619">
        <f t="shared" si="38"/>
        <v>80.194920485446289</v>
      </c>
    </row>
    <row r="84" spans="1:33">
      <c r="A84" s="614">
        <v>22145</v>
      </c>
      <c r="B84" s="474" t="s">
        <v>1024</v>
      </c>
      <c r="C84" s="618">
        <v>0</v>
      </c>
      <c r="D84" s="622">
        <f t="shared" si="12"/>
        <v>2.5329446476640226E-2</v>
      </c>
      <c r="E84" s="629">
        <f t="shared" si="29"/>
        <v>0</v>
      </c>
      <c r="F84" s="618">
        <v>0</v>
      </c>
      <c r="G84" s="622">
        <f t="shared" si="13"/>
        <v>7.7542918127145144E-2</v>
      </c>
      <c r="H84" s="617">
        <f t="shared" si="30"/>
        <v>0</v>
      </c>
      <c r="I84" s="618">
        <v>0</v>
      </c>
      <c r="J84" s="618">
        <v>0</v>
      </c>
      <c r="K84" s="617">
        <f t="shared" si="31"/>
        <v>0</v>
      </c>
      <c r="L84" s="618">
        <v>0</v>
      </c>
      <c r="M84" s="619">
        <f t="shared" si="32"/>
        <v>0</v>
      </c>
      <c r="N84" s="620">
        <f t="shared" si="4"/>
        <v>0</v>
      </c>
      <c r="O84" s="621"/>
      <c r="P84" s="619">
        <f t="shared" si="14"/>
        <v>0</v>
      </c>
      <c r="Q84" s="620">
        <f t="shared" si="5"/>
        <v>0</v>
      </c>
      <c r="R84" s="621"/>
      <c r="S84" s="632">
        <v>0</v>
      </c>
      <c r="T84" s="622">
        <f t="shared" si="15"/>
        <v>2.5648603792416423E-2</v>
      </c>
      <c r="U84" s="623">
        <f t="shared" si="33"/>
        <v>0</v>
      </c>
      <c r="V84" s="632">
        <v>0</v>
      </c>
      <c r="W84" s="622">
        <f t="shared" si="16"/>
        <v>7.8261985692743397E-2</v>
      </c>
      <c r="X84" s="617">
        <f t="shared" si="34"/>
        <v>0</v>
      </c>
      <c r="Y84" s="632">
        <v>0</v>
      </c>
      <c r="Z84" s="632">
        <v>0</v>
      </c>
      <c r="AA84" s="617">
        <f t="shared" si="35"/>
        <v>0</v>
      </c>
      <c r="AB84" s="624">
        <f t="shared" si="36"/>
        <v>0</v>
      </c>
      <c r="AC84" s="619">
        <f t="shared" si="37"/>
        <v>0</v>
      </c>
      <c r="AD84" s="621"/>
      <c r="AE84" s="619">
        <f t="shared" si="18"/>
        <v>0</v>
      </c>
      <c r="AF84" s="619">
        <f t="shared" si="10"/>
        <v>0</v>
      </c>
      <c r="AG84" s="619">
        <f t="shared" si="38"/>
        <v>0</v>
      </c>
    </row>
    <row r="85" spans="1:33">
      <c r="A85" s="614">
        <v>22146</v>
      </c>
      <c r="B85" s="474" t="s">
        <v>1025</v>
      </c>
      <c r="C85" s="618">
        <v>0</v>
      </c>
      <c r="D85" s="622">
        <f t="shared" si="12"/>
        <v>2.5329446476640226E-2</v>
      </c>
      <c r="E85" s="629">
        <f t="shared" si="29"/>
        <v>0</v>
      </c>
      <c r="F85" s="618">
        <v>0</v>
      </c>
      <c r="G85" s="622">
        <f t="shared" si="13"/>
        <v>7.7542918127145144E-2</v>
      </c>
      <c r="H85" s="617">
        <f t="shared" si="30"/>
        <v>0</v>
      </c>
      <c r="I85" s="618">
        <v>0</v>
      </c>
      <c r="J85" s="618">
        <v>0</v>
      </c>
      <c r="K85" s="617">
        <f t="shared" si="31"/>
        <v>0</v>
      </c>
      <c r="L85" s="618">
        <v>0</v>
      </c>
      <c r="M85" s="619">
        <f t="shared" si="32"/>
        <v>0</v>
      </c>
      <c r="N85" s="620">
        <f t="shared" si="4"/>
        <v>0</v>
      </c>
      <c r="O85" s="621"/>
      <c r="P85" s="619">
        <f t="shared" si="14"/>
        <v>0</v>
      </c>
      <c r="Q85" s="620">
        <f t="shared" si="5"/>
        <v>0</v>
      </c>
      <c r="R85" s="621"/>
      <c r="S85" s="632">
        <v>0</v>
      </c>
      <c r="T85" s="622">
        <f t="shared" si="15"/>
        <v>2.5648603792416423E-2</v>
      </c>
      <c r="U85" s="623">
        <f t="shared" si="33"/>
        <v>0</v>
      </c>
      <c r="V85" s="632">
        <v>0</v>
      </c>
      <c r="W85" s="622">
        <f t="shared" si="16"/>
        <v>7.8261985692743397E-2</v>
      </c>
      <c r="X85" s="617">
        <f t="shared" si="34"/>
        <v>0</v>
      </c>
      <c r="Y85" s="632">
        <v>0</v>
      </c>
      <c r="Z85" s="632">
        <v>0</v>
      </c>
      <c r="AA85" s="617">
        <f t="shared" si="35"/>
        <v>0</v>
      </c>
      <c r="AB85" s="624">
        <f t="shared" si="36"/>
        <v>0</v>
      </c>
      <c r="AC85" s="619">
        <f t="shared" si="37"/>
        <v>0</v>
      </c>
      <c r="AD85" s="621"/>
      <c r="AE85" s="619">
        <f t="shared" si="18"/>
        <v>0</v>
      </c>
      <c r="AF85" s="619">
        <f t="shared" si="10"/>
        <v>0</v>
      </c>
      <c r="AG85" s="619">
        <f t="shared" si="38"/>
        <v>0</v>
      </c>
    </row>
    <row r="86" spans="1:33">
      <c r="A86" s="614">
        <v>21648</v>
      </c>
      <c r="B86" s="474" t="s">
        <v>1092</v>
      </c>
      <c r="C86" s="618">
        <v>0</v>
      </c>
      <c r="D86" s="622">
        <f t="shared" si="12"/>
        <v>2.5329446476640226E-2</v>
      </c>
      <c r="E86" s="629">
        <f t="shared" si="29"/>
        <v>0</v>
      </c>
      <c r="F86" s="618">
        <v>0</v>
      </c>
      <c r="G86" s="622">
        <f t="shared" si="13"/>
        <v>7.7542918127145144E-2</v>
      </c>
      <c r="H86" s="617">
        <f t="shared" si="30"/>
        <v>0</v>
      </c>
      <c r="I86" s="618">
        <v>0</v>
      </c>
      <c r="J86" s="618">
        <v>0</v>
      </c>
      <c r="K86" s="617">
        <f t="shared" si="31"/>
        <v>0</v>
      </c>
      <c r="L86" s="618">
        <v>0</v>
      </c>
      <c r="M86" s="619">
        <f t="shared" si="32"/>
        <v>0</v>
      </c>
      <c r="N86" s="620">
        <f t="shared" si="4"/>
        <v>0</v>
      </c>
      <c r="O86" s="621"/>
      <c r="P86" s="619">
        <f t="shared" si="14"/>
        <v>0</v>
      </c>
      <c r="Q86" s="620">
        <f t="shared" si="5"/>
        <v>0</v>
      </c>
      <c r="R86" s="621"/>
      <c r="S86" s="632">
        <v>0</v>
      </c>
      <c r="T86" s="622">
        <f t="shared" si="15"/>
        <v>2.5648603792416423E-2</v>
      </c>
      <c r="U86" s="623">
        <f t="shared" si="33"/>
        <v>0</v>
      </c>
      <c r="V86" s="632">
        <v>0</v>
      </c>
      <c r="W86" s="622">
        <f t="shared" si="16"/>
        <v>7.8261985692743397E-2</v>
      </c>
      <c r="X86" s="617">
        <f t="shared" si="34"/>
        <v>0</v>
      </c>
      <c r="Y86" s="632">
        <v>0</v>
      </c>
      <c r="Z86" s="632">
        <v>0</v>
      </c>
      <c r="AA86" s="617">
        <f t="shared" si="35"/>
        <v>0</v>
      </c>
      <c r="AB86" s="624">
        <f t="shared" si="36"/>
        <v>0</v>
      </c>
      <c r="AC86" s="619">
        <f t="shared" si="37"/>
        <v>0</v>
      </c>
      <c r="AD86" s="621"/>
      <c r="AE86" s="619">
        <f t="shared" si="18"/>
        <v>0</v>
      </c>
      <c r="AF86" s="619">
        <f t="shared" si="10"/>
        <v>0</v>
      </c>
      <c r="AG86" s="619">
        <f t="shared" si="38"/>
        <v>0</v>
      </c>
    </row>
    <row r="87" spans="1:33">
      <c r="A87" s="614">
        <v>21812</v>
      </c>
      <c r="B87" s="474" t="s">
        <v>1082</v>
      </c>
      <c r="C87" s="618">
        <v>0</v>
      </c>
      <c r="D87" s="622">
        <f t="shared" si="12"/>
        <v>2.5329446476640226E-2</v>
      </c>
      <c r="E87" s="629">
        <f t="shared" si="29"/>
        <v>0</v>
      </c>
      <c r="F87" s="618">
        <v>0</v>
      </c>
      <c r="G87" s="622">
        <f t="shared" si="13"/>
        <v>7.7542918127145144E-2</v>
      </c>
      <c r="H87" s="617">
        <f t="shared" si="30"/>
        <v>0</v>
      </c>
      <c r="I87" s="618">
        <v>0</v>
      </c>
      <c r="J87" s="618">
        <v>0</v>
      </c>
      <c r="K87" s="617">
        <f t="shared" si="31"/>
        <v>0</v>
      </c>
      <c r="L87" s="618">
        <v>0</v>
      </c>
      <c r="M87" s="619">
        <f t="shared" si="32"/>
        <v>0</v>
      </c>
      <c r="N87" s="620">
        <f t="shared" si="4"/>
        <v>0</v>
      </c>
      <c r="O87" s="621"/>
      <c r="P87" s="619">
        <f t="shared" si="14"/>
        <v>0</v>
      </c>
      <c r="Q87" s="620">
        <f t="shared" si="5"/>
        <v>0</v>
      </c>
      <c r="R87" s="621"/>
      <c r="S87" s="632">
        <v>0</v>
      </c>
      <c r="T87" s="622">
        <f t="shared" si="15"/>
        <v>2.5648603792416423E-2</v>
      </c>
      <c r="U87" s="623">
        <f t="shared" si="33"/>
        <v>0</v>
      </c>
      <c r="V87" s="632">
        <v>0</v>
      </c>
      <c r="W87" s="622">
        <f t="shared" si="16"/>
        <v>7.8261985692743397E-2</v>
      </c>
      <c r="X87" s="617">
        <f t="shared" si="34"/>
        <v>0</v>
      </c>
      <c r="Y87" s="632">
        <v>0</v>
      </c>
      <c r="Z87" s="632">
        <v>0</v>
      </c>
      <c r="AA87" s="617">
        <f t="shared" si="35"/>
        <v>0</v>
      </c>
      <c r="AB87" s="624">
        <f t="shared" si="36"/>
        <v>0</v>
      </c>
      <c r="AC87" s="619">
        <f t="shared" si="37"/>
        <v>0</v>
      </c>
      <c r="AD87" s="621"/>
      <c r="AE87" s="619">
        <f t="shared" si="18"/>
        <v>0</v>
      </c>
      <c r="AF87" s="619">
        <f t="shared" si="10"/>
        <v>0</v>
      </c>
      <c r="AG87" s="619">
        <f t="shared" si="38"/>
        <v>0</v>
      </c>
    </row>
    <row r="88" spans="1:33">
      <c r="A88" s="614">
        <v>21814</v>
      </c>
      <c r="B88" s="474" t="s">
        <v>1083</v>
      </c>
      <c r="C88" s="618">
        <v>0</v>
      </c>
      <c r="D88" s="622">
        <f t="shared" si="12"/>
        <v>2.5329446476640226E-2</v>
      </c>
      <c r="E88" s="629">
        <f t="shared" ref="E88:E90" si="39">C88*D88</f>
        <v>0</v>
      </c>
      <c r="F88" s="618">
        <v>0</v>
      </c>
      <c r="G88" s="622">
        <f t="shared" si="13"/>
        <v>7.7542918127145144E-2</v>
      </c>
      <c r="H88" s="617">
        <f t="shared" ref="H88:H90" si="40">F88*G88</f>
        <v>0</v>
      </c>
      <c r="I88" s="618">
        <v>0</v>
      </c>
      <c r="J88" s="618">
        <v>0</v>
      </c>
      <c r="K88" s="617">
        <f t="shared" ref="K88:K90" si="41">E88+H88+I88+J88</f>
        <v>0</v>
      </c>
      <c r="L88" s="618">
        <v>0</v>
      </c>
      <c r="M88" s="619">
        <f t="shared" ref="M88:M90" si="42">K88+L88</f>
        <v>0</v>
      </c>
      <c r="N88" s="620">
        <f t="shared" si="4"/>
        <v>0</v>
      </c>
      <c r="O88" s="621"/>
      <c r="P88" s="619">
        <f t="shared" si="14"/>
        <v>0</v>
      </c>
      <c r="Q88" s="620">
        <f t="shared" si="5"/>
        <v>0</v>
      </c>
      <c r="R88" s="621"/>
      <c r="S88" s="632">
        <v>0</v>
      </c>
      <c r="T88" s="622">
        <f t="shared" si="15"/>
        <v>2.5648603792416423E-2</v>
      </c>
      <c r="U88" s="623">
        <f t="shared" ref="U88:U90" si="43">S88*T88</f>
        <v>0</v>
      </c>
      <c r="V88" s="632">
        <v>0</v>
      </c>
      <c r="W88" s="622">
        <f t="shared" si="16"/>
        <v>7.8261985692743397E-2</v>
      </c>
      <c r="X88" s="617">
        <f t="shared" ref="X88:X90" si="44">V88*W88</f>
        <v>0</v>
      </c>
      <c r="Y88" s="632">
        <v>0</v>
      </c>
      <c r="Z88" s="632">
        <v>0</v>
      </c>
      <c r="AA88" s="617">
        <f t="shared" ref="AA88:AA90" si="45">U88+X88+Y88+Z88</f>
        <v>0</v>
      </c>
      <c r="AB88" s="624">
        <f t="shared" ref="AB88:AB90" si="46">L88</f>
        <v>0</v>
      </c>
      <c r="AC88" s="619">
        <f t="shared" ref="AC88:AC90" si="47">AA88+AB88</f>
        <v>0</v>
      </c>
      <c r="AD88" s="621"/>
      <c r="AE88" s="619">
        <f t="shared" si="18"/>
        <v>0</v>
      </c>
      <c r="AF88" s="619">
        <f t="shared" si="10"/>
        <v>0</v>
      </c>
      <c r="AG88" s="619">
        <f t="shared" ref="AG88:AG90" si="48">+AE88+AF88</f>
        <v>0</v>
      </c>
    </row>
    <row r="89" spans="1:33">
      <c r="A89" s="614">
        <v>22085</v>
      </c>
      <c r="B89" s="474" t="s">
        <v>1084</v>
      </c>
      <c r="C89" s="618">
        <v>0</v>
      </c>
      <c r="D89" s="622">
        <f t="shared" si="12"/>
        <v>2.5329446476640226E-2</v>
      </c>
      <c r="E89" s="629">
        <f t="shared" si="39"/>
        <v>0</v>
      </c>
      <c r="F89" s="618">
        <v>0</v>
      </c>
      <c r="G89" s="622">
        <f t="shared" si="13"/>
        <v>7.7542918127145144E-2</v>
      </c>
      <c r="H89" s="617">
        <f t="shared" si="40"/>
        <v>0</v>
      </c>
      <c r="I89" s="618">
        <v>0</v>
      </c>
      <c r="J89" s="618">
        <v>0</v>
      </c>
      <c r="K89" s="617">
        <f t="shared" si="41"/>
        <v>0</v>
      </c>
      <c r="L89" s="618">
        <v>0</v>
      </c>
      <c r="M89" s="619">
        <f t="shared" si="42"/>
        <v>0</v>
      </c>
      <c r="N89" s="620">
        <f t="shared" si="4"/>
        <v>0</v>
      </c>
      <c r="O89" s="621"/>
      <c r="P89" s="619">
        <f t="shared" si="14"/>
        <v>0</v>
      </c>
      <c r="Q89" s="620">
        <f t="shared" si="5"/>
        <v>0</v>
      </c>
      <c r="R89" s="621"/>
      <c r="S89" s="632">
        <v>0</v>
      </c>
      <c r="T89" s="622">
        <f t="shared" si="15"/>
        <v>2.5648603792416423E-2</v>
      </c>
      <c r="U89" s="623">
        <f t="shared" si="43"/>
        <v>0</v>
      </c>
      <c r="V89" s="632">
        <v>0</v>
      </c>
      <c r="W89" s="622">
        <f t="shared" si="16"/>
        <v>7.8261985692743397E-2</v>
      </c>
      <c r="X89" s="617">
        <f t="shared" si="44"/>
        <v>0</v>
      </c>
      <c r="Y89" s="632">
        <v>0</v>
      </c>
      <c r="Z89" s="632">
        <v>0</v>
      </c>
      <c r="AA89" s="617">
        <f t="shared" si="45"/>
        <v>0</v>
      </c>
      <c r="AB89" s="624">
        <f t="shared" si="46"/>
        <v>0</v>
      </c>
      <c r="AC89" s="619">
        <f t="shared" si="47"/>
        <v>0</v>
      </c>
      <c r="AD89" s="621"/>
      <c r="AE89" s="619">
        <f t="shared" si="18"/>
        <v>0</v>
      </c>
      <c r="AF89" s="619">
        <f t="shared" si="10"/>
        <v>0</v>
      </c>
      <c r="AG89" s="619">
        <f t="shared" si="48"/>
        <v>0</v>
      </c>
    </row>
    <row r="90" spans="1:33">
      <c r="A90" s="614">
        <v>22225</v>
      </c>
      <c r="B90" s="474" t="s">
        <v>1075</v>
      </c>
      <c r="C90" s="618">
        <v>0</v>
      </c>
      <c r="D90" s="622">
        <f t="shared" si="12"/>
        <v>2.5329446476640226E-2</v>
      </c>
      <c r="E90" s="629">
        <f t="shared" si="39"/>
        <v>0</v>
      </c>
      <c r="F90" s="618">
        <v>0</v>
      </c>
      <c r="G90" s="622">
        <f t="shared" si="13"/>
        <v>7.7542918127145144E-2</v>
      </c>
      <c r="H90" s="617">
        <f t="shared" si="40"/>
        <v>0</v>
      </c>
      <c r="I90" s="618">
        <v>0</v>
      </c>
      <c r="J90" s="618">
        <v>0</v>
      </c>
      <c r="K90" s="617">
        <f t="shared" si="41"/>
        <v>0</v>
      </c>
      <c r="L90" s="618">
        <v>0</v>
      </c>
      <c r="M90" s="619">
        <f t="shared" si="42"/>
        <v>0</v>
      </c>
      <c r="N90" s="620">
        <f t="shared" si="4"/>
        <v>0</v>
      </c>
      <c r="O90" s="621"/>
      <c r="P90" s="619">
        <f t="shared" si="14"/>
        <v>0</v>
      </c>
      <c r="Q90" s="620">
        <f t="shared" si="5"/>
        <v>0</v>
      </c>
      <c r="R90" s="621"/>
      <c r="S90" s="632">
        <v>0</v>
      </c>
      <c r="T90" s="622">
        <f t="shared" si="15"/>
        <v>2.5648603792416423E-2</v>
      </c>
      <c r="U90" s="623">
        <f t="shared" si="43"/>
        <v>0</v>
      </c>
      <c r="V90" s="632">
        <v>0</v>
      </c>
      <c r="W90" s="622">
        <f t="shared" si="16"/>
        <v>7.8261985692743397E-2</v>
      </c>
      <c r="X90" s="617">
        <f t="shared" si="44"/>
        <v>0</v>
      </c>
      <c r="Y90" s="632">
        <v>0</v>
      </c>
      <c r="Z90" s="632">
        <v>0</v>
      </c>
      <c r="AA90" s="617">
        <f t="shared" si="45"/>
        <v>0</v>
      </c>
      <c r="AB90" s="624">
        <f t="shared" si="46"/>
        <v>0</v>
      </c>
      <c r="AC90" s="619">
        <f t="shared" si="47"/>
        <v>0</v>
      </c>
      <c r="AD90" s="621"/>
      <c r="AE90" s="619">
        <f t="shared" si="18"/>
        <v>0</v>
      </c>
      <c r="AF90" s="619">
        <f t="shared" si="10"/>
        <v>0</v>
      </c>
      <c r="AG90" s="619">
        <f t="shared" si="48"/>
        <v>0</v>
      </c>
    </row>
    <row r="91" spans="1:33">
      <c r="A91" s="614">
        <v>19146</v>
      </c>
      <c r="B91" s="474" t="s">
        <v>1011</v>
      </c>
      <c r="C91" s="618">
        <v>0</v>
      </c>
      <c r="D91" s="622">
        <f t="shared" si="12"/>
        <v>2.5329446476640226E-2</v>
      </c>
      <c r="E91" s="629">
        <f t="shared" ref="E91" si="49">C91*D91</f>
        <v>0</v>
      </c>
      <c r="F91" s="618">
        <v>0</v>
      </c>
      <c r="G91" s="622">
        <f t="shared" si="13"/>
        <v>7.7542918127145144E-2</v>
      </c>
      <c r="H91" s="617">
        <f t="shared" ref="H91" si="50">F91*G91</f>
        <v>0</v>
      </c>
      <c r="I91" s="618">
        <v>0</v>
      </c>
      <c r="J91" s="618">
        <v>0</v>
      </c>
      <c r="K91" s="617">
        <f t="shared" ref="K91" si="51">E91+H91+I91+J91</f>
        <v>0</v>
      </c>
      <c r="L91" s="618">
        <v>0</v>
      </c>
      <c r="M91" s="619">
        <f t="shared" ref="M91" si="52">K91+L91</f>
        <v>0</v>
      </c>
      <c r="N91" s="620">
        <f t="shared" ref="N91" si="53">+K91/$K$97</f>
        <v>0</v>
      </c>
      <c r="O91" s="621"/>
      <c r="P91" s="619">
        <f t="shared" ref="P91" si="54">+$P$41*N91</f>
        <v>0</v>
      </c>
      <c r="Q91" s="620">
        <f t="shared" ref="Q91" si="55">+P91/P$97</f>
        <v>0</v>
      </c>
      <c r="R91" s="621"/>
      <c r="S91" s="632">
        <v>0</v>
      </c>
      <c r="T91" s="622">
        <f t="shared" si="15"/>
        <v>2.5648603792416423E-2</v>
      </c>
      <c r="U91" s="623">
        <f t="shared" ref="U91" si="56">S91*T91</f>
        <v>0</v>
      </c>
      <c r="V91" s="632">
        <v>0</v>
      </c>
      <c r="W91" s="622">
        <f t="shared" si="16"/>
        <v>7.8261985692743397E-2</v>
      </c>
      <c r="X91" s="617">
        <f t="shared" ref="X91" si="57">V91*W91</f>
        <v>0</v>
      </c>
      <c r="Y91" s="632">
        <v>0</v>
      </c>
      <c r="Z91" s="632">
        <v>0</v>
      </c>
      <c r="AA91" s="617">
        <f t="shared" ref="AA91" si="58">U91+X91+Y91+Z91</f>
        <v>0</v>
      </c>
      <c r="AB91" s="624">
        <f t="shared" ref="AB91" si="59">L91</f>
        <v>0</v>
      </c>
      <c r="AC91" s="619">
        <f t="shared" ref="AC91" si="60">AA91+AB91</f>
        <v>0</v>
      </c>
      <c r="AD91" s="621"/>
      <c r="AE91" s="619">
        <f t="shared" ref="AE91" si="61">+AA91-P91</f>
        <v>0</v>
      </c>
      <c r="AF91" s="619">
        <f t="shared" si="10"/>
        <v>0</v>
      </c>
      <c r="AG91" s="619">
        <f t="shared" ref="AG91" si="62">+AE91+AF91</f>
        <v>0</v>
      </c>
    </row>
    <row r="92" spans="1:33">
      <c r="A92" s="614">
        <v>18985</v>
      </c>
      <c r="B92" s="474" t="s">
        <v>1134</v>
      </c>
      <c r="C92" s="618">
        <v>0</v>
      </c>
      <c r="D92" s="622">
        <f t="shared" si="12"/>
        <v>2.5329446476640226E-2</v>
      </c>
      <c r="E92" s="629">
        <f t="shared" ref="E92:E94" si="63">C92*D92</f>
        <v>0</v>
      </c>
      <c r="F92" s="618">
        <v>0</v>
      </c>
      <c r="G92" s="622">
        <f t="shared" si="13"/>
        <v>7.7542918127145144E-2</v>
      </c>
      <c r="H92" s="617">
        <f t="shared" ref="H92:H94" si="64">F92*G92</f>
        <v>0</v>
      </c>
      <c r="I92" s="618">
        <v>0</v>
      </c>
      <c r="J92" s="618">
        <v>0</v>
      </c>
      <c r="K92" s="617">
        <f t="shared" ref="K92:K94" si="65">E92+H92+I92+J92</f>
        <v>0</v>
      </c>
      <c r="L92" s="618">
        <v>0</v>
      </c>
      <c r="M92" s="619">
        <f t="shared" ref="M92:M94" si="66">K92+L92</f>
        <v>0</v>
      </c>
      <c r="N92" s="620">
        <f t="shared" ref="N92:N94" si="67">+K92/$K$97</f>
        <v>0</v>
      </c>
      <c r="O92" s="621"/>
      <c r="P92" s="619">
        <f t="shared" ref="P92:P94" si="68">+$P$41*N92</f>
        <v>0</v>
      </c>
      <c r="Q92" s="620">
        <f t="shared" ref="Q92:Q94" si="69">+P92/P$97</f>
        <v>0</v>
      </c>
      <c r="R92" s="621"/>
      <c r="S92" s="632">
        <v>0</v>
      </c>
      <c r="T92" s="622">
        <f t="shared" si="15"/>
        <v>2.5648603792416423E-2</v>
      </c>
      <c r="U92" s="623">
        <f t="shared" ref="U92:U94" si="70">S92*T92</f>
        <v>0</v>
      </c>
      <c r="V92" s="632">
        <v>0</v>
      </c>
      <c r="W92" s="622">
        <f t="shared" si="16"/>
        <v>7.8261985692743397E-2</v>
      </c>
      <c r="X92" s="617">
        <f t="shared" ref="X92:X94" si="71">V92*W92</f>
        <v>0</v>
      </c>
      <c r="Y92" s="632">
        <v>0</v>
      </c>
      <c r="Z92" s="632">
        <v>0</v>
      </c>
      <c r="AA92" s="617">
        <f t="shared" ref="AA92:AA94" si="72">U92+X92+Y92+Z92</f>
        <v>0</v>
      </c>
      <c r="AB92" s="624">
        <f t="shared" ref="AB92:AB94" si="73">L92</f>
        <v>0</v>
      </c>
      <c r="AC92" s="619">
        <f t="shared" ref="AC92:AC94" si="74">AA92+AB92</f>
        <v>0</v>
      </c>
      <c r="AD92" s="621"/>
      <c r="AE92" s="619">
        <f t="shared" ref="AE92:AE94" si="75">+AA92-P92</f>
        <v>0</v>
      </c>
      <c r="AF92" s="619">
        <f t="shared" si="10"/>
        <v>0</v>
      </c>
      <c r="AG92" s="619">
        <f t="shared" ref="AG92:AG94" si="76">+AE92+AF92</f>
        <v>0</v>
      </c>
    </row>
    <row r="93" spans="1:33">
      <c r="A93" s="614">
        <v>24782</v>
      </c>
      <c r="B93" s="474" t="s">
        <v>1073</v>
      </c>
      <c r="C93" s="618">
        <v>0</v>
      </c>
      <c r="D93" s="622">
        <f t="shared" si="12"/>
        <v>2.5329446476640226E-2</v>
      </c>
      <c r="E93" s="629">
        <f t="shared" si="63"/>
        <v>0</v>
      </c>
      <c r="F93" s="618">
        <v>0</v>
      </c>
      <c r="G93" s="622">
        <f t="shared" si="13"/>
        <v>7.7542918127145144E-2</v>
      </c>
      <c r="H93" s="617">
        <f t="shared" si="64"/>
        <v>0</v>
      </c>
      <c r="I93" s="618">
        <v>0</v>
      </c>
      <c r="J93" s="618">
        <v>0</v>
      </c>
      <c r="K93" s="617">
        <f t="shared" si="65"/>
        <v>0</v>
      </c>
      <c r="L93" s="618">
        <v>0</v>
      </c>
      <c r="M93" s="619">
        <f t="shared" si="66"/>
        <v>0</v>
      </c>
      <c r="N93" s="620">
        <f t="shared" si="67"/>
        <v>0</v>
      </c>
      <c r="O93" s="621"/>
      <c r="P93" s="619">
        <f t="shared" si="68"/>
        <v>0</v>
      </c>
      <c r="Q93" s="620">
        <f t="shared" si="69"/>
        <v>0</v>
      </c>
      <c r="R93" s="621"/>
      <c r="S93" s="632">
        <v>0</v>
      </c>
      <c r="T93" s="622">
        <f t="shared" si="15"/>
        <v>2.5648603792416423E-2</v>
      </c>
      <c r="U93" s="623">
        <f t="shared" si="70"/>
        <v>0</v>
      </c>
      <c r="V93" s="632">
        <v>0</v>
      </c>
      <c r="W93" s="622">
        <f t="shared" si="16"/>
        <v>7.8261985692743397E-2</v>
      </c>
      <c r="X93" s="617">
        <f t="shared" si="71"/>
        <v>0</v>
      </c>
      <c r="Y93" s="632">
        <v>0</v>
      </c>
      <c r="Z93" s="632">
        <v>0</v>
      </c>
      <c r="AA93" s="617">
        <f t="shared" si="72"/>
        <v>0</v>
      </c>
      <c r="AB93" s="624">
        <f t="shared" si="73"/>
        <v>0</v>
      </c>
      <c r="AC93" s="619">
        <f t="shared" si="74"/>
        <v>0</v>
      </c>
      <c r="AD93" s="621"/>
      <c r="AE93" s="619">
        <f t="shared" si="75"/>
        <v>0</v>
      </c>
      <c r="AF93" s="619">
        <f t="shared" si="10"/>
        <v>0</v>
      </c>
      <c r="AG93" s="619">
        <f t="shared" si="76"/>
        <v>0</v>
      </c>
    </row>
    <row r="94" spans="1:33">
      <c r="A94" s="614">
        <v>25262</v>
      </c>
      <c r="B94" s="474" t="s">
        <v>1074</v>
      </c>
      <c r="C94" s="618">
        <v>0</v>
      </c>
      <c r="D94" s="622">
        <f t="shared" si="12"/>
        <v>2.5329446476640226E-2</v>
      </c>
      <c r="E94" s="629">
        <f t="shared" si="63"/>
        <v>0</v>
      </c>
      <c r="F94" s="618">
        <v>0</v>
      </c>
      <c r="G94" s="622">
        <f t="shared" si="13"/>
        <v>7.7542918127145144E-2</v>
      </c>
      <c r="H94" s="617">
        <f t="shared" si="64"/>
        <v>0</v>
      </c>
      <c r="I94" s="618">
        <v>0</v>
      </c>
      <c r="J94" s="618">
        <v>0</v>
      </c>
      <c r="K94" s="617">
        <f t="shared" si="65"/>
        <v>0</v>
      </c>
      <c r="L94" s="618">
        <v>0</v>
      </c>
      <c r="M94" s="619">
        <f t="shared" si="66"/>
        <v>0</v>
      </c>
      <c r="N94" s="620">
        <f t="shared" si="67"/>
        <v>0</v>
      </c>
      <c r="O94" s="621"/>
      <c r="P94" s="619">
        <f t="shared" si="68"/>
        <v>0</v>
      </c>
      <c r="Q94" s="620">
        <f t="shared" si="69"/>
        <v>0</v>
      </c>
      <c r="R94" s="621"/>
      <c r="S94" s="632">
        <v>0</v>
      </c>
      <c r="T94" s="622">
        <f t="shared" si="15"/>
        <v>2.5648603792416423E-2</v>
      </c>
      <c r="U94" s="623">
        <f t="shared" si="70"/>
        <v>0</v>
      </c>
      <c r="V94" s="632">
        <v>0</v>
      </c>
      <c r="W94" s="622">
        <f t="shared" si="16"/>
        <v>7.8261985692743397E-2</v>
      </c>
      <c r="X94" s="617">
        <f t="shared" si="71"/>
        <v>0</v>
      </c>
      <c r="Y94" s="632">
        <v>0</v>
      </c>
      <c r="Z94" s="632">
        <v>0</v>
      </c>
      <c r="AA94" s="617">
        <f t="shared" si="72"/>
        <v>0</v>
      </c>
      <c r="AB94" s="624">
        <f t="shared" si="73"/>
        <v>0</v>
      </c>
      <c r="AC94" s="619">
        <f t="shared" si="74"/>
        <v>0</v>
      </c>
      <c r="AD94" s="621"/>
      <c r="AE94" s="619">
        <f t="shared" si="75"/>
        <v>0</v>
      </c>
      <c r="AF94" s="619">
        <f t="shared" si="10"/>
        <v>0</v>
      </c>
      <c r="AG94" s="619">
        <f t="shared" si="76"/>
        <v>0</v>
      </c>
    </row>
    <row r="95" spans="1:33">
      <c r="A95" s="614"/>
      <c r="B95" s="474"/>
      <c r="C95" s="618"/>
      <c r="D95" s="622"/>
      <c r="E95" s="629"/>
      <c r="F95" s="618"/>
      <c r="G95" s="622"/>
      <c r="H95" s="617"/>
      <c r="I95" s="618"/>
      <c r="J95" s="630"/>
      <c r="K95" s="617"/>
      <c r="L95" s="618"/>
      <c r="M95" s="619"/>
      <c r="N95" s="620"/>
      <c r="O95" s="621"/>
      <c r="P95" s="619"/>
      <c r="Q95" s="620"/>
      <c r="R95" s="621"/>
      <c r="S95" s="632"/>
      <c r="T95" s="622"/>
      <c r="U95" s="623"/>
      <c r="V95" s="800"/>
      <c r="W95" s="622"/>
      <c r="X95" s="617"/>
      <c r="Y95" s="800"/>
      <c r="Z95" s="632"/>
      <c r="AA95" s="617"/>
      <c r="AB95" s="801"/>
      <c r="AC95" s="619"/>
      <c r="AD95" s="621"/>
      <c r="AE95" s="619"/>
      <c r="AF95" s="619"/>
      <c r="AG95" s="619"/>
    </row>
    <row r="96" spans="1:33">
      <c r="A96" s="615"/>
      <c r="B96" s="616"/>
      <c r="C96" s="627"/>
      <c r="D96" s="627"/>
      <c r="E96" s="628"/>
      <c r="F96" s="627"/>
      <c r="G96" s="627"/>
      <c r="H96" s="625"/>
      <c r="I96" s="627"/>
      <c r="J96" s="625"/>
      <c r="K96" s="625"/>
      <c r="L96" s="625"/>
      <c r="M96" s="625"/>
      <c r="N96" s="625"/>
      <c r="O96" s="621"/>
      <c r="P96" s="625"/>
      <c r="Q96" s="625"/>
      <c r="R96" s="621"/>
      <c r="S96" s="626"/>
      <c r="T96" s="627"/>
      <c r="U96" s="628"/>
      <c r="V96" s="627"/>
      <c r="W96" s="627"/>
      <c r="X96" s="625"/>
      <c r="Y96" s="627"/>
      <c r="Z96" s="625"/>
      <c r="AA96" s="625"/>
      <c r="AB96" s="627"/>
      <c r="AC96" s="625"/>
      <c r="AD96" s="621"/>
      <c r="AE96" s="625"/>
      <c r="AF96" s="625"/>
      <c r="AG96" s="625"/>
    </row>
    <row r="97" spans="1:35">
      <c r="A97" s="440"/>
      <c r="B97" s="440" t="s">
        <v>472</v>
      </c>
      <c r="C97" s="463"/>
      <c r="D97" s="463"/>
      <c r="E97" s="441"/>
      <c r="F97" s="407"/>
      <c r="G97" s="407"/>
      <c r="H97" s="407"/>
      <c r="I97" s="407"/>
      <c r="J97" s="407"/>
      <c r="K97" s="402">
        <f>SUM(K47:K96)</f>
        <v>95179198.050431058</v>
      </c>
      <c r="L97" s="402">
        <f>SUM(L47:L96)</f>
        <v>-2902638.2021791614</v>
      </c>
      <c r="M97" s="402">
        <f>SUM(M47:M96)</f>
        <v>92276559.848251864</v>
      </c>
      <c r="N97" s="147">
        <f>SUM(N47:N96)</f>
        <v>0.99999999999999989</v>
      </c>
      <c r="O97" s="462"/>
      <c r="P97" s="402">
        <f>SUM(P47:P96)</f>
        <v>98783047.849999964</v>
      </c>
      <c r="Q97" s="147">
        <f>SUM(Q47:Q96)</f>
        <v>1</v>
      </c>
      <c r="R97" s="462"/>
      <c r="S97" s="463"/>
      <c r="T97" s="463"/>
      <c r="U97" s="441"/>
      <c r="V97" s="407"/>
      <c r="W97" s="407"/>
      <c r="X97" s="407"/>
      <c r="Y97" s="407"/>
      <c r="Z97" s="407"/>
      <c r="AA97" s="402">
        <f>SUM(AA47:AA96)</f>
        <v>95294551.697900087</v>
      </c>
      <c r="AB97" s="402">
        <f>SUM(AB47:AB96)</f>
        <v>-2902638.2021791614</v>
      </c>
      <c r="AC97" s="402">
        <f>SUM(AC47:AC96)</f>
        <v>92391913.495720923</v>
      </c>
      <c r="AD97" s="462"/>
      <c r="AE97" s="402">
        <f>SUM(AE47:AE96)</f>
        <v>-3488496.1520999074</v>
      </c>
      <c r="AF97" s="402">
        <f>SUM(AF47:AF96)</f>
        <v>-597917.25</v>
      </c>
      <c r="AG97" s="402">
        <f>SUM(AG47:AG96)</f>
        <v>-4086413.4020999055</v>
      </c>
      <c r="AI97" s="516">
        <f>AG97-'ATC Att GG ER21-2601'!O125</f>
        <v>0</v>
      </c>
    </row>
    <row r="98" spans="1:35">
      <c r="A98" s="462"/>
      <c r="B98" s="462"/>
      <c r="C98" s="462"/>
      <c r="D98" s="462"/>
      <c r="E98" s="465"/>
      <c r="F98" s="462"/>
      <c r="G98" s="462"/>
      <c r="H98" s="462"/>
      <c r="I98" s="462"/>
      <c r="J98" s="462"/>
      <c r="K98" s="462"/>
      <c r="L98" s="466"/>
      <c r="M98" s="462"/>
      <c r="N98" s="462"/>
      <c r="O98" s="462"/>
      <c r="P98" s="462"/>
      <c r="Q98" s="462"/>
      <c r="R98" s="462"/>
      <c r="S98" s="462"/>
      <c r="T98" s="462"/>
      <c r="U98" s="465"/>
      <c r="V98" s="462"/>
      <c r="W98" s="462"/>
      <c r="X98" s="462"/>
      <c r="Y98" s="462"/>
      <c r="Z98" s="462"/>
      <c r="AA98" s="462"/>
      <c r="AB98" s="466"/>
      <c r="AC98" s="462"/>
      <c r="AD98" s="462"/>
      <c r="AE98" s="462"/>
      <c r="AF98" s="462"/>
      <c r="AG98" s="462"/>
      <c r="AI98" s="413"/>
    </row>
    <row r="99" spans="1:35" ht="15.75">
      <c r="A99" s="471" t="s">
        <v>405</v>
      </c>
      <c r="B99" s="406"/>
      <c r="C99" s="462"/>
      <c r="D99" s="462"/>
      <c r="E99" s="465"/>
      <c r="F99" s="462"/>
      <c r="G99" s="462"/>
      <c r="H99" s="462"/>
      <c r="I99" s="462"/>
      <c r="J99" s="462"/>
      <c r="K99" s="472"/>
      <c r="L99" s="466"/>
      <c r="M99" s="462"/>
      <c r="N99" s="462"/>
      <c r="O99" s="462"/>
      <c r="P99" s="462"/>
      <c r="Q99" s="462"/>
      <c r="R99" s="462"/>
      <c r="S99" s="462"/>
      <c r="T99" s="462"/>
      <c r="U99" s="465"/>
      <c r="V99" s="462"/>
      <c r="W99" s="462"/>
      <c r="X99" s="462"/>
      <c r="Y99" s="462"/>
      <c r="Z99" s="462"/>
      <c r="AA99" s="472"/>
      <c r="AB99" s="466"/>
      <c r="AC99" s="462"/>
      <c r="AD99" s="462"/>
      <c r="AE99" s="545"/>
      <c r="AF99" s="545"/>
      <c r="AG99" s="545"/>
      <c r="AI99" s="413"/>
    </row>
    <row r="100" spans="1:35" ht="15.75">
      <c r="A100" s="473" t="s">
        <v>853</v>
      </c>
      <c r="B100" s="462"/>
      <c r="C100" s="462"/>
      <c r="D100" s="462"/>
      <c r="E100" s="465"/>
      <c r="F100" s="462"/>
      <c r="G100" s="462"/>
      <c r="H100" s="462"/>
      <c r="I100" s="462"/>
      <c r="J100" s="462"/>
      <c r="K100" s="462"/>
      <c r="L100" s="466"/>
      <c r="M100" s="462"/>
      <c r="N100" s="462"/>
      <c r="O100" s="462"/>
      <c r="P100" s="462"/>
      <c r="Q100" s="462"/>
      <c r="R100" s="462"/>
      <c r="S100" s="462"/>
      <c r="T100" s="462"/>
      <c r="U100" s="465"/>
      <c r="V100" s="462"/>
      <c r="W100" s="462"/>
      <c r="X100" s="462"/>
      <c r="Y100" s="462"/>
      <c r="Z100" s="462"/>
      <c r="AA100" s="462"/>
      <c r="AB100" s="466"/>
      <c r="AC100" s="462"/>
      <c r="AD100" s="462"/>
      <c r="AE100" s="462"/>
      <c r="AF100" s="462"/>
      <c r="AG100" s="462"/>
      <c r="AI100" s="462"/>
    </row>
    <row r="101" spans="1:35" ht="15.75">
      <c r="A101" s="473" t="s">
        <v>854</v>
      </c>
      <c r="B101" s="462"/>
      <c r="C101" s="462"/>
      <c r="D101" s="462"/>
      <c r="E101" s="465"/>
      <c r="F101" s="462"/>
      <c r="G101" s="462"/>
      <c r="H101" s="462"/>
      <c r="I101" s="462"/>
      <c r="J101" s="462"/>
      <c r="K101" s="462"/>
      <c r="L101" s="466"/>
      <c r="M101" s="462"/>
      <c r="N101" s="462"/>
      <c r="O101" s="462"/>
      <c r="P101" s="462"/>
      <c r="Q101" s="462"/>
      <c r="R101" s="462"/>
      <c r="S101" s="462"/>
      <c r="T101" s="462"/>
      <c r="U101" s="465"/>
      <c r="V101" s="462"/>
      <c r="W101" s="462"/>
      <c r="X101" s="462"/>
      <c r="Y101" s="462"/>
      <c r="Z101" s="462"/>
      <c r="AA101" s="462"/>
      <c r="AB101" s="466"/>
      <c r="AC101" s="462"/>
      <c r="AD101" s="462"/>
      <c r="AE101" s="462"/>
      <c r="AF101" s="462"/>
      <c r="AG101" s="462"/>
      <c r="AI101" s="462"/>
    </row>
    <row r="102" spans="1:35" ht="15.75">
      <c r="A102" s="473" t="s">
        <v>855</v>
      </c>
      <c r="B102" s="462"/>
      <c r="C102" s="462"/>
      <c r="D102" s="462"/>
      <c r="E102" s="465"/>
      <c r="F102" s="462"/>
      <c r="G102" s="462"/>
      <c r="H102" s="462"/>
      <c r="I102" s="462"/>
      <c r="J102" s="462"/>
      <c r="K102" s="462"/>
      <c r="L102" s="462"/>
      <c r="M102" s="462"/>
      <c r="N102" s="462"/>
      <c r="O102" s="462"/>
      <c r="P102" s="462"/>
      <c r="Q102" s="462"/>
      <c r="R102" s="462"/>
      <c r="S102" s="462"/>
      <c r="T102" s="462"/>
      <c r="U102" s="465"/>
      <c r="V102" s="462"/>
      <c r="W102" s="462"/>
      <c r="X102" s="462"/>
      <c r="Y102" s="462"/>
      <c r="Z102" s="462"/>
      <c r="AA102" s="462"/>
      <c r="AB102" s="462"/>
      <c r="AC102" s="462"/>
      <c r="AD102" s="462"/>
      <c r="AE102" s="462"/>
      <c r="AF102" s="462"/>
      <c r="AG102" s="462"/>
      <c r="AI102" s="462"/>
    </row>
    <row r="103" spans="1:35" ht="15.75">
      <c r="A103" s="473" t="s">
        <v>856</v>
      </c>
      <c r="B103" s="462"/>
      <c r="C103" s="462"/>
      <c r="D103" s="462"/>
      <c r="E103" s="465"/>
      <c r="F103" s="462"/>
      <c r="G103" s="462"/>
      <c r="H103" s="462"/>
      <c r="I103" s="462"/>
      <c r="J103" s="462"/>
      <c r="K103" s="462"/>
      <c r="L103" s="462"/>
      <c r="M103" s="462"/>
      <c r="N103" s="462"/>
      <c r="O103" s="462"/>
      <c r="P103" s="462"/>
      <c r="Q103" s="462"/>
      <c r="R103" s="462"/>
      <c r="S103" s="462"/>
      <c r="T103" s="462"/>
      <c r="U103" s="465"/>
      <c r="V103" s="462"/>
      <c r="W103" s="462"/>
      <c r="X103" s="462"/>
      <c r="Y103" s="462"/>
      <c r="Z103" s="462"/>
      <c r="AA103" s="462"/>
      <c r="AB103" s="462"/>
      <c r="AC103" s="462"/>
      <c r="AD103" s="462"/>
      <c r="AE103" s="462"/>
      <c r="AF103" s="462"/>
      <c r="AG103" s="462"/>
      <c r="AI103" s="462"/>
    </row>
    <row r="104" spans="1:35" ht="15.75">
      <c r="A104" s="473" t="s">
        <v>857</v>
      </c>
      <c r="B104" s="474"/>
      <c r="C104" s="474"/>
      <c r="D104" s="474"/>
      <c r="E104" s="474"/>
      <c r="F104" s="474"/>
      <c r="G104" s="474"/>
      <c r="H104" s="474"/>
      <c r="I104" s="474"/>
      <c r="J104" s="474"/>
      <c r="K104" s="474"/>
      <c r="L104" s="474"/>
      <c r="M104" s="474"/>
      <c r="N104" s="462"/>
      <c r="O104" s="462"/>
      <c r="P104" s="462"/>
      <c r="Q104" s="462"/>
      <c r="R104" s="462"/>
      <c r="S104" s="462"/>
      <c r="U104" s="395"/>
      <c r="AD104" s="462"/>
      <c r="AE104" s="462"/>
      <c r="AF104" s="462"/>
      <c r="AG104" s="462"/>
      <c r="AI104" s="462"/>
    </row>
    <row r="105" spans="1:35" ht="15.75">
      <c r="A105" s="473" t="s">
        <v>812</v>
      </c>
      <c r="B105" s="474"/>
      <c r="C105" s="474"/>
      <c r="D105" s="474"/>
      <c r="E105" s="474"/>
      <c r="F105" s="474"/>
      <c r="G105" s="474"/>
      <c r="H105" s="474"/>
      <c r="I105" s="474"/>
      <c r="J105" s="474"/>
      <c r="K105" s="474"/>
      <c r="L105" s="474"/>
      <c r="M105" s="474"/>
      <c r="N105" s="462"/>
      <c r="O105" s="462"/>
      <c r="P105" s="462"/>
      <c r="Q105" s="462"/>
      <c r="R105" s="462"/>
      <c r="S105" s="462"/>
      <c r="U105" s="395"/>
      <c r="AD105" s="462"/>
      <c r="AE105" s="462"/>
      <c r="AF105" s="462"/>
      <c r="AG105" s="462"/>
      <c r="AI105" s="462"/>
    </row>
    <row r="106" spans="1:35" ht="15.75" thickBot="1">
      <c r="A106" s="464"/>
      <c r="B106" s="464"/>
      <c r="C106" s="464"/>
      <c r="D106" s="464"/>
      <c r="E106" s="475"/>
      <c r="F106" s="464"/>
      <c r="G106" s="464"/>
      <c r="H106" s="464"/>
      <c r="I106" s="464"/>
      <c r="J106" s="464"/>
      <c r="K106" s="464"/>
      <c r="L106" s="464"/>
      <c r="M106" s="464"/>
      <c r="N106" s="464"/>
      <c r="O106" s="464"/>
      <c r="P106" s="464"/>
      <c r="Q106" s="464"/>
      <c r="R106" s="464"/>
      <c r="S106" s="464"/>
      <c r="T106" s="464"/>
      <c r="U106" s="475"/>
      <c r="V106" s="464"/>
      <c r="W106" s="464"/>
      <c r="X106" s="464"/>
      <c r="Y106" s="464"/>
      <c r="Z106" s="464"/>
      <c r="AA106" s="464"/>
      <c r="AB106" s="464"/>
      <c r="AC106" s="464"/>
      <c r="AD106" s="464"/>
      <c r="AE106" s="464"/>
      <c r="AF106" s="464"/>
      <c r="AG106" s="464"/>
      <c r="AH106" s="405"/>
      <c r="AI106" s="462"/>
    </row>
  </sheetData>
  <mergeCells count="4">
    <mergeCell ref="C40:N40"/>
    <mergeCell ref="P40:Q40"/>
    <mergeCell ref="S40:AC40"/>
    <mergeCell ref="AE40:AG40"/>
  </mergeCells>
  <pageMargins left="0.25" right="0.25" top="0.75" bottom="0.75" header="0.3" footer="0.3"/>
  <pageSetup scale="26" orientation="landscape" r:id="rId1"/>
  <colBreaks count="1" manualBreakCount="1">
    <brk id="3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E24"/>
  <sheetViews>
    <sheetView showGridLines="0" zoomScaleNormal="100" zoomScaleSheetLayoutView="100" workbookViewId="0">
      <pane xSplit="1" ySplit="2" topLeftCell="B3" activePane="bottomRight" state="frozen"/>
      <selection activeCell="B3" sqref="B3"/>
      <selection pane="topRight" activeCell="B3" sqref="B3"/>
      <selection pane="bottomLeft" activeCell="B3" sqref="B3"/>
      <selection pane="bottomRight" activeCell="K29" sqref="K29"/>
    </sheetView>
  </sheetViews>
  <sheetFormatPr defaultRowHeight="15"/>
  <cols>
    <col min="1" max="1" width="9.140625" style="519"/>
    <col min="2" max="2" width="34.140625" style="523" customWidth="1"/>
    <col min="3" max="5" width="15.5703125" style="523" customWidth="1"/>
    <col min="6" max="16384" width="9.140625" style="523"/>
  </cols>
  <sheetData>
    <row r="2" spans="2:5">
      <c r="B2" s="522" t="s">
        <v>1233</v>
      </c>
      <c r="C2" s="521"/>
      <c r="D2" s="521"/>
      <c r="E2" s="519"/>
    </row>
    <row r="3" spans="2:5">
      <c r="B3" s="515" t="s">
        <v>1234</v>
      </c>
      <c r="C3" s="521"/>
      <c r="D3" s="521"/>
      <c r="E3" s="519"/>
    </row>
    <row r="4" spans="2:5">
      <c r="B4" s="521" t="s">
        <v>885</v>
      </c>
      <c r="C4" s="521"/>
      <c r="D4" s="521"/>
      <c r="E4" s="519"/>
    </row>
    <row r="5" spans="2:5">
      <c r="B5" s="524" t="str">
        <f>IF($E$19&lt;0,"Applicable Annual Quarter","Month")</f>
        <v>Applicable Annual Quarter</v>
      </c>
      <c r="C5" s="524" t="str">
        <f>IF($E$19&lt;0,"","Debt Amount")</f>
        <v/>
      </c>
      <c r="D5" s="524" t="str">
        <f>IF($E$19&lt;0,"Annual Rate","Monthly Effective Rate")</f>
        <v>Annual Rate</v>
      </c>
      <c r="E5" s="524" t="str">
        <f>IF($E$19&lt;0,"Monthly Rate","Weighted Effective Rate")</f>
        <v>Monthly Rate</v>
      </c>
    </row>
    <row r="6" spans="2:5">
      <c r="B6" s="519"/>
      <c r="C6" s="519"/>
      <c r="D6" s="525"/>
      <c r="E6" s="519"/>
    </row>
    <row r="7" spans="2:5">
      <c r="B7" s="526" t="s">
        <v>1235</v>
      </c>
      <c r="C7" s="527" t="s">
        <v>617</v>
      </c>
      <c r="D7" s="528">
        <v>6.3100000000000003E-2</v>
      </c>
      <c r="E7" s="529">
        <f t="shared" ref="E7:E13" si="0">IF($E$19&lt;0,ROUND(D7/12,4),$C7/SUM($C$7:$C$14)*$D7)</f>
        <v>5.3E-3</v>
      </c>
    </row>
    <row r="8" spans="2:5">
      <c r="B8" s="526" t="s">
        <v>1236</v>
      </c>
      <c r="C8" s="527" t="s">
        <v>617</v>
      </c>
      <c r="D8" s="528">
        <v>7.4999999999999997E-2</v>
      </c>
      <c r="E8" s="529">
        <f t="shared" si="0"/>
        <v>6.3E-3</v>
      </c>
    </row>
    <row r="9" spans="2:5">
      <c r="B9" s="526" t="s">
        <v>1237</v>
      </c>
      <c r="C9" s="527" t="s">
        <v>617</v>
      </c>
      <c r="D9" s="528">
        <v>8.0199999999999994E-2</v>
      </c>
      <c r="E9" s="529">
        <f t="shared" si="0"/>
        <v>6.7000000000000002E-3</v>
      </c>
    </row>
    <row r="10" spans="2:5">
      <c r="B10" s="526" t="s">
        <v>1238</v>
      </c>
      <c r="C10" s="527" t="s">
        <v>617</v>
      </c>
      <c r="D10" s="528">
        <v>8.3500000000000005E-2</v>
      </c>
      <c r="E10" s="529">
        <f t="shared" si="0"/>
        <v>7.0000000000000001E-3</v>
      </c>
    </row>
    <row r="11" spans="2:5">
      <c r="B11" s="526" t="s">
        <v>1239</v>
      </c>
      <c r="C11" s="527" t="s">
        <v>617</v>
      </c>
      <c r="D11" s="528">
        <v>8.5000000000000006E-2</v>
      </c>
      <c r="E11" s="529">
        <f t="shared" si="0"/>
        <v>7.1000000000000004E-3</v>
      </c>
    </row>
    <row r="12" spans="2:5">
      <c r="B12" s="526" t="s">
        <v>1240</v>
      </c>
      <c r="C12" s="527" t="s">
        <v>617</v>
      </c>
      <c r="D12" s="528">
        <v>8.5000000000000006E-2</v>
      </c>
      <c r="E12" s="529">
        <f t="shared" si="0"/>
        <v>7.1000000000000004E-3</v>
      </c>
    </row>
    <row r="13" spans="2:5">
      <c r="B13" s="526" t="s">
        <v>1241</v>
      </c>
      <c r="C13" s="527" t="s">
        <v>617</v>
      </c>
      <c r="D13" s="528">
        <v>8.5000000000000006E-2</v>
      </c>
      <c r="E13" s="529">
        <f t="shared" si="0"/>
        <v>7.1000000000000004E-3</v>
      </c>
    </row>
    <row r="14" spans="2:5" s="519" customFormat="1">
      <c r="B14" s="526" t="s">
        <v>617</v>
      </c>
      <c r="C14" s="527" t="s">
        <v>617</v>
      </c>
      <c r="D14" s="528" t="s">
        <v>617</v>
      </c>
      <c r="E14" s="529" t="str">
        <f>IF($E$19&lt;0,"",$C14/SUM($C$7:$C$14)*$D14)</f>
        <v/>
      </c>
    </row>
    <row r="15" spans="2:5" s="519" customFormat="1">
      <c r="B15" s="526"/>
      <c r="C15" s="527"/>
      <c r="D15" s="530"/>
    </row>
    <row r="16" spans="2:5" s="519" customFormat="1">
      <c r="B16" s="520"/>
      <c r="C16" s="531" t="str">
        <f>IF($E$19&lt;0,"Average FERC Rate","Average ST Debt Rate")</f>
        <v>Average FERC Rate</v>
      </c>
      <c r="D16" s="532"/>
      <c r="E16" s="540">
        <f>IF(E19&lt;0,AVERAGE(E7:E15)*12,SUM(E7:E15))</f>
        <v>7.9885714285714282E-2</v>
      </c>
    </row>
    <row r="17" spans="2:5" s="519" customFormat="1">
      <c r="B17" s="520"/>
      <c r="C17" s="531"/>
      <c r="D17" s="532"/>
      <c r="E17" s="532"/>
    </row>
    <row r="18" spans="2:5" s="519" customFormat="1">
      <c r="B18" s="520"/>
      <c r="C18" s="531"/>
      <c r="D18" s="532"/>
      <c r="E18" s="532"/>
    </row>
    <row r="19" spans="2:5" s="519" customFormat="1">
      <c r="D19" s="531" t="str">
        <f>IF(E19&lt;0,"Over Collected Amount","Under Collected Amount")</f>
        <v>Over Collected Amount</v>
      </c>
      <c r="E19" s="533">
        <f>'GG True-up Template'!AE97</f>
        <v>-3488496.1520999074</v>
      </c>
    </row>
    <row r="20" spans="2:5" s="519" customFormat="1">
      <c r="D20" s="531"/>
      <c r="E20" s="533"/>
    </row>
    <row r="21" spans="2:5" s="519" customFormat="1">
      <c r="D21" s="531" t="s">
        <v>883</v>
      </c>
      <c r="E21" s="519">
        <v>2</v>
      </c>
    </row>
    <row r="22" spans="2:5" s="519" customFormat="1">
      <c r="D22" s="531" t="s">
        <v>882</v>
      </c>
      <c r="E22" s="534">
        <f>ROUND(IF(E19&lt;0,-FV(E16/4,E21*4,0,E19)-E19,FV(E16/4,E21*4,0,-E19)-E19),2)</f>
        <v>-597917.25</v>
      </c>
    </row>
    <row r="23" spans="2:5" s="519" customFormat="1"/>
    <row r="24" spans="2:5" s="519" customFormat="1" ht="15.75" thickBot="1">
      <c r="E24" s="536">
        <f>E19+E22</f>
        <v>-4086413.4020999074</v>
      </c>
    </row>
  </sheetData>
  <pageMargins left="0.7" right="0.7" top="0.75" bottom="0.75" header="0.3" footer="0.3"/>
  <pageSetup orientation="portrait" verticalDpi="597"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B1:F60"/>
  <sheetViews>
    <sheetView showGridLines="0" zoomScaleNormal="100" zoomScaleSheetLayoutView="90" workbookViewId="0">
      <pane ySplit="3" topLeftCell="A34" activePane="bottomLeft" state="frozen"/>
      <selection activeCell="D121" sqref="D121"/>
      <selection pane="bottomLeft" activeCell="F72" sqref="F72"/>
    </sheetView>
  </sheetViews>
  <sheetFormatPr defaultRowHeight="12.75"/>
  <cols>
    <col min="1" max="1" width="9.140625" style="164"/>
    <col min="2" max="3" width="12.28515625" style="164" customWidth="1"/>
    <col min="4" max="4" width="20" style="164" bestFit="1" customWidth="1"/>
    <col min="5" max="5" width="39" style="164" customWidth="1"/>
    <col min="6" max="6" width="123.5703125" style="164" customWidth="1"/>
    <col min="7" max="7" width="9.42578125" style="164" customWidth="1"/>
    <col min="8" max="16384" width="9.140625" style="164"/>
  </cols>
  <sheetData>
    <row r="1" spans="2:6">
      <c r="B1" s="230" t="s">
        <v>608</v>
      </c>
      <c r="C1" s="230"/>
    </row>
    <row r="3" spans="2:6" ht="25.5">
      <c r="B3" s="228" t="s">
        <v>583</v>
      </c>
      <c r="C3" s="819" t="s">
        <v>1179</v>
      </c>
      <c r="D3" s="229" t="s">
        <v>607</v>
      </c>
      <c r="E3" s="229" t="s">
        <v>606</v>
      </c>
      <c r="F3" s="228" t="s">
        <v>605</v>
      </c>
    </row>
    <row r="4" spans="2:6" ht="25.5">
      <c r="B4" s="224">
        <v>345</v>
      </c>
      <c r="C4" s="224" t="s">
        <v>1180</v>
      </c>
      <c r="D4" s="225">
        <v>39896</v>
      </c>
      <c r="E4" s="226" t="s">
        <v>604</v>
      </c>
      <c r="F4" s="227" t="s">
        <v>603</v>
      </c>
    </row>
    <row r="5" spans="2:6" ht="38.25">
      <c r="B5" s="224">
        <v>352</v>
      </c>
      <c r="C5" s="224" t="s">
        <v>1180</v>
      </c>
      <c r="D5" s="225">
        <v>39896</v>
      </c>
      <c r="E5" s="226" t="s">
        <v>1061</v>
      </c>
      <c r="F5" s="227" t="s">
        <v>600</v>
      </c>
    </row>
    <row r="6" spans="2:6" ht="38.25">
      <c r="B6" s="224">
        <v>356</v>
      </c>
      <c r="C6" s="224" t="s">
        <v>1181</v>
      </c>
      <c r="D6" s="225">
        <v>41368</v>
      </c>
      <c r="E6" s="226" t="s">
        <v>599</v>
      </c>
      <c r="F6" s="227" t="s">
        <v>598</v>
      </c>
    </row>
    <row r="7" spans="2:6">
      <c r="B7" s="224">
        <v>1270</v>
      </c>
      <c r="C7" s="224" t="s">
        <v>1182</v>
      </c>
      <c r="D7" s="225">
        <v>41460</v>
      </c>
      <c r="E7" s="226" t="s">
        <v>1135</v>
      </c>
      <c r="F7" s="227" t="s">
        <v>1136</v>
      </c>
    </row>
    <row r="8" spans="2:6">
      <c r="B8" s="224">
        <v>1453</v>
      </c>
      <c r="C8" s="224" t="s">
        <v>1180</v>
      </c>
      <c r="D8" s="225">
        <v>39023</v>
      </c>
      <c r="E8" s="226" t="s">
        <v>602</v>
      </c>
      <c r="F8" s="227" t="s">
        <v>601</v>
      </c>
    </row>
    <row r="9" spans="2:6">
      <c r="B9" s="224">
        <v>1616</v>
      </c>
      <c r="C9" s="224" t="s">
        <v>1183</v>
      </c>
      <c r="D9" s="225">
        <v>39294</v>
      </c>
      <c r="E9" s="226" t="s">
        <v>597</v>
      </c>
      <c r="F9" s="227" t="s">
        <v>1184</v>
      </c>
    </row>
    <row r="10" spans="2:6">
      <c r="B10" s="224">
        <v>1950</v>
      </c>
      <c r="C10" s="224" t="s">
        <v>1185</v>
      </c>
      <c r="D10" s="225">
        <v>41460</v>
      </c>
      <c r="E10" s="226">
        <v>3831</v>
      </c>
      <c r="F10" s="227" t="s">
        <v>592</v>
      </c>
    </row>
    <row r="11" spans="2:6" ht="25.5">
      <c r="B11" s="224" t="s">
        <v>482</v>
      </c>
      <c r="C11" s="224" t="s">
        <v>1186</v>
      </c>
      <c r="D11" s="225" t="s">
        <v>949</v>
      </c>
      <c r="E11" s="226" t="s">
        <v>596</v>
      </c>
      <c r="F11" s="227" t="s">
        <v>595</v>
      </c>
    </row>
    <row r="12" spans="2:6">
      <c r="B12" s="224">
        <v>2793</v>
      </c>
      <c r="C12" s="224" t="s">
        <v>1187</v>
      </c>
      <c r="D12" s="225">
        <v>40298</v>
      </c>
      <c r="E12" s="226">
        <v>4913</v>
      </c>
      <c r="F12" s="227" t="s">
        <v>593</v>
      </c>
    </row>
    <row r="13" spans="2:6">
      <c r="B13" s="224">
        <v>2837</v>
      </c>
      <c r="C13" s="224" t="s">
        <v>1187</v>
      </c>
      <c r="D13" s="225">
        <v>40148</v>
      </c>
      <c r="E13" s="226">
        <v>5042</v>
      </c>
      <c r="F13" s="227" t="s">
        <v>594</v>
      </c>
    </row>
    <row r="14" spans="2:6">
      <c r="B14" s="224">
        <v>2846</v>
      </c>
      <c r="C14" s="224" t="s">
        <v>1185</v>
      </c>
      <c r="D14" s="225">
        <v>41803</v>
      </c>
      <c r="E14" s="226">
        <v>5068</v>
      </c>
      <c r="F14" s="221" t="s">
        <v>589</v>
      </c>
    </row>
    <row r="15" spans="2:6">
      <c r="B15" s="224">
        <v>3125</v>
      </c>
      <c r="C15" s="224" t="s">
        <v>1182</v>
      </c>
      <c r="D15" s="225">
        <v>41460</v>
      </c>
      <c r="E15" s="222">
        <v>5476</v>
      </c>
      <c r="F15" s="221" t="s">
        <v>588</v>
      </c>
    </row>
    <row r="16" spans="2:6" ht="204">
      <c r="B16" s="224">
        <v>3206</v>
      </c>
      <c r="C16" s="224" t="s">
        <v>1185</v>
      </c>
      <c r="D16" s="225">
        <v>41460</v>
      </c>
      <c r="E16" s="226" t="s">
        <v>591</v>
      </c>
      <c r="F16" s="221" t="s">
        <v>590</v>
      </c>
    </row>
    <row r="17" spans="2:6">
      <c r="B17" s="224">
        <v>3679</v>
      </c>
      <c r="C17" s="224" t="s">
        <v>1182</v>
      </c>
      <c r="D17" s="225">
        <v>41803</v>
      </c>
      <c r="E17" s="222" t="s">
        <v>1062</v>
      </c>
      <c r="F17" s="221" t="s">
        <v>587</v>
      </c>
    </row>
    <row r="18" spans="2:6">
      <c r="B18" s="224">
        <v>12284</v>
      </c>
      <c r="C18" s="224" t="s">
        <v>1188</v>
      </c>
      <c r="D18" s="225">
        <v>43077</v>
      </c>
      <c r="E18" s="222" t="s">
        <v>892</v>
      </c>
      <c r="F18" s="221" t="s">
        <v>893</v>
      </c>
    </row>
    <row r="19" spans="2:6">
      <c r="B19" s="224">
        <v>13103</v>
      </c>
      <c r="C19" s="224" t="s">
        <v>1188</v>
      </c>
      <c r="D19" s="225">
        <v>43077</v>
      </c>
      <c r="E19" s="222">
        <v>22574</v>
      </c>
      <c r="F19" s="221" t="s">
        <v>942</v>
      </c>
    </row>
    <row r="20" spans="2:6">
      <c r="B20" s="224">
        <v>13769</v>
      </c>
      <c r="C20" s="224" t="s">
        <v>1189</v>
      </c>
      <c r="D20" s="225">
        <v>43475</v>
      </c>
      <c r="E20" s="222">
        <v>22838</v>
      </c>
      <c r="F20" s="221" t="s">
        <v>895</v>
      </c>
    </row>
    <row r="21" spans="2:6">
      <c r="B21" s="224">
        <v>13784</v>
      </c>
      <c r="C21" s="224" t="s">
        <v>1189</v>
      </c>
      <c r="D21" s="225">
        <v>43475</v>
      </c>
      <c r="E21" s="222">
        <v>22844</v>
      </c>
      <c r="F21" s="221" t="s">
        <v>894</v>
      </c>
    </row>
    <row r="22" spans="2:6">
      <c r="B22" s="224">
        <v>14925</v>
      </c>
      <c r="C22" s="224" t="s">
        <v>1189</v>
      </c>
      <c r="D22" s="225">
        <v>43475</v>
      </c>
      <c r="E22" s="222">
        <v>23408</v>
      </c>
      <c r="F22" s="221" t="s">
        <v>950</v>
      </c>
    </row>
    <row r="23" spans="2:6">
      <c r="B23" s="224">
        <v>16494</v>
      </c>
      <c r="C23" s="224" t="s">
        <v>1190</v>
      </c>
      <c r="D23" s="223">
        <v>43815</v>
      </c>
      <c r="E23" s="222">
        <v>24319</v>
      </c>
      <c r="F23" s="221" t="s">
        <v>957</v>
      </c>
    </row>
    <row r="24" spans="2:6">
      <c r="B24" s="224">
        <v>17064</v>
      </c>
      <c r="C24" s="224" t="s">
        <v>1190</v>
      </c>
      <c r="D24" s="223">
        <v>43815</v>
      </c>
      <c r="E24" s="222" t="s">
        <v>958</v>
      </c>
      <c r="F24" s="221" t="s">
        <v>959</v>
      </c>
    </row>
    <row r="25" spans="2:6">
      <c r="B25" s="336">
        <v>17525</v>
      </c>
      <c r="C25" s="820" t="s">
        <v>1191</v>
      </c>
      <c r="D25" s="223">
        <v>43875</v>
      </c>
      <c r="E25" s="222" t="s">
        <v>1063</v>
      </c>
      <c r="F25" s="221" t="s">
        <v>960</v>
      </c>
    </row>
    <row r="26" spans="2:6">
      <c r="B26" s="336">
        <v>17526</v>
      </c>
      <c r="C26" s="820" t="s">
        <v>1191</v>
      </c>
      <c r="D26" s="223">
        <v>43843</v>
      </c>
      <c r="E26" s="222">
        <v>24584</v>
      </c>
      <c r="F26" s="221" t="s">
        <v>961</v>
      </c>
    </row>
    <row r="27" spans="2:6">
      <c r="B27" s="336">
        <v>18665</v>
      </c>
      <c r="C27" s="820" t="s">
        <v>1191</v>
      </c>
      <c r="D27" s="223">
        <v>43781</v>
      </c>
      <c r="E27" s="222" t="s">
        <v>962</v>
      </c>
      <c r="F27" s="221" t="s">
        <v>963</v>
      </c>
    </row>
    <row r="28" spans="2:6">
      <c r="B28" s="336">
        <v>18849</v>
      </c>
      <c r="C28" s="820" t="s">
        <v>1191</v>
      </c>
      <c r="D28" s="223">
        <v>44204</v>
      </c>
      <c r="E28" s="222" t="s">
        <v>1139</v>
      </c>
      <c r="F28" s="221" t="s">
        <v>999</v>
      </c>
    </row>
    <row r="29" spans="2:6">
      <c r="B29" s="336">
        <v>18925</v>
      </c>
      <c r="C29" s="820" t="s">
        <v>1191</v>
      </c>
      <c r="D29" s="223">
        <v>44204</v>
      </c>
      <c r="E29" s="222" t="s">
        <v>1137</v>
      </c>
      <c r="F29" s="221" t="s">
        <v>1138</v>
      </c>
    </row>
    <row r="30" spans="2:6">
      <c r="B30" s="336">
        <v>19145</v>
      </c>
      <c r="C30" s="820" t="s">
        <v>1191</v>
      </c>
      <c r="D30" s="223">
        <v>44239</v>
      </c>
      <c r="E30" s="222" t="s">
        <v>1267</v>
      </c>
      <c r="F30" s="221" t="s">
        <v>1001</v>
      </c>
    </row>
    <row r="31" spans="2:6">
      <c r="B31" s="336">
        <v>19246</v>
      </c>
      <c r="C31" s="820" t="s">
        <v>1191</v>
      </c>
      <c r="D31" s="223">
        <v>44468</v>
      </c>
      <c r="E31" s="222" t="s">
        <v>1065</v>
      </c>
      <c r="F31" s="221" t="s">
        <v>1066</v>
      </c>
    </row>
    <row r="32" spans="2:6">
      <c r="B32" s="336">
        <v>19248</v>
      </c>
      <c r="C32" s="820" t="s">
        <v>1191</v>
      </c>
      <c r="D32" s="223">
        <v>44468</v>
      </c>
      <c r="E32" s="222">
        <v>25441</v>
      </c>
      <c r="F32" s="221" t="s">
        <v>1067</v>
      </c>
    </row>
    <row r="33" spans="2:6">
      <c r="B33" s="336">
        <v>19265</v>
      </c>
      <c r="C33" s="820" t="s">
        <v>1191</v>
      </c>
      <c r="D33" s="223">
        <v>44204</v>
      </c>
      <c r="E33" s="222" t="s">
        <v>1268</v>
      </c>
      <c r="F33" s="221" t="s">
        <v>1068</v>
      </c>
    </row>
    <row r="34" spans="2:6">
      <c r="B34" s="336">
        <v>19267</v>
      </c>
      <c r="C34" s="820" t="s">
        <v>1191</v>
      </c>
      <c r="D34" s="223">
        <v>44433</v>
      </c>
      <c r="E34" s="222">
        <v>25448</v>
      </c>
      <c r="F34" s="221" t="s">
        <v>1064</v>
      </c>
    </row>
    <row r="35" spans="2:6">
      <c r="B35" s="336">
        <v>19269</v>
      </c>
      <c r="C35" s="820" t="s">
        <v>1191</v>
      </c>
      <c r="D35" s="223">
        <v>44433</v>
      </c>
      <c r="E35" s="222" t="s">
        <v>997</v>
      </c>
      <c r="F35" s="221" t="s">
        <v>998</v>
      </c>
    </row>
    <row r="36" spans="2:6">
      <c r="B36" s="336">
        <v>20625</v>
      </c>
      <c r="C36" s="820" t="s">
        <v>1192</v>
      </c>
      <c r="D36" s="223">
        <v>44606</v>
      </c>
      <c r="E36" s="222" t="s">
        <v>1097</v>
      </c>
      <c r="F36" s="221" t="s">
        <v>1000</v>
      </c>
    </row>
    <row r="37" spans="2:6">
      <c r="B37" s="336">
        <v>21648</v>
      </c>
      <c r="C37" s="820" t="s">
        <v>1193</v>
      </c>
      <c r="D37" s="223">
        <v>44930</v>
      </c>
      <c r="E37" s="222" t="s">
        <v>1141</v>
      </c>
      <c r="F37" s="221" t="s">
        <v>1194</v>
      </c>
    </row>
    <row r="38" spans="2:6">
      <c r="B38" s="336">
        <v>21812</v>
      </c>
      <c r="C38" s="820" t="s">
        <v>1193</v>
      </c>
      <c r="D38" s="223">
        <v>44930</v>
      </c>
      <c r="E38" s="222">
        <v>26388</v>
      </c>
      <c r="F38" s="221" t="s">
        <v>1195</v>
      </c>
    </row>
    <row r="39" spans="2:6">
      <c r="B39" s="336">
        <v>21814</v>
      </c>
      <c r="C39" s="820" t="s">
        <v>1193</v>
      </c>
      <c r="D39" s="223">
        <v>44930</v>
      </c>
      <c r="E39" s="222" t="s">
        <v>1196</v>
      </c>
      <c r="F39" s="221" t="s">
        <v>1197</v>
      </c>
    </row>
    <row r="40" spans="2:6">
      <c r="B40" s="336">
        <v>22045</v>
      </c>
      <c r="C40" s="820" t="s">
        <v>1193</v>
      </c>
      <c r="D40" s="223">
        <v>44930</v>
      </c>
      <c r="E40" s="222">
        <v>26693</v>
      </c>
      <c r="F40" s="221" t="s">
        <v>1198</v>
      </c>
    </row>
    <row r="41" spans="2:6">
      <c r="B41" s="336">
        <v>22047</v>
      </c>
      <c r="C41" s="820" t="s">
        <v>1193</v>
      </c>
      <c r="D41" s="223">
        <v>44930</v>
      </c>
      <c r="E41" s="222" t="s">
        <v>1093</v>
      </c>
      <c r="F41" s="221" t="s">
        <v>1199</v>
      </c>
    </row>
    <row r="42" spans="2:6">
      <c r="B42" s="336">
        <v>22048</v>
      </c>
      <c r="C42" s="820" t="s">
        <v>1193</v>
      </c>
      <c r="D42" s="223">
        <v>44930</v>
      </c>
      <c r="E42" s="222">
        <v>26700</v>
      </c>
      <c r="F42" s="221" t="s">
        <v>1200</v>
      </c>
    </row>
    <row r="43" spans="2:6">
      <c r="B43" s="336">
        <v>22085</v>
      </c>
      <c r="C43" s="820" t="s">
        <v>1193</v>
      </c>
      <c r="D43" s="223">
        <v>44930</v>
      </c>
      <c r="E43" s="222">
        <v>26706</v>
      </c>
      <c r="F43" s="221" t="s">
        <v>1201</v>
      </c>
    </row>
    <row r="44" spans="2:6">
      <c r="B44" s="336">
        <v>22105</v>
      </c>
      <c r="C44" s="820" t="s">
        <v>1193</v>
      </c>
      <c r="D44" s="223">
        <v>44930</v>
      </c>
      <c r="E44" s="222" t="s">
        <v>1202</v>
      </c>
      <c r="F44" s="221" t="s">
        <v>1203</v>
      </c>
    </row>
    <row r="45" spans="2:6">
      <c r="B45" s="336">
        <v>22145</v>
      </c>
      <c r="C45" s="820" t="s">
        <v>1193</v>
      </c>
      <c r="D45" s="223">
        <v>44930</v>
      </c>
      <c r="E45" s="222" t="s">
        <v>1269</v>
      </c>
      <c r="F45" s="221" t="s">
        <v>1204</v>
      </c>
    </row>
    <row r="46" spans="2:6">
      <c r="B46" s="336">
        <v>22146</v>
      </c>
      <c r="C46" s="820" t="s">
        <v>1193</v>
      </c>
      <c r="D46" s="223">
        <v>44930</v>
      </c>
      <c r="E46" s="222" t="s">
        <v>1140</v>
      </c>
      <c r="F46" s="221" t="s">
        <v>1205</v>
      </c>
    </row>
    <row r="47" spans="2:6">
      <c r="B47" s="336">
        <v>22225</v>
      </c>
      <c r="C47" s="820" t="s">
        <v>1193</v>
      </c>
      <c r="D47" s="223">
        <v>44930</v>
      </c>
      <c r="E47" s="222">
        <v>26742</v>
      </c>
      <c r="F47" s="221" t="s">
        <v>1206</v>
      </c>
    </row>
    <row r="48" spans="2:6">
      <c r="B48" s="336">
        <v>24445</v>
      </c>
      <c r="C48" s="820" t="s">
        <v>1207</v>
      </c>
      <c r="D48" s="223">
        <v>45029</v>
      </c>
      <c r="E48" s="222">
        <v>27954</v>
      </c>
      <c r="F48" s="221" t="s">
        <v>1076</v>
      </c>
    </row>
    <row r="49" spans="2:6">
      <c r="B49" s="336">
        <v>24446</v>
      </c>
      <c r="C49" s="820" t="s">
        <v>1207</v>
      </c>
      <c r="D49" s="223">
        <v>45029</v>
      </c>
      <c r="E49" s="222" t="s">
        <v>1208</v>
      </c>
      <c r="F49" s="221" t="s">
        <v>1209</v>
      </c>
    </row>
    <row r="50" spans="2:6">
      <c r="B50" s="336">
        <v>24447</v>
      </c>
      <c r="C50" s="820" t="s">
        <v>1207</v>
      </c>
      <c r="D50" s="223">
        <v>45029</v>
      </c>
      <c r="E50" s="222">
        <v>27968</v>
      </c>
      <c r="F50" s="221" t="s">
        <v>1210</v>
      </c>
    </row>
    <row r="51" spans="2:6">
      <c r="B51" s="336">
        <v>24613</v>
      </c>
      <c r="C51" s="820" t="s">
        <v>1207</v>
      </c>
      <c r="D51" s="223">
        <v>45029</v>
      </c>
      <c r="E51" s="222">
        <v>28054</v>
      </c>
      <c r="F51" s="221" t="s">
        <v>1211</v>
      </c>
    </row>
    <row r="52" spans="2:6">
      <c r="B52" s="336">
        <v>24758</v>
      </c>
      <c r="C52" s="820" t="s">
        <v>1207</v>
      </c>
      <c r="D52" s="223">
        <v>45029</v>
      </c>
      <c r="E52" s="222" t="s">
        <v>1212</v>
      </c>
      <c r="F52" s="221" t="s">
        <v>1213</v>
      </c>
    </row>
    <row r="53" spans="2:6">
      <c r="B53" s="336">
        <v>24782</v>
      </c>
      <c r="C53" s="820" t="s">
        <v>1207</v>
      </c>
      <c r="D53" s="223">
        <v>45029</v>
      </c>
      <c r="E53" s="222">
        <v>28098</v>
      </c>
      <c r="F53" s="221" t="s">
        <v>1214</v>
      </c>
    </row>
    <row r="54" spans="2:6">
      <c r="B54" s="336">
        <v>24799</v>
      </c>
      <c r="C54" s="820" t="s">
        <v>1207</v>
      </c>
      <c r="D54" s="223">
        <v>45029</v>
      </c>
      <c r="E54" s="222" t="s">
        <v>1215</v>
      </c>
      <c r="F54" s="221" t="s">
        <v>1216</v>
      </c>
    </row>
    <row r="55" spans="2:6" ht="38.25">
      <c r="B55" s="336">
        <v>24801</v>
      </c>
      <c r="C55" s="820" t="s">
        <v>1207</v>
      </c>
      <c r="D55" s="223">
        <v>45029</v>
      </c>
      <c r="E55" s="222" t="s">
        <v>1270</v>
      </c>
      <c r="F55" s="221" t="s">
        <v>1217</v>
      </c>
    </row>
    <row r="56" spans="2:6">
      <c r="B56" s="336">
        <v>24802</v>
      </c>
      <c r="C56" s="820" t="s">
        <v>1207</v>
      </c>
      <c r="D56" s="223">
        <v>45029</v>
      </c>
      <c r="E56" s="222" t="s">
        <v>1218</v>
      </c>
      <c r="F56" s="221" t="s">
        <v>1219</v>
      </c>
    </row>
    <row r="57" spans="2:6">
      <c r="B57" s="336">
        <v>24838</v>
      </c>
      <c r="C57" s="820" t="s">
        <v>1207</v>
      </c>
      <c r="D57" s="223">
        <v>45029</v>
      </c>
      <c r="E57" s="222" t="s">
        <v>1220</v>
      </c>
      <c r="F57" s="221" t="s">
        <v>1221</v>
      </c>
    </row>
    <row r="58" spans="2:6">
      <c r="B58" s="336">
        <v>24841</v>
      </c>
      <c r="C58" s="820" t="s">
        <v>1207</v>
      </c>
      <c r="D58" s="223">
        <v>45029</v>
      </c>
      <c r="E58" s="222">
        <v>28134</v>
      </c>
      <c r="F58" s="221" t="s">
        <v>1222</v>
      </c>
    </row>
    <row r="59" spans="2:6">
      <c r="B59" s="336">
        <v>24858</v>
      </c>
      <c r="C59" s="820" t="s">
        <v>1207</v>
      </c>
      <c r="D59" s="223">
        <v>45029</v>
      </c>
      <c r="E59" s="222">
        <v>28118</v>
      </c>
      <c r="F59" s="221" t="s">
        <v>1223</v>
      </c>
    </row>
    <row r="60" spans="2:6" ht="25.5">
      <c r="B60" s="336">
        <v>25262</v>
      </c>
      <c r="C60" s="820" t="s">
        <v>1207</v>
      </c>
      <c r="D60" s="223">
        <v>45029</v>
      </c>
      <c r="E60" s="222" t="s">
        <v>1224</v>
      </c>
      <c r="F60" s="221" t="s">
        <v>1225</v>
      </c>
    </row>
  </sheetData>
  <pageMargins left="0.7" right="0.7" top="0.75" bottom="0.75" header="0.3" footer="0.3"/>
  <pageSetup scale="4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00FFFF"/>
  </sheetPr>
  <dimension ref="B1:X115"/>
  <sheetViews>
    <sheetView showGridLines="0" topLeftCell="D54" zoomScale="70" zoomScaleNormal="70" zoomScaleSheetLayoutView="70" workbookViewId="0">
      <selection activeCell="R100" sqref="R100"/>
    </sheetView>
  </sheetViews>
  <sheetFormatPr defaultColWidth="9.140625" defaultRowHeight="15"/>
  <cols>
    <col min="1" max="1" width="10.85546875" style="90" bestFit="1" customWidth="1"/>
    <col min="2" max="2" width="7.7109375" style="90" customWidth="1"/>
    <col min="3" max="3" width="1.85546875" style="90" customWidth="1"/>
    <col min="4" max="4" width="79.28515625" style="90" customWidth="1"/>
    <col min="5" max="5" width="17.85546875" style="90" customWidth="1"/>
    <col min="6" max="8" width="17.140625" style="90" customWidth="1"/>
    <col min="9" max="9" width="23.85546875" style="90" customWidth="1"/>
    <col min="10" max="10" width="17.140625" style="90" customWidth="1"/>
    <col min="11" max="11" width="18.5703125" style="90" customWidth="1"/>
    <col min="12" max="17" width="17.140625" style="90" customWidth="1"/>
    <col min="18" max="18" width="20.140625" style="90" bestFit="1" customWidth="1"/>
    <col min="19" max="20" width="19.7109375" style="90" customWidth="1"/>
    <col min="21" max="21" width="2.42578125" style="90" customWidth="1"/>
    <col min="22" max="22" width="16.7109375" style="90" customWidth="1"/>
    <col min="23" max="16384" width="9.140625" style="90"/>
  </cols>
  <sheetData>
    <row r="1" spans="2:20">
      <c r="T1" s="283"/>
    </row>
    <row r="2" spans="2:20">
      <c r="T2" s="283"/>
    </row>
    <row r="4" spans="2:20">
      <c r="T4" s="283" t="s">
        <v>648</v>
      </c>
    </row>
    <row r="5" spans="2:20" ht="15.75">
      <c r="D5" s="315" t="s">
        <v>563</v>
      </c>
      <c r="E5" s="315"/>
      <c r="F5" s="315"/>
      <c r="G5" s="315"/>
      <c r="H5" s="315"/>
      <c r="I5" s="315"/>
      <c r="J5" s="315"/>
      <c r="K5" s="317" t="s">
        <v>562</v>
      </c>
      <c r="L5" s="317"/>
      <c r="M5" s="315"/>
      <c r="N5" s="315"/>
      <c r="O5" s="315"/>
      <c r="P5" s="315"/>
      <c r="Q5" s="315"/>
      <c r="S5" s="316"/>
      <c r="T5" s="3" t="s">
        <v>1230</v>
      </c>
    </row>
    <row r="6" spans="2:20">
      <c r="D6" s="315"/>
      <c r="E6" s="315"/>
      <c r="F6" s="315"/>
      <c r="G6" s="315"/>
      <c r="H6" s="315"/>
      <c r="I6" s="232" t="s">
        <v>3</v>
      </c>
      <c r="J6" s="232"/>
      <c r="K6" s="232" t="s">
        <v>513</v>
      </c>
      <c r="L6" s="232"/>
      <c r="M6" s="232"/>
      <c r="N6" s="232"/>
      <c r="O6" s="232"/>
      <c r="P6" s="315"/>
      <c r="Q6" s="315"/>
      <c r="S6" s="108"/>
      <c r="T6" s="315"/>
    </row>
    <row r="7" spans="2:20">
      <c r="D7" s="108"/>
      <c r="E7" s="108"/>
      <c r="F7" s="108"/>
      <c r="G7" s="108"/>
      <c r="H7" s="108"/>
      <c r="I7" s="108"/>
      <c r="J7" s="108"/>
      <c r="K7" s="108"/>
      <c r="L7" s="108"/>
      <c r="M7" s="108"/>
      <c r="N7" s="108"/>
      <c r="O7" s="108"/>
      <c r="P7" s="108"/>
      <c r="Q7" s="108"/>
      <c r="S7" s="108"/>
      <c r="T7" s="108" t="s">
        <v>561</v>
      </c>
    </row>
    <row r="8" spans="2:20">
      <c r="B8" s="281"/>
      <c r="D8" s="108"/>
      <c r="E8" s="108"/>
      <c r="F8" s="108"/>
      <c r="G8" s="108"/>
      <c r="H8" s="108"/>
      <c r="I8" s="108"/>
      <c r="J8" s="245"/>
      <c r="K8" s="313" t="s">
        <v>5</v>
      </c>
      <c r="L8" s="313"/>
      <c r="M8" s="245"/>
      <c r="N8" s="108"/>
      <c r="O8" s="108"/>
      <c r="P8" s="108"/>
      <c r="Q8" s="108"/>
      <c r="R8" s="108"/>
      <c r="S8" s="108"/>
      <c r="T8" s="108"/>
    </row>
    <row r="9" spans="2:20">
      <c r="B9" s="281"/>
      <c r="D9" s="108"/>
      <c r="E9" s="108"/>
      <c r="F9" s="108"/>
      <c r="G9" s="108"/>
      <c r="H9" s="108"/>
      <c r="I9" s="108"/>
      <c r="J9" s="108"/>
      <c r="K9" s="310"/>
      <c r="L9" s="310"/>
      <c r="M9" s="108"/>
      <c r="N9" s="108"/>
      <c r="O9" s="108"/>
      <c r="P9" s="108"/>
      <c r="Q9" s="108"/>
      <c r="R9" s="108"/>
      <c r="S9" s="108"/>
      <c r="T9" s="108"/>
    </row>
    <row r="10" spans="2:20">
      <c r="B10" s="281"/>
      <c r="D10" s="108" t="s">
        <v>560</v>
      </c>
      <c r="E10" s="108"/>
      <c r="F10" s="108"/>
      <c r="G10" s="108"/>
      <c r="H10" s="108"/>
      <c r="I10" s="108"/>
      <c r="J10" s="108"/>
      <c r="K10" s="310"/>
      <c r="L10" s="310"/>
      <c r="M10" s="108"/>
      <c r="N10" s="108"/>
      <c r="O10" s="108"/>
      <c r="P10" s="108"/>
      <c r="Q10" s="108"/>
      <c r="R10" s="108"/>
      <c r="S10" s="108"/>
      <c r="T10" s="108"/>
    </row>
    <row r="11" spans="2:20">
      <c r="B11" s="281"/>
      <c r="D11" s="311" t="s">
        <v>677</v>
      </c>
      <c r="E11" s="108"/>
      <c r="F11" s="108"/>
      <c r="G11" s="108"/>
      <c r="H11" s="108"/>
      <c r="I11" s="108"/>
      <c r="J11" s="108"/>
      <c r="K11" s="310"/>
      <c r="L11" s="310"/>
      <c r="R11" s="108"/>
      <c r="S11" s="108"/>
      <c r="T11" s="108"/>
    </row>
    <row r="12" spans="2:20">
      <c r="B12" s="281"/>
      <c r="D12" s="108"/>
      <c r="E12" s="108"/>
      <c r="F12" s="108"/>
      <c r="G12" s="108"/>
      <c r="H12" s="108"/>
      <c r="I12" s="108"/>
      <c r="J12" s="108"/>
      <c r="K12" s="108"/>
      <c r="L12" s="108"/>
      <c r="R12" s="232"/>
      <c r="S12" s="108"/>
      <c r="T12" s="108"/>
    </row>
    <row r="13" spans="2:20">
      <c r="D13" s="309" t="s">
        <v>62</v>
      </c>
      <c r="E13" s="309"/>
      <c r="F13" s="309"/>
      <c r="G13" s="309"/>
      <c r="H13" s="309"/>
      <c r="I13" s="309" t="s">
        <v>63</v>
      </c>
      <c r="J13" s="309"/>
      <c r="K13" s="309" t="s">
        <v>64</v>
      </c>
      <c r="L13" s="309"/>
      <c r="M13" s="245" t="s">
        <v>65</v>
      </c>
      <c r="S13" s="232"/>
      <c r="T13" s="245"/>
    </row>
    <row r="14" spans="2:20" ht="15.75">
      <c r="D14" s="108"/>
      <c r="E14" s="108"/>
      <c r="F14" s="108"/>
      <c r="G14" s="108"/>
      <c r="H14" s="108"/>
      <c r="I14" s="288" t="s">
        <v>559</v>
      </c>
      <c r="J14" s="288"/>
      <c r="K14" s="232"/>
      <c r="L14" s="232"/>
      <c r="S14" s="232"/>
    </row>
    <row r="15" spans="2:20" ht="15.75">
      <c r="B15" s="281" t="s">
        <v>8</v>
      </c>
      <c r="D15" s="108"/>
      <c r="E15" s="108"/>
      <c r="F15" s="108"/>
      <c r="G15" s="108"/>
      <c r="H15" s="108"/>
      <c r="I15" s="308" t="s">
        <v>69</v>
      </c>
      <c r="J15" s="308"/>
      <c r="K15" s="307" t="s">
        <v>68</v>
      </c>
      <c r="L15" s="307"/>
      <c r="M15" s="307" t="s">
        <v>16</v>
      </c>
      <c r="S15" s="232"/>
    </row>
    <row r="16" spans="2:20" ht="15.75">
      <c r="B16" s="281" t="s">
        <v>10</v>
      </c>
      <c r="D16" s="280"/>
      <c r="E16" s="280"/>
      <c r="F16" s="280"/>
      <c r="G16" s="280"/>
      <c r="H16" s="280"/>
      <c r="I16" s="232"/>
      <c r="J16" s="232"/>
      <c r="K16" s="232"/>
      <c r="L16" s="232"/>
      <c r="M16" s="232"/>
      <c r="S16" s="232"/>
      <c r="T16" s="232"/>
    </row>
    <row r="17" spans="2:20" ht="15.75">
      <c r="B17" s="305"/>
      <c r="D17" s="108"/>
      <c r="E17" s="108"/>
      <c r="F17" s="108"/>
      <c r="G17" s="108"/>
      <c r="H17" s="108"/>
      <c r="I17" s="232"/>
      <c r="J17" s="232"/>
      <c r="K17" s="232"/>
      <c r="L17" s="232"/>
      <c r="M17" s="232"/>
      <c r="S17" s="232"/>
      <c r="T17" s="232"/>
    </row>
    <row r="18" spans="2:20">
      <c r="B18" s="298">
        <v>1</v>
      </c>
      <c r="D18" s="108" t="s">
        <v>558</v>
      </c>
      <c r="E18" s="108"/>
      <c r="F18" s="108"/>
      <c r="G18" s="108"/>
      <c r="H18" s="108"/>
      <c r="I18" s="291" t="s">
        <v>676</v>
      </c>
      <c r="J18" s="291"/>
      <c r="K18" s="294">
        <f>'ATC Att O ER22-1602'!I87+'ATC Att O ER22-1602'!I88</f>
        <v>8633519746</v>
      </c>
      <c r="L18" s="232"/>
      <c r="S18" s="232"/>
      <c r="T18" s="232"/>
    </row>
    <row r="19" spans="2:20">
      <c r="B19" s="298" t="s">
        <v>141</v>
      </c>
      <c r="D19" s="108" t="s">
        <v>675</v>
      </c>
      <c r="E19" s="108"/>
      <c r="F19" s="108"/>
      <c r="G19" s="108"/>
      <c r="H19" s="108"/>
      <c r="I19" s="291" t="s">
        <v>674</v>
      </c>
      <c r="J19" s="291"/>
      <c r="K19" s="303">
        <f>'ATC Att O ER22-1602'!I96+'ATC Att O ER22-1602'!I97-'ATC Att O ER22-1602'!D104</f>
        <v>2471405690.9000001</v>
      </c>
      <c r="L19" s="232"/>
      <c r="S19" s="232"/>
      <c r="T19" s="232"/>
    </row>
    <row r="20" spans="2:20">
      <c r="B20" s="298">
        <v>2</v>
      </c>
      <c r="D20" s="108" t="s">
        <v>556</v>
      </c>
      <c r="E20" s="108"/>
      <c r="F20" s="108"/>
      <c r="G20" s="108"/>
      <c r="H20" s="108"/>
      <c r="I20" s="291" t="s">
        <v>673</v>
      </c>
      <c r="J20" s="291"/>
      <c r="K20" s="300">
        <f>K18-K19</f>
        <v>6162114055.1000004</v>
      </c>
      <c r="L20" s="304"/>
      <c r="S20" s="232"/>
      <c r="T20" s="232"/>
    </row>
    <row r="21" spans="2:20">
      <c r="B21" s="298"/>
      <c r="I21" s="291"/>
      <c r="J21" s="291"/>
      <c r="S21" s="232"/>
      <c r="T21" s="232"/>
    </row>
    <row r="22" spans="2:20">
      <c r="B22" s="298"/>
      <c r="D22" s="108" t="s">
        <v>672</v>
      </c>
      <c r="E22" s="108"/>
      <c r="F22" s="108"/>
      <c r="G22" s="108"/>
      <c r="H22" s="108"/>
      <c r="I22" s="291"/>
      <c r="J22" s="291"/>
      <c r="K22" s="232"/>
      <c r="L22" s="232"/>
      <c r="M22" s="232"/>
      <c r="S22" s="232"/>
      <c r="T22" s="232"/>
    </row>
    <row r="23" spans="2:20">
      <c r="B23" s="298">
        <v>3</v>
      </c>
      <c r="D23" s="108" t="s">
        <v>553</v>
      </c>
      <c r="E23" s="108"/>
      <c r="F23" s="108"/>
      <c r="G23" s="108"/>
      <c r="H23" s="108"/>
      <c r="I23" s="291" t="s">
        <v>552</v>
      </c>
      <c r="J23" s="291"/>
      <c r="K23" s="294">
        <f>'ATC Att O ER22-1602'!I168</f>
        <v>184215300.88653973</v>
      </c>
      <c r="L23" s="232"/>
      <c r="S23" s="232"/>
      <c r="T23" s="232"/>
    </row>
    <row r="24" spans="2:20">
      <c r="B24" s="298" t="s">
        <v>551</v>
      </c>
      <c r="D24" s="108" t="s">
        <v>461</v>
      </c>
      <c r="E24" s="108"/>
      <c r="F24" s="108"/>
      <c r="G24" s="108"/>
      <c r="H24" s="108"/>
      <c r="I24" s="291" t="s">
        <v>671</v>
      </c>
      <c r="J24" s="291"/>
      <c r="K24" s="294">
        <f>'ATC Att O ER22-1602'!I159</f>
        <v>134236549</v>
      </c>
      <c r="L24" s="232"/>
      <c r="S24" s="232"/>
      <c r="T24" s="232"/>
    </row>
    <row r="25" spans="2:20" ht="32.25" customHeight="1">
      <c r="B25" s="298" t="s">
        <v>670</v>
      </c>
      <c r="D25" s="108" t="s">
        <v>669</v>
      </c>
      <c r="E25" s="108"/>
      <c r="F25" s="108"/>
      <c r="G25" s="108"/>
      <c r="H25" s="869" t="s">
        <v>668</v>
      </c>
      <c r="I25" s="869"/>
      <c r="J25" s="869"/>
      <c r="K25" s="294">
        <f>'Precert Exp'!C19</f>
        <v>23878716</v>
      </c>
      <c r="L25" s="232"/>
      <c r="S25" s="232"/>
      <c r="T25" s="232"/>
    </row>
    <row r="26" spans="2:20">
      <c r="B26" s="298" t="s">
        <v>548</v>
      </c>
      <c r="D26" s="108" t="s">
        <v>667</v>
      </c>
      <c r="E26" s="108"/>
      <c r="F26" s="108"/>
      <c r="G26" s="108"/>
      <c r="H26" s="108"/>
      <c r="I26" s="291" t="s">
        <v>666</v>
      </c>
      <c r="J26" s="291"/>
      <c r="K26" s="294">
        <f>'ATC Att O ER22-1602'!I160</f>
        <v>0</v>
      </c>
      <c r="L26" s="232"/>
      <c r="S26" s="232"/>
      <c r="T26" s="232"/>
    </row>
    <row r="27" spans="2:20">
      <c r="B27" s="298" t="s">
        <v>665</v>
      </c>
      <c r="D27" s="108" t="s">
        <v>664</v>
      </c>
      <c r="E27" s="108"/>
      <c r="F27" s="108"/>
      <c r="G27" s="108"/>
      <c r="H27" s="108"/>
      <c r="I27" s="291" t="s">
        <v>663</v>
      </c>
      <c r="J27" s="291"/>
      <c r="K27" s="303">
        <f>'ATC Att O ER22-1602'!I161</f>
        <v>0</v>
      </c>
      <c r="L27" s="302"/>
      <c r="S27" s="232"/>
      <c r="T27" s="232"/>
    </row>
    <row r="28" spans="2:20">
      <c r="B28" s="298" t="s">
        <v>662</v>
      </c>
      <c r="D28" s="108" t="s">
        <v>661</v>
      </c>
      <c r="E28" s="108"/>
      <c r="F28" s="108"/>
      <c r="G28" s="108"/>
      <c r="H28" s="108"/>
      <c r="I28" s="291" t="s">
        <v>660</v>
      </c>
      <c r="J28" s="291"/>
      <c r="K28" s="300">
        <f>K24-(K26+K27+K25)</f>
        <v>110357833</v>
      </c>
      <c r="L28" s="232"/>
      <c r="S28" s="232"/>
      <c r="T28" s="232"/>
    </row>
    <row r="29" spans="2:20">
      <c r="B29" s="298"/>
      <c r="D29" s="108"/>
      <c r="E29" s="108"/>
      <c r="F29" s="108"/>
      <c r="G29" s="108"/>
      <c r="H29" s="108"/>
      <c r="I29" s="291"/>
      <c r="J29" s="291"/>
      <c r="K29" s="232"/>
      <c r="L29" s="232"/>
      <c r="S29" s="232"/>
      <c r="T29" s="232"/>
    </row>
    <row r="30" spans="2:20" ht="15.75">
      <c r="B30" s="298">
        <v>4</v>
      </c>
      <c r="D30" s="280" t="s">
        <v>659</v>
      </c>
      <c r="E30" s="280"/>
      <c r="F30" s="280"/>
      <c r="G30" s="280"/>
      <c r="H30" s="108"/>
      <c r="I30" s="291" t="s">
        <v>658</v>
      </c>
      <c r="J30" s="291"/>
      <c r="K30" s="231">
        <f>IF(K28=0,0,K28/K19)</f>
        <v>4.4653871845626247E-2</v>
      </c>
      <c r="L30" s="231"/>
      <c r="M30" s="301">
        <f>K30</f>
        <v>4.4653871845626247E-2</v>
      </c>
      <c r="S30" s="232"/>
      <c r="T30" s="232"/>
    </row>
    <row r="31" spans="2:20">
      <c r="B31" s="298"/>
      <c r="D31" s="108"/>
      <c r="E31" s="108"/>
      <c r="F31" s="108"/>
      <c r="G31" s="108"/>
      <c r="H31" s="108"/>
      <c r="I31" s="291"/>
      <c r="J31" s="291"/>
      <c r="K31" s="232"/>
      <c r="L31" s="232"/>
      <c r="S31" s="232"/>
      <c r="T31" s="232"/>
    </row>
    <row r="32" spans="2:20">
      <c r="B32" s="298"/>
      <c r="D32" s="108"/>
      <c r="E32" s="108"/>
      <c r="F32" s="108"/>
      <c r="G32" s="108"/>
      <c r="H32" s="108"/>
      <c r="I32" s="291"/>
      <c r="J32" s="291"/>
      <c r="K32" s="232"/>
      <c r="L32" s="232"/>
      <c r="S32" s="232"/>
      <c r="T32" s="232"/>
    </row>
    <row r="33" spans="2:24" ht="15.75">
      <c r="B33" s="298"/>
      <c r="D33" s="108" t="s">
        <v>657</v>
      </c>
      <c r="E33" s="108"/>
      <c r="F33" s="108"/>
      <c r="G33" s="108"/>
      <c r="H33" s="108"/>
      <c r="I33" s="291"/>
      <c r="J33" s="291"/>
      <c r="K33" s="234"/>
      <c r="L33" s="234"/>
      <c r="M33" s="293"/>
      <c r="S33" s="232"/>
      <c r="T33" s="231"/>
      <c r="U33" s="270"/>
      <c r="V33" s="297"/>
      <c r="W33" s="256"/>
      <c r="X33" s="255"/>
    </row>
    <row r="34" spans="2:24" ht="15.75">
      <c r="B34" s="298" t="s">
        <v>656</v>
      </c>
      <c r="D34" s="108" t="s">
        <v>655</v>
      </c>
      <c r="E34" s="108"/>
      <c r="F34" s="108"/>
      <c r="G34" s="108"/>
      <c r="H34" s="108"/>
      <c r="I34" s="291" t="s">
        <v>654</v>
      </c>
      <c r="J34" s="291"/>
      <c r="K34" s="300">
        <f>K23-K28-K25</f>
        <v>49978751.886539727</v>
      </c>
      <c r="L34" s="234"/>
      <c r="M34" s="293"/>
      <c r="S34" s="232"/>
      <c r="T34" s="231"/>
      <c r="U34" s="270"/>
      <c r="V34" s="297"/>
      <c r="W34" s="256"/>
      <c r="X34" s="255"/>
    </row>
    <row r="35" spans="2:24" ht="15.75">
      <c r="B35" s="298" t="s">
        <v>653</v>
      </c>
      <c r="D35" s="108" t="s">
        <v>652</v>
      </c>
      <c r="E35" s="108"/>
      <c r="F35" s="108"/>
      <c r="G35" s="108"/>
      <c r="H35" s="108"/>
      <c r="I35" s="291" t="s">
        <v>651</v>
      </c>
      <c r="J35" s="291"/>
      <c r="K35" s="234">
        <f>IF(K34=0,0,K34/K18)</f>
        <v>5.7889196245477295E-3</v>
      </c>
      <c r="L35" s="234"/>
      <c r="M35" s="293">
        <f>K35</f>
        <v>5.7889196245477295E-3</v>
      </c>
      <c r="S35" s="232"/>
      <c r="T35" s="231"/>
      <c r="U35" s="270"/>
      <c r="V35" s="297"/>
      <c r="W35" s="256"/>
      <c r="X35" s="255"/>
    </row>
    <row r="36" spans="2:24" ht="15.75">
      <c r="B36" s="298"/>
      <c r="D36" s="108"/>
      <c r="E36" s="108"/>
      <c r="F36" s="108"/>
      <c r="G36" s="108"/>
      <c r="H36" s="108"/>
      <c r="I36" s="291"/>
      <c r="J36" s="291"/>
      <c r="K36" s="234"/>
      <c r="L36" s="234"/>
      <c r="M36" s="293"/>
      <c r="S36" s="232"/>
      <c r="T36" s="231"/>
      <c r="U36" s="270"/>
      <c r="V36" s="297"/>
      <c r="W36" s="256"/>
      <c r="X36" s="255"/>
    </row>
    <row r="37" spans="2:24" ht="30.75">
      <c r="B37" s="236"/>
      <c r="D37" s="799" t="s">
        <v>1080</v>
      </c>
      <c r="E37" s="108"/>
      <c r="F37" s="108"/>
      <c r="G37" s="108"/>
      <c r="H37" s="108"/>
      <c r="I37" s="235"/>
      <c r="J37" s="235"/>
      <c r="K37" s="232"/>
      <c r="L37" s="232"/>
      <c r="M37" s="232"/>
      <c r="S37" s="232"/>
      <c r="T37" s="231"/>
      <c r="U37" s="270"/>
      <c r="V37" s="297"/>
      <c r="W37" s="256"/>
      <c r="X37" s="255"/>
    </row>
    <row r="38" spans="2:24" ht="15.75">
      <c r="B38" s="236" t="s">
        <v>543</v>
      </c>
      <c r="D38" s="108" t="s">
        <v>542</v>
      </c>
      <c r="E38" s="108"/>
      <c r="F38" s="108"/>
      <c r="G38" s="108"/>
      <c r="H38" s="108"/>
      <c r="I38" s="291" t="s">
        <v>541</v>
      </c>
      <c r="J38" s="291"/>
      <c r="K38" s="294">
        <f>'ATC Att O ER22-1602'!I173+'ATC Att O ER22-1602'!I174</f>
        <v>27762323</v>
      </c>
      <c r="L38" s="232"/>
      <c r="S38" s="232"/>
      <c r="T38" s="231"/>
      <c r="U38" s="270"/>
      <c r="V38" s="297"/>
      <c r="W38" s="256"/>
      <c r="X38" s="255"/>
    </row>
    <row r="39" spans="2:24" ht="15.75">
      <c r="B39" s="236" t="s">
        <v>540</v>
      </c>
      <c r="D39" s="108" t="s">
        <v>539</v>
      </c>
      <c r="E39" s="108"/>
      <c r="F39" s="108"/>
      <c r="G39" s="108"/>
      <c r="H39" s="108"/>
      <c r="I39" s="291" t="s">
        <v>538</v>
      </c>
      <c r="J39" s="291"/>
      <c r="K39" s="234">
        <f>IF(K38=0,0,K38/K18)</f>
        <v>3.2156436559796571E-3</v>
      </c>
      <c r="L39" s="234"/>
      <c r="M39" s="293">
        <f>K39</f>
        <v>3.2156436559796571E-3</v>
      </c>
      <c r="S39" s="232"/>
      <c r="T39" s="231"/>
      <c r="U39" s="270"/>
      <c r="V39" s="297"/>
      <c r="W39" s="256"/>
      <c r="X39" s="255"/>
    </row>
    <row r="40" spans="2:24" ht="15.75">
      <c r="B40" s="298"/>
      <c r="D40" s="108"/>
      <c r="E40" s="108"/>
      <c r="F40" s="108"/>
      <c r="G40" s="108"/>
      <c r="H40" s="108"/>
      <c r="I40" s="291"/>
      <c r="J40" s="291"/>
      <c r="K40" s="234"/>
      <c r="L40" s="234"/>
      <c r="M40" s="293"/>
      <c r="S40" s="232"/>
      <c r="T40" s="231"/>
      <c r="U40" s="270"/>
      <c r="V40" s="297"/>
      <c r="W40" s="256"/>
      <c r="X40" s="255"/>
    </row>
    <row r="41" spans="2:24">
      <c r="B41" s="236"/>
      <c r="D41" s="108" t="s">
        <v>537</v>
      </c>
      <c r="E41" s="108"/>
      <c r="F41" s="108"/>
      <c r="G41" s="108"/>
      <c r="H41" s="108"/>
      <c r="I41" s="235"/>
      <c r="J41" s="235"/>
      <c r="K41" s="232"/>
      <c r="L41" s="232"/>
      <c r="M41" s="232"/>
      <c r="S41" s="232"/>
      <c r="T41" s="232"/>
      <c r="U41" s="256"/>
      <c r="V41" s="232"/>
      <c r="W41" s="256"/>
      <c r="X41" s="255"/>
    </row>
    <row r="42" spans="2:24" ht="15.75">
      <c r="B42" s="236" t="s">
        <v>536</v>
      </c>
      <c r="D42" s="108" t="s">
        <v>535</v>
      </c>
      <c r="E42" s="108"/>
      <c r="F42" s="108"/>
      <c r="G42" s="108"/>
      <c r="H42" s="108"/>
      <c r="I42" s="291" t="s">
        <v>534</v>
      </c>
      <c r="J42" s="291"/>
      <c r="K42" s="294">
        <f>'ATC Att O ER22-1602'!I186</f>
        <v>35135746</v>
      </c>
      <c r="L42" s="232"/>
      <c r="S42" s="232"/>
      <c r="T42" s="299"/>
      <c r="U42" s="256"/>
      <c r="V42" s="298"/>
      <c r="W42" s="284"/>
      <c r="X42" s="255"/>
    </row>
    <row r="43" spans="2:24" ht="15.75">
      <c r="B43" s="236" t="s">
        <v>533</v>
      </c>
      <c r="D43" s="108" t="s">
        <v>532</v>
      </c>
      <c r="E43" s="108"/>
      <c r="F43" s="108"/>
      <c r="G43" s="108"/>
      <c r="H43" s="108"/>
      <c r="I43" s="291" t="s">
        <v>531</v>
      </c>
      <c r="J43" s="291"/>
      <c r="K43" s="234">
        <f>IF(K42=0,0,K42/K18)</f>
        <v>4.069689655401409E-3</v>
      </c>
      <c r="L43" s="234"/>
      <c r="M43" s="293">
        <f>K43</f>
        <v>4.069689655401409E-3</v>
      </c>
      <c r="S43" s="232"/>
      <c r="T43" s="231"/>
      <c r="U43" s="256"/>
      <c r="V43" s="297"/>
      <c r="W43" s="284"/>
      <c r="X43" s="255"/>
    </row>
    <row r="44" spans="2:24">
      <c r="B44" s="236"/>
      <c r="D44" s="108"/>
      <c r="E44" s="108"/>
      <c r="F44" s="108"/>
      <c r="G44" s="108"/>
      <c r="H44" s="108"/>
      <c r="I44" s="291"/>
      <c r="J44" s="291"/>
      <c r="K44" s="232"/>
      <c r="L44" s="232"/>
      <c r="M44" s="232"/>
      <c r="S44" s="232"/>
      <c r="W44" s="256"/>
      <c r="X44" s="255"/>
    </row>
    <row r="45" spans="2:24" ht="15.75">
      <c r="B45" s="290" t="s">
        <v>530</v>
      </c>
      <c r="C45" s="289"/>
      <c r="D45" s="280" t="s">
        <v>650</v>
      </c>
      <c r="E45" s="280"/>
      <c r="F45" s="280"/>
      <c r="G45" s="280"/>
      <c r="H45" s="280"/>
      <c r="I45" s="288" t="s">
        <v>649</v>
      </c>
      <c r="J45" s="288"/>
      <c r="K45" s="139">
        <f>K35+K39+K43</f>
        <v>1.3074252935928794E-2</v>
      </c>
      <c r="L45" s="139"/>
      <c r="M45" s="139">
        <f>M35+M39+M43</f>
        <v>1.3074252935928794E-2</v>
      </c>
      <c r="S45" s="232"/>
      <c r="W45" s="256"/>
      <c r="X45" s="255"/>
    </row>
    <row r="46" spans="2:24">
      <c r="B46" s="236"/>
      <c r="D46" s="108"/>
      <c r="E46" s="108"/>
      <c r="F46" s="108"/>
      <c r="G46" s="108"/>
      <c r="H46" s="108"/>
      <c r="I46" s="291"/>
      <c r="J46" s="291"/>
      <c r="K46" s="232"/>
      <c r="L46" s="232"/>
      <c r="M46" s="232"/>
      <c r="S46" s="232"/>
      <c r="T46" s="232"/>
      <c r="U46" s="256"/>
      <c r="V46" s="296"/>
      <c r="W46" s="256"/>
      <c r="X46" s="255"/>
    </row>
    <row r="47" spans="2:24">
      <c r="B47" s="236"/>
      <c r="D47" s="232" t="s">
        <v>528</v>
      </c>
      <c r="E47" s="232"/>
      <c r="F47" s="232"/>
      <c r="G47" s="232"/>
      <c r="H47" s="232"/>
      <c r="I47" s="291"/>
      <c r="J47" s="291"/>
      <c r="K47" s="232"/>
      <c r="L47" s="232"/>
      <c r="M47" s="232"/>
      <c r="S47" s="295"/>
      <c r="T47" s="244"/>
      <c r="W47" s="284"/>
      <c r="X47" s="256" t="s">
        <v>3</v>
      </c>
    </row>
    <row r="48" spans="2:24">
      <c r="B48" s="236" t="s">
        <v>527</v>
      </c>
      <c r="D48" s="232" t="s">
        <v>460</v>
      </c>
      <c r="E48" s="232"/>
      <c r="F48" s="232"/>
      <c r="G48" s="232"/>
      <c r="H48" s="232"/>
      <c r="I48" s="291" t="s">
        <v>526</v>
      </c>
      <c r="J48" s="291"/>
      <c r="K48" s="294">
        <f>'ATC Att O ER22-1602'!I201</f>
        <v>86073160.51819019</v>
      </c>
      <c r="L48" s="232"/>
      <c r="M48" s="232"/>
      <c r="S48" s="295"/>
      <c r="T48" s="244"/>
      <c r="W48" s="284"/>
      <c r="X48" s="256"/>
    </row>
    <row r="49" spans="2:24" ht="15.75">
      <c r="B49" s="236" t="s">
        <v>525</v>
      </c>
      <c r="D49" s="232" t="s">
        <v>524</v>
      </c>
      <c r="E49" s="232"/>
      <c r="F49" s="232"/>
      <c r="G49" s="232"/>
      <c r="H49" s="232"/>
      <c r="I49" s="291" t="s">
        <v>523</v>
      </c>
      <c r="J49" s="291"/>
      <c r="K49" s="234">
        <f>IF(K48=0,0,K48/K20)</f>
        <v>1.3968121938111932E-2</v>
      </c>
      <c r="L49" s="234"/>
      <c r="M49" s="293">
        <f>K49</f>
        <v>1.3968121938111932E-2</v>
      </c>
      <c r="S49" s="295"/>
      <c r="T49" s="244"/>
      <c r="U49" s="256"/>
      <c r="V49" s="256"/>
      <c r="W49" s="284"/>
      <c r="X49" s="256"/>
    </row>
    <row r="50" spans="2:24">
      <c r="B50" s="236"/>
      <c r="D50" s="232"/>
      <c r="E50" s="232"/>
      <c r="F50" s="232"/>
      <c r="G50" s="232"/>
      <c r="H50" s="232"/>
      <c r="I50" s="291"/>
      <c r="J50" s="291"/>
      <c r="K50" s="232"/>
      <c r="L50" s="232"/>
      <c r="M50" s="232"/>
      <c r="S50" s="232"/>
      <c r="U50" s="255"/>
      <c r="V50" s="256"/>
      <c r="W50" s="255"/>
      <c r="X50" s="255"/>
    </row>
    <row r="51" spans="2:24">
      <c r="B51" s="236"/>
      <c r="D51" s="108" t="s">
        <v>185</v>
      </c>
      <c r="E51" s="108"/>
      <c r="F51" s="108"/>
      <c r="G51" s="108"/>
      <c r="H51" s="108"/>
      <c r="I51" s="286"/>
      <c r="J51" s="286"/>
      <c r="S51" s="232"/>
      <c r="U51" s="256"/>
      <c r="V51" s="256"/>
      <c r="W51" s="256"/>
      <c r="X51" s="255"/>
    </row>
    <row r="52" spans="2:24">
      <c r="B52" s="236" t="s">
        <v>522</v>
      </c>
      <c r="D52" s="108" t="s">
        <v>521</v>
      </c>
      <c r="E52" s="108"/>
      <c r="F52" s="108"/>
      <c r="G52" s="108"/>
      <c r="H52" s="108"/>
      <c r="I52" s="291" t="s">
        <v>520</v>
      </c>
      <c r="J52" s="291"/>
      <c r="K52" s="294">
        <f>'ATC Att O ER22-1602'!I203</f>
        <v>417665278.95196092</v>
      </c>
      <c r="L52" s="232"/>
      <c r="M52" s="232"/>
      <c r="S52" s="232"/>
      <c r="U52" s="256"/>
      <c r="V52" s="256"/>
      <c r="W52" s="256"/>
      <c r="X52" s="255"/>
    </row>
    <row r="53" spans="2:24" ht="15.75">
      <c r="B53" s="236" t="s">
        <v>519</v>
      </c>
      <c r="D53" s="232" t="s">
        <v>518</v>
      </c>
      <c r="E53" s="232"/>
      <c r="F53" s="232"/>
      <c r="G53" s="232"/>
      <c r="H53" s="232"/>
      <c r="I53" s="291" t="s">
        <v>517</v>
      </c>
      <c r="J53" s="291"/>
      <c r="K53" s="147">
        <f>IF(K52=0,0,K52/K20)</f>
        <v>6.777954371134777E-2</v>
      </c>
      <c r="L53" s="147"/>
      <c r="M53" s="293">
        <f>K53</f>
        <v>6.777954371134777E-2</v>
      </c>
      <c r="S53" s="232"/>
      <c r="V53" s="292"/>
      <c r="W53" s="284"/>
      <c r="X53" s="256"/>
    </row>
    <row r="54" spans="2:24">
      <c r="B54" s="236"/>
      <c r="D54" s="108"/>
      <c r="E54" s="108"/>
      <c r="F54" s="108"/>
      <c r="G54" s="108"/>
      <c r="H54" s="108"/>
      <c r="I54" s="291"/>
      <c r="J54" s="291"/>
      <c r="K54" s="232"/>
      <c r="L54" s="232"/>
      <c r="M54" s="232"/>
      <c r="S54" s="232"/>
      <c r="T54" s="286"/>
      <c r="U54" s="256"/>
      <c r="V54" s="256"/>
      <c r="W54" s="256"/>
      <c r="X54" s="255"/>
    </row>
    <row r="55" spans="2:24" ht="15.75">
      <c r="B55" s="290" t="s">
        <v>516</v>
      </c>
      <c r="C55" s="289"/>
      <c r="D55" s="280" t="s">
        <v>502</v>
      </c>
      <c r="E55" s="280"/>
      <c r="F55" s="280"/>
      <c r="G55" s="280"/>
      <c r="H55" s="280"/>
      <c r="I55" s="288" t="s">
        <v>515</v>
      </c>
      <c r="J55" s="288"/>
      <c r="K55" s="139">
        <f>K49+K53</f>
        <v>8.1747665649459705E-2</v>
      </c>
      <c r="L55" s="287"/>
      <c r="M55" s="139">
        <f>M49+M53</f>
        <v>8.1747665649459705E-2</v>
      </c>
      <c r="S55" s="232"/>
      <c r="T55" s="286"/>
      <c r="U55" s="256"/>
      <c r="V55" s="256"/>
      <c r="W55" s="256"/>
      <c r="X55" s="255"/>
    </row>
    <row r="56" spans="2:24">
      <c r="S56" s="285"/>
      <c r="T56" s="285"/>
      <c r="U56" s="256"/>
      <c r="V56" s="256"/>
      <c r="W56" s="256"/>
      <c r="X56" s="255"/>
    </row>
    <row r="57" spans="2:24">
      <c r="B57" s="281"/>
      <c r="D57" s="233"/>
      <c r="E57" s="233"/>
      <c r="F57" s="233"/>
      <c r="G57" s="233"/>
      <c r="H57" s="233"/>
      <c r="I57" s="233"/>
      <c r="J57" s="233"/>
      <c r="K57" s="232"/>
      <c r="L57" s="232"/>
      <c r="M57" s="233"/>
      <c r="N57" s="233"/>
      <c r="O57" s="233"/>
      <c r="P57" s="233"/>
      <c r="Q57" s="233"/>
      <c r="S57" s="232"/>
      <c r="T57" s="232"/>
      <c r="U57" s="256"/>
      <c r="V57" s="256"/>
      <c r="W57" s="284"/>
      <c r="X57" s="256" t="s">
        <v>3</v>
      </c>
    </row>
    <row r="58" spans="2:24">
      <c r="T58" s="283"/>
    </row>
    <row r="59" spans="2:24">
      <c r="T59" s="283"/>
    </row>
    <row r="61" spans="2:24">
      <c r="B61" s="281"/>
      <c r="D61" s="233"/>
      <c r="E61" s="233"/>
      <c r="F61" s="233"/>
      <c r="G61" s="233"/>
      <c r="H61" s="233"/>
      <c r="I61" s="233"/>
      <c r="J61" s="233"/>
      <c r="K61" s="232"/>
      <c r="L61" s="232"/>
      <c r="M61" s="233"/>
      <c r="N61" s="233"/>
      <c r="O61" s="233"/>
      <c r="P61" s="233"/>
      <c r="Q61" s="233"/>
      <c r="S61" s="232"/>
      <c r="T61" s="283" t="s">
        <v>648</v>
      </c>
      <c r="U61" s="256"/>
      <c r="V61" s="255"/>
      <c r="W61" s="256"/>
      <c r="X61" s="255"/>
    </row>
    <row r="62" spans="2:24">
      <c r="B62" s="281"/>
      <c r="D62" s="108" t="str">
        <f>D5</f>
        <v>Formula Rate calculation</v>
      </c>
      <c r="E62" s="108"/>
      <c r="F62" s="108"/>
      <c r="G62" s="108"/>
      <c r="H62" s="108"/>
      <c r="I62" s="233"/>
      <c r="J62" s="233"/>
      <c r="K62" s="233" t="str">
        <f>K5</f>
        <v xml:space="preserve">     Rate Formula Template</v>
      </c>
      <c r="L62" s="233"/>
      <c r="M62" s="233"/>
      <c r="N62" s="233"/>
      <c r="O62" s="233"/>
      <c r="P62" s="233"/>
      <c r="Q62" s="233"/>
      <c r="S62" s="232"/>
      <c r="T62" s="282" t="str">
        <f>T5</f>
        <v>For the 12 months ended 12/31/2025</v>
      </c>
      <c r="U62" s="256"/>
      <c r="V62" s="255"/>
      <c r="W62" s="256"/>
      <c r="X62" s="255"/>
    </row>
    <row r="63" spans="2:24">
      <c r="B63" s="281"/>
      <c r="D63" s="108"/>
      <c r="E63" s="108"/>
      <c r="F63" s="108"/>
      <c r="G63" s="108"/>
      <c r="H63" s="108"/>
      <c r="I63" s="233"/>
      <c r="J63" s="233"/>
      <c r="K63" s="232" t="s">
        <v>513</v>
      </c>
      <c r="L63" s="233"/>
      <c r="M63" s="233"/>
      <c r="N63" s="233"/>
      <c r="O63" s="233"/>
      <c r="P63" s="233"/>
      <c r="Q63" s="233"/>
      <c r="R63" s="232"/>
      <c r="S63" s="232"/>
      <c r="U63" s="256"/>
      <c r="V63" s="255"/>
      <c r="W63" s="256"/>
      <c r="X63" s="255"/>
    </row>
    <row r="64" spans="2:24" ht="14.25" customHeight="1">
      <c r="B64" s="281"/>
      <c r="D64" s="233"/>
      <c r="E64" s="233"/>
      <c r="F64" s="233"/>
      <c r="G64" s="233"/>
      <c r="H64" s="233"/>
      <c r="I64" s="233"/>
      <c r="J64" s="233"/>
      <c r="K64" s="233"/>
      <c r="L64" s="233"/>
      <c r="M64" s="233"/>
      <c r="N64" s="233"/>
      <c r="O64" s="233"/>
      <c r="P64" s="233"/>
      <c r="Q64" s="233"/>
      <c r="S64" s="232"/>
      <c r="T64" s="233" t="s">
        <v>512</v>
      </c>
      <c r="U64" s="256"/>
      <c r="V64" s="255"/>
      <c r="W64" s="256"/>
      <c r="X64" s="255"/>
    </row>
    <row r="65" spans="2:20">
      <c r="B65" s="281"/>
      <c r="I65" s="233"/>
      <c r="J65" s="233"/>
      <c r="K65" s="233" t="str">
        <f>K8</f>
        <v>American Transmission Company LLC</v>
      </c>
      <c r="L65" s="233"/>
      <c r="M65" s="233"/>
      <c r="N65" s="233"/>
      <c r="O65" s="233"/>
      <c r="P65" s="233"/>
      <c r="Q65" s="233"/>
      <c r="R65" s="233"/>
      <c r="S65" s="232"/>
      <c r="T65" s="232"/>
    </row>
    <row r="66" spans="2:20">
      <c r="B66" s="281"/>
      <c r="I66" s="108"/>
      <c r="J66" s="108"/>
      <c r="K66" s="108"/>
      <c r="L66" s="108"/>
      <c r="M66" s="108"/>
      <c r="N66" s="108"/>
      <c r="O66" s="108"/>
      <c r="P66" s="108"/>
      <c r="Q66" s="108"/>
      <c r="R66" s="108"/>
      <c r="S66" s="108"/>
      <c r="T66" s="108"/>
    </row>
    <row r="67" spans="2:20" ht="15.75">
      <c r="B67" s="281"/>
      <c r="D67" s="233"/>
      <c r="E67" s="233"/>
      <c r="F67" s="233"/>
      <c r="G67" s="233"/>
      <c r="H67" s="233"/>
      <c r="I67" s="280" t="s">
        <v>647</v>
      </c>
      <c r="J67" s="280"/>
      <c r="M67" s="108"/>
      <c r="N67" s="108"/>
      <c r="O67" s="108"/>
      <c r="P67" s="108"/>
      <c r="Q67" s="108"/>
      <c r="R67" s="108"/>
      <c r="S67" s="232"/>
      <c r="T67" s="232"/>
    </row>
    <row r="68" spans="2:20" ht="15.75">
      <c r="B68" s="281"/>
      <c r="D68" s="233"/>
      <c r="E68" s="233"/>
      <c r="F68" s="233"/>
      <c r="G68" s="233"/>
      <c r="H68" s="233"/>
      <c r="I68" s="280"/>
      <c r="J68" s="280"/>
      <c r="M68" s="108"/>
      <c r="N68" s="108"/>
      <c r="O68" s="108"/>
      <c r="P68" s="108"/>
      <c r="Q68" s="108"/>
      <c r="R68" s="108"/>
      <c r="S68" s="232"/>
      <c r="T68" s="232"/>
    </row>
    <row r="69" spans="2:20" ht="15.75">
      <c r="B69" s="279"/>
      <c r="D69" s="278" t="s">
        <v>62</v>
      </c>
      <c r="E69" s="278" t="s">
        <v>63</v>
      </c>
      <c r="F69" s="278" t="s">
        <v>64</v>
      </c>
      <c r="G69" s="278" t="s">
        <v>65</v>
      </c>
      <c r="H69" s="278" t="s">
        <v>66</v>
      </c>
      <c r="I69" s="278" t="s">
        <v>646</v>
      </c>
      <c r="J69" s="278" t="s">
        <v>645</v>
      </c>
      <c r="K69" s="278" t="s">
        <v>644</v>
      </c>
      <c r="L69" s="278" t="s">
        <v>643</v>
      </c>
      <c r="M69" s="278" t="s">
        <v>642</v>
      </c>
      <c r="N69" s="278" t="s">
        <v>641</v>
      </c>
      <c r="O69" s="278" t="s">
        <v>640</v>
      </c>
      <c r="P69" s="278" t="s">
        <v>639</v>
      </c>
      <c r="Q69" s="278" t="s">
        <v>638</v>
      </c>
      <c r="R69" s="278" t="s">
        <v>637</v>
      </c>
      <c r="S69" s="278" t="s">
        <v>636</v>
      </c>
      <c r="T69" s="278" t="s">
        <v>635</v>
      </c>
    </row>
    <row r="70" spans="2:20" ht="65.25" customHeight="1">
      <c r="B70" s="277" t="s">
        <v>509</v>
      </c>
      <c r="C70" s="276"/>
      <c r="D70" s="275" t="s">
        <v>508</v>
      </c>
      <c r="E70" s="275" t="s">
        <v>507</v>
      </c>
      <c r="F70" s="275" t="s">
        <v>634</v>
      </c>
      <c r="G70" s="275" t="s">
        <v>633</v>
      </c>
      <c r="H70" s="275" t="s">
        <v>632</v>
      </c>
      <c r="I70" s="120" t="s">
        <v>631</v>
      </c>
      <c r="J70" s="120" t="s">
        <v>630</v>
      </c>
      <c r="K70" s="274" t="s">
        <v>629</v>
      </c>
      <c r="L70" s="273" t="s">
        <v>504</v>
      </c>
      <c r="M70" s="120" t="s">
        <v>503</v>
      </c>
      <c r="N70" s="120" t="s">
        <v>502</v>
      </c>
      <c r="O70" s="273" t="s">
        <v>501</v>
      </c>
      <c r="P70" s="120" t="s">
        <v>500</v>
      </c>
      <c r="Q70" s="120" t="s">
        <v>499</v>
      </c>
      <c r="R70" s="271" t="s">
        <v>498</v>
      </c>
      <c r="S70" s="272" t="s">
        <v>497</v>
      </c>
      <c r="T70" s="271" t="s">
        <v>628</v>
      </c>
    </row>
    <row r="71" spans="2:20" ht="46.5" customHeight="1">
      <c r="B71" s="269"/>
      <c r="C71" s="267"/>
      <c r="D71" s="267"/>
      <c r="E71" s="267"/>
      <c r="F71" s="268" t="s">
        <v>33</v>
      </c>
      <c r="G71" s="267"/>
      <c r="H71" s="266" t="s">
        <v>627</v>
      </c>
      <c r="I71" s="264" t="s">
        <v>626</v>
      </c>
      <c r="J71" s="263" t="s">
        <v>625</v>
      </c>
      <c r="K71" s="264" t="s">
        <v>624</v>
      </c>
      <c r="L71" s="265" t="s">
        <v>623</v>
      </c>
      <c r="M71" s="264" t="s">
        <v>622</v>
      </c>
      <c r="N71" s="263" t="s">
        <v>493</v>
      </c>
      <c r="O71" s="262" t="s">
        <v>621</v>
      </c>
      <c r="P71" s="263" t="s">
        <v>57</v>
      </c>
      <c r="Q71" s="263" t="s">
        <v>491</v>
      </c>
      <c r="R71" s="262" t="s">
        <v>620</v>
      </c>
      <c r="S71" s="261" t="s">
        <v>489</v>
      </c>
      <c r="T71" s="260" t="s">
        <v>619</v>
      </c>
    </row>
    <row r="72" spans="2:20">
      <c r="B72" s="259" t="s">
        <v>618</v>
      </c>
      <c r="C72" s="108"/>
      <c r="D72" s="108"/>
      <c r="E72" s="108"/>
      <c r="F72" s="108"/>
      <c r="G72" s="108"/>
      <c r="H72" s="108"/>
      <c r="I72" s="108"/>
      <c r="J72" s="108"/>
      <c r="K72" s="108"/>
      <c r="L72" s="258"/>
      <c r="M72" s="108"/>
      <c r="N72" s="108"/>
      <c r="O72" s="258"/>
      <c r="P72" s="108"/>
      <c r="Q72" s="108"/>
      <c r="R72" s="258"/>
      <c r="S72" s="232"/>
      <c r="T72" s="257"/>
    </row>
    <row r="73" spans="2:20">
      <c r="B73" s="707" t="s">
        <v>141</v>
      </c>
      <c r="C73" s="708"/>
      <c r="D73" s="687" t="s">
        <v>989</v>
      </c>
      <c r="E73" s="688">
        <v>2844</v>
      </c>
      <c r="F73" s="689">
        <f>'MM Support Data'!D23</f>
        <v>33509843.040000003</v>
      </c>
      <c r="G73" s="689">
        <f>'MM Support Data'!D39</f>
        <v>8349016.6995360004</v>
      </c>
      <c r="H73" s="690">
        <f>$M$30</f>
        <v>4.4653871845626247E-2</v>
      </c>
      <c r="I73" s="691">
        <f>G73*H73</f>
        <v>372815.92173807399</v>
      </c>
      <c r="J73" s="690">
        <f>$M$45</f>
        <v>1.3074252935928794E-2</v>
      </c>
      <c r="K73" s="691">
        <f>F73*J73</f>
        <v>438116.16374823311</v>
      </c>
      <c r="L73" s="692">
        <f>I73+K73</f>
        <v>810932.08548630704</v>
      </c>
      <c r="M73" s="689">
        <f>'MM Support Data'!D56</f>
        <v>25160826.340464</v>
      </c>
      <c r="N73" s="690">
        <f>$M$55</f>
        <v>8.1747665649459705E-2</v>
      </c>
      <c r="O73" s="692">
        <f>M73*N73</f>
        <v>2056838.8191443698</v>
      </c>
      <c r="P73" s="689">
        <f>'MM Support Data'!D61</f>
        <v>700355.71953600005</v>
      </c>
      <c r="Q73" s="689">
        <f>'MM Support Data'!D66</f>
        <v>0</v>
      </c>
      <c r="R73" s="692">
        <f>L73+O73+P73+Q73</f>
        <v>3568126.6241666768</v>
      </c>
      <c r="S73" s="689">
        <f>INDEX('MM True-up Template'!$A$52:$AO$64,MATCH(E73,'MM True-up Template'!$A$52:$A$64,0),MATCH("N",'MM True-up Template'!$A$52:$AO$52,0))</f>
        <v>321245.16308120772</v>
      </c>
      <c r="T73" s="692">
        <f>R73+S73</f>
        <v>3889371.7872478846</v>
      </c>
    </row>
    <row r="74" spans="2:20">
      <c r="B74" s="707" t="s">
        <v>487</v>
      </c>
      <c r="C74" s="708"/>
      <c r="D74" s="687" t="s">
        <v>990</v>
      </c>
      <c r="E74" s="688">
        <v>3127</v>
      </c>
      <c r="F74" s="689">
        <f>'MM Support Data'!E23</f>
        <v>551030091.63380003</v>
      </c>
      <c r="G74" s="689">
        <f>'MM Support Data'!E39</f>
        <v>52839898.619768858</v>
      </c>
      <c r="H74" s="690">
        <f>$M$30</f>
        <v>4.4653871845626247E-2</v>
      </c>
      <c r="I74" s="691">
        <f>G74*H74</f>
        <v>2359506.0613030419</v>
      </c>
      <c r="J74" s="690">
        <f>$M$45</f>
        <v>1.3074252935928794E-2</v>
      </c>
      <c r="K74" s="691">
        <f>F74*J74</f>
        <v>7204306.7933283225</v>
      </c>
      <c r="L74" s="692">
        <f>I74+K74</f>
        <v>9563812.8546313643</v>
      </c>
      <c r="M74" s="689">
        <f>'MM Support Data'!E56</f>
        <v>498190193.01403111</v>
      </c>
      <c r="N74" s="690">
        <f>$M$55</f>
        <v>8.1747665649459705E-2</v>
      </c>
      <c r="O74" s="692">
        <f>M74*N74</f>
        <v>40725885.328350812</v>
      </c>
      <c r="P74" s="689">
        <f>'MM Support Data'!E61</f>
        <v>12006943.672142677</v>
      </c>
      <c r="Q74" s="689">
        <f>ROUND('MM Support Data'!E66,0)</f>
        <v>0</v>
      </c>
      <c r="R74" s="692">
        <f>L74+O74+P74+Q74</f>
        <v>62296641.855124854</v>
      </c>
      <c r="S74" s="689">
        <f>INDEX('MM True-up Template'!$A$52:$AO$64,MATCH(E74,'MM True-up Template'!$A$52:$A$64,0),MATCH("N",'MM True-up Template'!$A$52:$AO$52,0))</f>
        <v>5054767.5503190309</v>
      </c>
      <c r="T74" s="692">
        <f>R74+S74</f>
        <v>67351409.405443877</v>
      </c>
    </row>
    <row r="75" spans="2:20">
      <c r="B75" s="254" t="s">
        <v>486</v>
      </c>
      <c r="D75" s="253" t="s">
        <v>1228</v>
      </c>
      <c r="E75" s="252">
        <v>23408</v>
      </c>
      <c r="F75" s="689">
        <f>'MM Support Data'!F23</f>
        <v>3796161.9469230771</v>
      </c>
      <c r="G75" s="689">
        <f>'MM Support Data'!F39</f>
        <v>6123.3337349935364</v>
      </c>
      <c r="H75" s="690">
        <f t="shared" ref="H75:H76" si="0">$M$30</f>
        <v>4.4653871845626247E-2</v>
      </c>
      <c r="I75" s="691">
        <f t="shared" ref="I75:I76" si="1">G75*H75</f>
        <v>273.43055987040128</v>
      </c>
      <c r="J75" s="690">
        <f t="shared" ref="J75:J76" si="2">$M$45</f>
        <v>1.3074252935928794E-2</v>
      </c>
      <c r="K75" s="691">
        <f t="shared" ref="K75:K76" si="3">F75*J75</f>
        <v>49631.981479820206</v>
      </c>
      <c r="L75" s="692">
        <f t="shared" ref="L75:L76" si="4">I75+K75</f>
        <v>49905.412039690607</v>
      </c>
      <c r="M75" s="689">
        <f>'MM Support Data'!F56</f>
        <v>3790038.6131880837</v>
      </c>
      <c r="N75" s="690">
        <f t="shared" ref="N75:N76" si="5">$M$55</f>
        <v>8.1747665649459705E-2</v>
      </c>
      <c r="O75" s="692">
        <f t="shared" ref="O75:O76" si="6">M75*N75</f>
        <v>309826.80934944144</v>
      </c>
      <c r="P75" s="689">
        <f>'MM Support Data'!F61</f>
        <v>28975.838554916674</v>
      </c>
      <c r="Q75" s="689">
        <f>ROUND('MM Support Data'!F66,0)</f>
        <v>5761677</v>
      </c>
      <c r="R75" s="692">
        <f t="shared" ref="R75:R76" si="7">L75+O75+P75+Q75</f>
        <v>6150385.0599440485</v>
      </c>
      <c r="S75" s="689">
        <f>INDEX('MM True-up Template'!$A$52:$AO$64,MATCH(E75,'MM True-up Template'!$A$52:$A$64,0),MATCH("N",'MM True-up Template'!$A$52:$AO$52,0))</f>
        <v>6490779.7998187048</v>
      </c>
      <c r="T75" s="692">
        <f t="shared" ref="T75:T76" si="8">R75+S75</f>
        <v>12641164.859762754</v>
      </c>
    </row>
    <row r="76" spans="2:20">
      <c r="B76" s="254" t="s">
        <v>485</v>
      </c>
      <c r="D76" s="253" t="s">
        <v>1098</v>
      </c>
      <c r="E76" s="252">
        <v>23372</v>
      </c>
      <c r="F76" s="689">
        <f>'MM Support Data'!G23</f>
        <v>1058856.1400000001</v>
      </c>
      <c r="G76" s="689">
        <f>'MM Support Data'!G39</f>
        <v>28059.687709999995</v>
      </c>
      <c r="H76" s="690">
        <f t="shared" si="0"/>
        <v>4.4653871845626247E-2</v>
      </c>
      <c r="I76" s="691">
        <f t="shared" si="1"/>
        <v>1252.9736990306335</v>
      </c>
      <c r="J76" s="690">
        <f t="shared" si="2"/>
        <v>1.3074252935928794E-2</v>
      </c>
      <c r="K76" s="691">
        <f t="shared" si="3"/>
        <v>13843.752997121232</v>
      </c>
      <c r="L76" s="692">
        <f t="shared" si="4"/>
        <v>15096.726696151865</v>
      </c>
      <c r="M76" s="689">
        <f>'MM Support Data'!G56</f>
        <v>1030796.4522899998</v>
      </c>
      <c r="N76" s="690">
        <f t="shared" si="5"/>
        <v>8.1747665649459705E-2</v>
      </c>
      <c r="O76" s="692">
        <f t="shared" si="6"/>
        <v>84265.203734452152</v>
      </c>
      <c r="P76" s="689">
        <f>'MM Support Data'!G61</f>
        <v>28059.687709999998</v>
      </c>
      <c r="Q76" s="689">
        <f>ROUND('MM Support Data'!G66,0)</f>
        <v>240111</v>
      </c>
      <c r="R76" s="692">
        <f t="shared" si="7"/>
        <v>367532.618140604</v>
      </c>
      <c r="S76" s="689">
        <f>INDEX('MM True-up Template'!$A$52:$AO$64,MATCH(E76,'MM True-up Template'!$A$52:$A$64,0),MATCH("N",'MM True-up Template'!$A$52:$AO$52,0))</f>
        <v>96536.13790836405</v>
      </c>
      <c r="T76" s="692">
        <f t="shared" si="8"/>
        <v>464068.75604896806</v>
      </c>
    </row>
    <row r="77" spans="2:20">
      <c r="B77" s="254"/>
      <c r="D77" s="253" t="s">
        <v>617</v>
      </c>
      <c r="E77" s="252" t="s">
        <v>617</v>
      </c>
      <c r="F77" s="251"/>
      <c r="G77" s="251"/>
      <c r="H77" s="147"/>
      <c r="I77" s="251"/>
      <c r="J77" s="147"/>
      <c r="K77" s="251"/>
      <c r="L77" s="250"/>
      <c r="M77" s="251"/>
      <c r="N77" s="147"/>
      <c r="O77" s="250"/>
      <c r="P77" s="251"/>
      <c r="Q77" s="251"/>
      <c r="R77" s="250"/>
      <c r="S77" s="251"/>
      <c r="T77" s="250"/>
    </row>
    <row r="78" spans="2:20">
      <c r="B78" s="254"/>
      <c r="D78" s="253" t="s">
        <v>617</v>
      </c>
      <c r="E78" s="252" t="s">
        <v>617</v>
      </c>
      <c r="F78" s="251"/>
      <c r="G78" s="251"/>
      <c r="H78" s="147"/>
      <c r="I78" s="251"/>
      <c r="J78" s="147"/>
      <c r="K78" s="251"/>
      <c r="L78" s="250"/>
      <c r="M78" s="251"/>
      <c r="N78" s="147"/>
      <c r="O78" s="250"/>
      <c r="P78" s="251"/>
      <c r="Q78" s="251"/>
      <c r="R78" s="250"/>
      <c r="S78" s="251"/>
      <c r="T78" s="250"/>
    </row>
    <row r="79" spans="2:20">
      <c r="B79" s="254"/>
      <c r="D79" s="253" t="s">
        <v>617</v>
      </c>
      <c r="E79" s="252" t="s">
        <v>617</v>
      </c>
      <c r="F79" s="251"/>
      <c r="G79" s="251"/>
      <c r="H79" s="147"/>
      <c r="I79" s="251"/>
      <c r="J79" s="147"/>
      <c r="K79" s="251"/>
      <c r="L79" s="250"/>
      <c r="M79" s="251"/>
      <c r="N79" s="147"/>
      <c r="O79" s="250"/>
      <c r="P79" s="251"/>
      <c r="Q79" s="251"/>
      <c r="R79" s="250"/>
      <c r="S79" s="251"/>
      <c r="T79" s="250"/>
    </row>
    <row r="80" spans="2:20">
      <c r="B80" s="254"/>
      <c r="D80" s="253" t="s">
        <v>617</v>
      </c>
      <c r="E80" s="252" t="s">
        <v>617</v>
      </c>
      <c r="F80" s="251"/>
      <c r="G80" s="251"/>
      <c r="H80" s="147"/>
      <c r="I80" s="251"/>
      <c r="J80" s="147"/>
      <c r="K80" s="251"/>
      <c r="L80" s="250"/>
      <c r="M80" s="251"/>
      <c r="N80" s="147"/>
      <c r="O80" s="250"/>
      <c r="P80" s="251"/>
      <c r="Q80" s="251"/>
      <c r="R80" s="250"/>
      <c r="S80" s="251"/>
      <c r="T80" s="250"/>
    </row>
    <row r="81" spans="2:20">
      <c r="B81" s="254"/>
      <c r="D81" s="253" t="s">
        <v>617</v>
      </c>
      <c r="E81" s="252" t="s">
        <v>617</v>
      </c>
      <c r="F81" s="251"/>
      <c r="G81" s="251"/>
      <c r="H81" s="147"/>
      <c r="I81" s="251"/>
      <c r="J81" s="147"/>
      <c r="K81" s="251"/>
      <c r="L81" s="250"/>
      <c r="M81" s="251"/>
      <c r="N81" s="147"/>
      <c r="O81" s="250"/>
      <c r="P81" s="251"/>
      <c r="Q81" s="251"/>
      <c r="R81" s="250"/>
      <c r="S81" s="251"/>
      <c r="T81" s="250"/>
    </row>
    <row r="82" spans="2:20">
      <c r="B82" s="254"/>
      <c r="D82" s="253" t="s">
        <v>617</v>
      </c>
      <c r="E82" s="252" t="s">
        <v>617</v>
      </c>
      <c r="F82" s="251"/>
      <c r="G82" s="251"/>
      <c r="H82" s="147"/>
      <c r="I82" s="251"/>
      <c r="J82" s="147"/>
      <c r="K82" s="251"/>
      <c r="L82" s="250"/>
      <c r="M82" s="251"/>
      <c r="N82" s="147"/>
      <c r="O82" s="250"/>
      <c r="P82" s="251"/>
      <c r="Q82" s="251"/>
      <c r="R82" s="250"/>
      <c r="S82" s="251"/>
      <c r="T82" s="250"/>
    </row>
    <row r="83" spans="2:20">
      <c r="B83" s="254"/>
      <c r="D83" s="253" t="s">
        <v>617</v>
      </c>
      <c r="E83" s="252" t="s">
        <v>617</v>
      </c>
      <c r="F83" s="251"/>
      <c r="G83" s="251"/>
      <c r="H83" s="147"/>
      <c r="I83" s="251"/>
      <c r="J83" s="147"/>
      <c r="K83" s="251"/>
      <c r="L83" s="250"/>
      <c r="M83" s="251"/>
      <c r="N83" s="147"/>
      <c r="O83" s="250"/>
      <c r="P83" s="251"/>
      <c r="Q83" s="251"/>
      <c r="R83" s="250"/>
      <c r="S83" s="251"/>
      <c r="T83" s="250"/>
    </row>
    <row r="84" spans="2:20">
      <c r="B84" s="254"/>
      <c r="D84" s="253" t="s">
        <v>617</v>
      </c>
      <c r="E84" s="252" t="s">
        <v>617</v>
      </c>
      <c r="F84" s="251"/>
      <c r="G84" s="251"/>
      <c r="H84" s="147"/>
      <c r="I84" s="251"/>
      <c r="J84" s="147"/>
      <c r="K84" s="251"/>
      <c r="L84" s="250"/>
      <c r="M84" s="251"/>
      <c r="N84" s="147"/>
      <c r="O84" s="250"/>
      <c r="P84" s="251"/>
      <c r="Q84" s="251"/>
      <c r="R84" s="250"/>
      <c r="S84" s="251"/>
      <c r="T84" s="250"/>
    </row>
    <row r="85" spans="2:20">
      <c r="B85" s="254"/>
      <c r="D85" s="253" t="s">
        <v>617</v>
      </c>
      <c r="E85" s="252" t="s">
        <v>617</v>
      </c>
      <c r="F85" s="251"/>
      <c r="G85" s="251"/>
      <c r="H85" s="147"/>
      <c r="I85" s="251"/>
      <c r="J85" s="147"/>
      <c r="K85" s="251"/>
      <c r="L85" s="250"/>
      <c r="M85" s="251"/>
      <c r="N85" s="147"/>
      <c r="O85" s="250"/>
      <c r="P85" s="251"/>
      <c r="Q85" s="251"/>
      <c r="R85" s="250"/>
      <c r="S85" s="251"/>
      <c r="T85" s="250"/>
    </row>
    <row r="86" spans="2:20">
      <c r="B86" s="254"/>
      <c r="D86" s="253" t="s">
        <v>617</v>
      </c>
      <c r="E86" s="252" t="s">
        <v>617</v>
      </c>
      <c r="F86" s="251"/>
      <c r="G86" s="251"/>
      <c r="H86" s="147"/>
      <c r="I86" s="251"/>
      <c r="J86" s="147"/>
      <c r="K86" s="251"/>
      <c r="L86" s="250"/>
      <c r="M86" s="251"/>
      <c r="N86" s="147"/>
      <c r="O86" s="250"/>
      <c r="P86" s="251"/>
      <c r="Q86" s="251"/>
      <c r="R86" s="250"/>
      <c r="S86" s="251"/>
      <c r="T86" s="250"/>
    </row>
    <row r="87" spans="2:20">
      <c r="B87" s="254"/>
      <c r="D87" s="253" t="s">
        <v>617</v>
      </c>
      <c r="E87" s="252" t="s">
        <v>617</v>
      </c>
      <c r="F87" s="251"/>
      <c r="G87" s="251"/>
      <c r="H87" s="147"/>
      <c r="I87" s="251"/>
      <c r="J87" s="147"/>
      <c r="K87" s="251"/>
      <c r="L87" s="250"/>
      <c r="M87" s="251"/>
      <c r="N87" s="147"/>
      <c r="O87" s="250"/>
      <c r="P87" s="251"/>
      <c r="Q87" s="251"/>
      <c r="R87" s="250"/>
      <c r="S87" s="251"/>
      <c r="T87" s="250"/>
    </row>
    <row r="88" spans="2:20">
      <c r="B88" s="254"/>
      <c r="D88" s="253" t="s">
        <v>617</v>
      </c>
      <c r="E88" s="252" t="s">
        <v>617</v>
      </c>
      <c r="F88" s="251"/>
      <c r="G88" s="251"/>
      <c r="H88" s="147"/>
      <c r="I88" s="251"/>
      <c r="J88" s="147"/>
      <c r="K88" s="251"/>
      <c r="L88" s="250"/>
      <c r="M88" s="251"/>
      <c r="N88" s="147"/>
      <c r="O88" s="250"/>
      <c r="P88" s="251"/>
      <c r="Q88" s="251"/>
      <c r="R88" s="250"/>
      <c r="S88" s="251"/>
      <c r="T88" s="250"/>
    </row>
    <row r="89" spans="2:20">
      <c r="B89" s="254"/>
      <c r="D89" s="253" t="s">
        <v>617</v>
      </c>
      <c r="E89" s="252" t="s">
        <v>617</v>
      </c>
      <c r="F89" s="251"/>
      <c r="G89" s="251"/>
      <c r="H89" s="147"/>
      <c r="I89" s="251"/>
      <c r="J89" s="147"/>
      <c r="K89" s="251"/>
      <c r="L89" s="250"/>
      <c r="M89" s="251"/>
      <c r="N89" s="147"/>
      <c r="O89" s="250"/>
      <c r="P89" s="251"/>
      <c r="Q89" s="251"/>
      <c r="R89" s="250"/>
      <c r="S89" s="251"/>
      <c r="T89" s="250"/>
    </row>
    <row r="90" spans="2:20">
      <c r="B90" s="254"/>
      <c r="D90" s="253" t="s">
        <v>617</v>
      </c>
      <c r="E90" s="252" t="s">
        <v>617</v>
      </c>
      <c r="F90" s="251"/>
      <c r="G90" s="251"/>
      <c r="H90" s="147"/>
      <c r="I90" s="251"/>
      <c r="J90" s="147"/>
      <c r="K90" s="251"/>
      <c r="L90" s="250"/>
      <c r="M90" s="251"/>
      <c r="N90" s="147"/>
      <c r="O90" s="250"/>
      <c r="P90" s="251"/>
      <c r="Q90" s="251"/>
      <c r="R90" s="250"/>
      <c r="S90" s="251"/>
      <c r="T90" s="250"/>
    </row>
    <row r="91" spans="2:20">
      <c r="B91" s="254"/>
      <c r="D91" s="253" t="s">
        <v>617</v>
      </c>
      <c r="E91" s="252" t="s">
        <v>617</v>
      </c>
      <c r="F91" s="251"/>
      <c r="G91" s="251"/>
      <c r="H91" s="147"/>
      <c r="I91" s="251"/>
      <c r="J91" s="147"/>
      <c r="K91" s="251"/>
      <c r="L91" s="250"/>
      <c r="M91" s="251"/>
      <c r="N91" s="147"/>
      <c r="O91" s="250"/>
      <c r="P91" s="251"/>
      <c r="Q91" s="251"/>
      <c r="R91" s="250"/>
      <c r="S91" s="251"/>
      <c r="T91" s="250"/>
    </row>
    <row r="92" spans="2:20">
      <c r="B92" s="254"/>
      <c r="D92" s="253" t="s">
        <v>617</v>
      </c>
      <c r="E92" s="252" t="s">
        <v>617</v>
      </c>
      <c r="F92" s="251"/>
      <c r="G92" s="251"/>
      <c r="H92" s="147"/>
      <c r="I92" s="251"/>
      <c r="J92" s="147"/>
      <c r="K92" s="251"/>
      <c r="L92" s="250"/>
      <c r="M92" s="251"/>
      <c r="N92" s="147"/>
      <c r="O92" s="250"/>
      <c r="P92" s="251"/>
      <c r="Q92" s="251"/>
      <c r="R92" s="250"/>
      <c r="S92" s="251"/>
      <c r="T92" s="250"/>
    </row>
    <row r="93" spans="2:20">
      <c r="B93" s="254"/>
      <c r="D93" s="253" t="s">
        <v>617</v>
      </c>
      <c r="E93" s="252" t="s">
        <v>617</v>
      </c>
      <c r="F93" s="251"/>
      <c r="G93" s="251"/>
      <c r="H93" s="147"/>
      <c r="I93" s="251"/>
      <c r="J93" s="147"/>
      <c r="K93" s="251"/>
      <c r="L93" s="250"/>
      <c r="M93" s="251"/>
      <c r="N93" s="147"/>
      <c r="O93" s="250"/>
      <c r="P93" s="251"/>
      <c r="Q93" s="251"/>
      <c r="R93" s="250"/>
      <c r="S93" s="251"/>
      <c r="T93" s="250"/>
    </row>
    <row r="94" spans="2:20">
      <c r="B94" s="254"/>
      <c r="D94" s="253" t="s">
        <v>617</v>
      </c>
      <c r="E94" s="252" t="s">
        <v>617</v>
      </c>
      <c r="F94" s="251"/>
      <c r="G94" s="251"/>
      <c r="H94" s="147"/>
      <c r="I94" s="251"/>
      <c r="J94" s="147"/>
      <c r="K94" s="251"/>
      <c r="L94" s="250"/>
      <c r="M94" s="251"/>
      <c r="N94" s="147"/>
      <c r="O94" s="250"/>
      <c r="P94" s="251"/>
      <c r="Q94" s="251"/>
      <c r="R94" s="250"/>
      <c r="S94" s="251"/>
      <c r="T94" s="250"/>
    </row>
    <row r="95" spans="2:20">
      <c r="B95" s="254"/>
      <c r="D95" s="253" t="s">
        <v>617</v>
      </c>
      <c r="E95" s="252" t="s">
        <v>617</v>
      </c>
      <c r="F95" s="251"/>
      <c r="G95" s="251"/>
      <c r="H95" s="147"/>
      <c r="I95" s="251"/>
      <c r="J95" s="147"/>
      <c r="K95" s="251"/>
      <c r="L95" s="250"/>
      <c r="M95" s="251"/>
      <c r="N95" s="147"/>
      <c r="O95" s="250"/>
      <c r="P95" s="251"/>
      <c r="Q95" s="251"/>
      <c r="R95" s="250"/>
      <c r="S95" s="251"/>
      <c r="T95" s="250"/>
    </row>
    <row r="96" spans="2:20">
      <c r="B96" s="254"/>
      <c r="D96" s="253" t="s">
        <v>617</v>
      </c>
      <c r="E96" s="252" t="s">
        <v>617</v>
      </c>
      <c r="F96" s="251"/>
      <c r="G96" s="251"/>
      <c r="H96" s="147"/>
      <c r="I96" s="251"/>
      <c r="J96" s="147"/>
      <c r="K96" s="251"/>
      <c r="L96" s="250"/>
      <c r="M96" s="251"/>
      <c r="N96" s="147"/>
      <c r="O96" s="250"/>
      <c r="P96" s="251"/>
      <c r="Q96" s="251"/>
      <c r="R96" s="250"/>
      <c r="S96" s="251"/>
      <c r="T96" s="250"/>
    </row>
    <row r="97" spans="2:20">
      <c r="B97" s="249"/>
      <c r="C97" s="248"/>
      <c r="D97" s="247"/>
      <c r="E97" s="247"/>
      <c r="F97" s="247"/>
      <c r="G97" s="247"/>
      <c r="H97" s="247"/>
      <c r="I97" s="247"/>
      <c r="J97" s="247"/>
      <c r="K97" s="247"/>
      <c r="L97" s="246"/>
      <c r="M97" s="247"/>
      <c r="N97" s="247"/>
      <c r="O97" s="246"/>
      <c r="P97" s="247"/>
      <c r="Q97" s="247"/>
      <c r="R97" s="246"/>
      <c r="S97" s="247"/>
      <c r="T97" s="246"/>
    </row>
    <row r="98" spans="2:20">
      <c r="B98" s="245" t="s">
        <v>473</v>
      </c>
      <c r="C98" s="244"/>
      <c r="D98" s="108" t="s">
        <v>616</v>
      </c>
      <c r="E98" s="108"/>
      <c r="F98" s="108"/>
      <c r="G98" s="108"/>
      <c r="H98" s="108"/>
      <c r="I98" s="235"/>
      <c r="J98" s="235"/>
      <c r="K98" s="232"/>
      <c r="L98" s="232"/>
      <c r="M98" s="232"/>
      <c r="N98" s="232"/>
      <c r="O98" s="232"/>
      <c r="P98" s="232"/>
      <c r="Q98" s="100">
        <f>SUM(Q73:Q97)</f>
        <v>6001788</v>
      </c>
      <c r="R98" s="100">
        <f>SUM(R73:R97)</f>
        <v>72382686.157376185</v>
      </c>
      <c r="S98" s="100">
        <f>SUM(S73:S97)</f>
        <v>11963328.651127307</v>
      </c>
      <c r="T98" s="100">
        <f>SUM(T73:T97)</f>
        <v>84346014.808503479</v>
      </c>
    </row>
    <row r="99" spans="2:20">
      <c r="B99" s="243"/>
      <c r="C99" s="91"/>
      <c r="D99" s="91"/>
      <c r="E99" s="91"/>
      <c r="F99" s="91"/>
      <c r="G99" s="91"/>
      <c r="H99" s="91"/>
      <c r="I99" s="91"/>
      <c r="J99" s="91"/>
      <c r="K99" s="91"/>
      <c r="L99" s="91"/>
      <c r="M99" s="91"/>
      <c r="N99" s="91"/>
      <c r="O99" s="91"/>
      <c r="P99" s="91"/>
      <c r="Q99" s="91"/>
      <c r="R99" s="91"/>
      <c r="S99" s="91"/>
      <c r="T99" s="91"/>
    </row>
    <row r="100" spans="2:20">
      <c r="B100" s="97">
        <v>3</v>
      </c>
      <c r="C100" s="91"/>
      <c r="D100" s="233" t="s">
        <v>471</v>
      </c>
      <c r="E100" s="233"/>
      <c r="F100" s="233"/>
      <c r="G100" s="233"/>
      <c r="H100" s="91"/>
      <c r="I100" s="91"/>
      <c r="J100" s="91"/>
      <c r="K100" s="91"/>
      <c r="L100" s="91"/>
      <c r="M100" s="91"/>
      <c r="N100" s="91"/>
      <c r="O100" s="91"/>
      <c r="P100" s="91"/>
      <c r="Q100" s="91"/>
      <c r="R100" s="242">
        <f>R98</f>
        <v>72382686.157376185</v>
      </c>
      <c r="S100" s="91"/>
      <c r="T100" s="91"/>
    </row>
    <row r="101" spans="2:20">
      <c r="B101" s="91"/>
      <c r="C101" s="91"/>
      <c r="D101" s="91"/>
      <c r="E101" s="91"/>
      <c r="F101" s="91"/>
      <c r="G101" s="91"/>
      <c r="H101" s="91"/>
      <c r="I101" s="91"/>
      <c r="J101" s="91"/>
      <c r="K101" s="91"/>
      <c r="L101" s="91"/>
      <c r="M101" s="91"/>
      <c r="N101" s="91"/>
      <c r="O101" s="91"/>
      <c r="P101" s="91"/>
      <c r="Q101" s="91"/>
      <c r="R101" s="91"/>
      <c r="S101" s="91"/>
      <c r="T101" s="91"/>
    </row>
    <row r="102" spans="2:20">
      <c r="B102" s="91"/>
      <c r="C102" s="91"/>
      <c r="D102" s="91"/>
      <c r="E102" s="91"/>
      <c r="F102" s="91"/>
      <c r="G102" s="91"/>
      <c r="H102" s="91"/>
      <c r="I102" s="91"/>
      <c r="J102" s="91"/>
      <c r="K102" s="91"/>
      <c r="L102" s="91"/>
      <c r="M102" s="91"/>
      <c r="N102" s="91"/>
      <c r="O102" s="91"/>
      <c r="P102" s="91"/>
      <c r="Q102" s="91"/>
      <c r="R102" s="91"/>
      <c r="S102" s="91"/>
      <c r="T102" s="91"/>
    </row>
    <row r="103" spans="2:20">
      <c r="B103" s="233" t="s">
        <v>281</v>
      </c>
      <c r="C103" s="91"/>
      <c r="D103" s="91"/>
      <c r="E103" s="91"/>
      <c r="F103" s="91"/>
      <c r="G103" s="91"/>
      <c r="H103" s="91"/>
      <c r="I103" s="91"/>
      <c r="J103" s="91"/>
      <c r="K103" s="91"/>
      <c r="L103" s="91"/>
      <c r="M103" s="91"/>
      <c r="N103" s="91"/>
      <c r="O103" s="91"/>
      <c r="P103" s="91"/>
      <c r="Q103" s="91"/>
      <c r="R103" s="91"/>
      <c r="S103" s="91"/>
      <c r="T103" s="91"/>
    </row>
    <row r="104" spans="2:20" ht="15.75" thickBot="1">
      <c r="B104" s="241" t="s">
        <v>282</v>
      </c>
      <c r="C104" s="91"/>
      <c r="D104" s="91"/>
      <c r="E104" s="91"/>
      <c r="F104" s="91"/>
      <c r="G104" s="91"/>
      <c r="H104" s="91"/>
      <c r="I104" s="91"/>
      <c r="J104" s="91"/>
      <c r="K104" s="91"/>
      <c r="L104" s="91"/>
      <c r="M104" s="91"/>
      <c r="N104" s="91"/>
      <c r="O104" s="91"/>
      <c r="P104" s="91"/>
      <c r="Q104" s="91"/>
      <c r="R104" s="91"/>
      <c r="S104" s="91"/>
      <c r="T104" s="91"/>
    </row>
    <row r="105" spans="2:20" ht="34.5" customHeight="1">
      <c r="B105" s="92" t="s">
        <v>283</v>
      </c>
      <c r="D105" s="862" t="s">
        <v>1059</v>
      </c>
      <c r="E105" s="862"/>
      <c r="F105" s="862"/>
      <c r="G105" s="862"/>
      <c r="H105" s="862"/>
      <c r="I105" s="862"/>
      <c r="J105" s="862"/>
      <c r="K105" s="862"/>
      <c r="L105" s="862"/>
      <c r="M105" s="862"/>
      <c r="N105" s="862"/>
      <c r="O105" s="862"/>
      <c r="P105" s="862"/>
      <c r="Q105" s="862"/>
      <c r="R105" s="862"/>
      <c r="S105" s="862"/>
      <c r="T105" s="862"/>
    </row>
    <row r="106" spans="2:20" ht="17.100000000000001" customHeight="1">
      <c r="B106" s="92" t="s">
        <v>285</v>
      </c>
      <c r="D106" s="862" t="s">
        <v>615</v>
      </c>
      <c r="E106" s="862"/>
      <c r="F106" s="862"/>
      <c r="G106" s="862"/>
      <c r="H106" s="862"/>
      <c r="I106" s="862"/>
      <c r="J106" s="862"/>
      <c r="K106" s="862"/>
      <c r="L106" s="862"/>
      <c r="M106" s="862"/>
      <c r="N106" s="862"/>
      <c r="O106" s="862"/>
      <c r="P106" s="862"/>
      <c r="Q106" s="862"/>
      <c r="R106" s="862"/>
      <c r="S106" s="862"/>
      <c r="T106" s="862"/>
    </row>
    <row r="107" spans="2:20" ht="17.100000000000001" customHeight="1">
      <c r="B107" s="92" t="s">
        <v>287</v>
      </c>
      <c r="D107" s="870" t="s">
        <v>614</v>
      </c>
      <c r="E107" s="870"/>
      <c r="F107" s="870"/>
      <c r="G107" s="870"/>
      <c r="H107" s="870"/>
      <c r="I107" s="870"/>
      <c r="J107" s="870"/>
      <c r="K107" s="870"/>
      <c r="L107" s="870"/>
      <c r="M107" s="870"/>
      <c r="N107" s="870"/>
      <c r="O107" s="870"/>
      <c r="P107" s="870"/>
      <c r="Q107" s="870"/>
      <c r="R107" s="870"/>
      <c r="S107" s="870"/>
      <c r="T107" s="870"/>
    </row>
    <row r="108" spans="2:20" ht="17.100000000000001" customHeight="1">
      <c r="B108" s="92" t="s">
        <v>289</v>
      </c>
      <c r="D108" s="870" t="s">
        <v>613</v>
      </c>
      <c r="E108" s="870"/>
      <c r="F108" s="870"/>
      <c r="G108" s="870"/>
      <c r="H108" s="870"/>
      <c r="I108" s="870"/>
      <c r="J108" s="870"/>
      <c r="K108" s="870"/>
      <c r="L108" s="870"/>
      <c r="M108" s="870"/>
      <c r="N108" s="870"/>
      <c r="O108" s="870"/>
      <c r="P108" s="870"/>
      <c r="Q108" s="870"/>
      <c r="R108" s="870"/>
      <c r="S108" s="870"/>
      <c r="T108" s="870"/>
    </row>
    <row r="109" spans="2:20" ht="17.100000000000001" customHeight="1">
      <c r="B109" s="238" t="s">
        <v>290</v>
      </c>
      <c r="D109" s="868" t="s">
        <v>466</v>
      </c>
      <c r="E109" s="868"/>
      <c r="F109" s="868"/>
      <c r="G109" s="868"/>
      <c r="H109" s="868"/>
      <c r="I109" s="868"/>
      <c r="J109" s="868"/>
      <c r="K109" s="868"/>
      <c r="L109" s="868"/>
      <c r="M109" s="868"/>
      <c r="N109" s="868"/>
      <c r="O109" s="868"/>
      <c r="P109" s="868"/>
      <c r="Q109" s="868"/>
      <c r="R109" s="868"/>
      <c r="S109" s="868"/>
      <c r="T109" s="868"/>
    </row>
    <row r="110" spans="2:20" ht="17.100000000000001" customHeight="1">
      <c r="B110" s="238" t="s">
        <v>292</v>
      </c>
      <c r="D110" s="868" t="s">
        <v>612</v>
      </c>
      <c r="E110" s="868"/>
      <c r="F110" s="868"/>
      <c r="G110" s="868"/>
      <c r="H110" s="868"/>
      <c r="I110" s="868"/>
      <c r="J110" s="868"/>
      <c r="K110" s="868"/>
      <c r="L110" s="868"/>
      <c r="M110" s="868"/>
      <c r="N110" s="868"/>
      <c r="O110" s="868"/>
      <c r="P110" s="868"/>
      <c r="Q110" s="868"/>
      <c r="R110" s="868"/>
      <c r="S110" s="868"/>
      <c r="T110" s="868"/>
    </row>
    <row r="111" spans="2:20" ht="17.100000000000001" customHeight="1">
      <c r="B111" s="238" t="s">
        <v>294</v>
      </c>
      <c r="D111" s="868" t="s">
        <v>611</v>
      </c>
      <c r="E111" s="868"/>
      <c r="F111" s="868"/>
      <c r="G111" s="868"/>
      <c r="H111" s="868"/>
      <c r="I111" s="868"/>
      <c r="J111" s="868"/>
      <c r="K111" s="868"/>
      <c r="L111" s="868"/>
      <c r="M111" s="868"/>
      <c r="N111" s="868"/>
      <c r="O111" s="868"/>
      <c r="P111" s="868"/>
      <c r="Q111" s="868"/>
      <c r="R111" s="868"/>
      <c r="S111" s="868"/>
      <c r="T111" s="868"/>
    </row>
    <row r="112" spans="2:20" ht="17.100000000000001" customHeight="1">
      <c r="B112" s="238" t="s">
        <v>296</v>
      </c>
      <c r="D112" s="868" t="s">
        <v>610</v>
      </c>
      <c r="E112" s="868"/>
      <c r="F112" s="868"/>
      <c r="G112" s="868"/>
      <c r="H112" s="868"/>
      <c r="I112" s="868"/>
      <c r="J112" s="868"/>
      <c r="K112" s="868"/>
      <c r="L112" s="868"/>
      <c r="M112" s="868"/>
      <c r="N112" s="868"/>
      <c r="O112" s="868"/>
      <c r="P112" s="868"/>
      <c r="Q112" s="868"/>
      <c r="R112" s="868"/>
      <c r="S112" s="868"/>
      <c r="T112" s="868"/>
    </row>
    <row r="113" spans="2:20" ht="17.100000000000001" customHeight="1">
      <c r="B113" s="239" t="s">
        <v>298</v>
      </c>
      <c r="D113" s="868" t="s">
        <v>463</v>
      </c>
      <c r="E113" s="868"/>
      <c r="F113" s="868"/>
      <c r="G113" s="868"/>
      <c r="H113" s="868"/>
      <c r="I113" s="868"/>
      <c r="J113" s="868"/>
      <c r="K113" s="868"/>
      <c r="L113" s="868"/>
      <c r="M113" s="868"/>
      <c r="N113" s="868"/>
      <c r="O113" s="868"/>
      <c r="P113" s="868"/>
      <c r="Q113" s="868"/>
      <c r="R113" s="868"/>
      <c r="S113" s="868"/>
      <c r="T113" s="868"/>
    </row>
    <row r="114" spans="2:20" ht="17.100000000000001" customHeight="1">
      <c r="B114" s="238" t="s">
        <v>300</v>
      </c>
      <c r="C114" s="91"/>
      <c r="D114" s="868" t="s">
        <v>609</v>
      </c>
      <c r="E114" s="868"/>
      <c r="F114" s="868"/>
      <c r="G114" s="868"/>
      <c r="H114" s="868"/>
      <c r="I114" s="868"/>
      <c r="J114" s="868"/>
      <c r="K114" s="868"/>
      <c r="L114" s="868"/>
      <c r="M114" s="868"/>
      <c r="N114" s="868"/>
      <c r="O114" s="868"/>
      <c r="P114" s="868"/>
      <c r="Q114" s="868"/>
      <c r="R114" s="868"/>
      <c r="S114" s="868"/>
      <c r="T114" s="868"/>
    </row>
    <row r="115" spans="2:20" ht="17.100000000000001" customHeight="1">
      <c r="B115" s="238"/>
      <c r="C115" s="237"/>
      <c r="D115" s="868"/>
      <c r="E115" s="868"/>
      <c r="F115" s="868"/>
      <c r="G115" s="868"/>
      <c r="H115" s="868"/>
      <c r="I115" s="868"/>
      <c r="J115" s="868"/>
      <c r="K115" s="868"/>
      <c r="L115" s="868"/>
      <c r="M115" s="868"/>
      <c r="N115" s="868"/>
      <c r="O115" s="868"/>
      <c r="P115" s="868"/>
      <c r="Q115" s="868"/>
      <c r="R115" s="868"/>
      <c r="S115" s="868"/>
      <c r="T115" s="868"/>
    </row>
  </sheetData>
  <mergeCells count="12">
    <mergeCell ref="D113:T113"/>
    <mergeCell ref="D114:T114"/>
    <mergeCell ref="D115:T115"/>
    <mergeCell ref="H25:J25"/>
    <mergeCell ref="D105:T105"/>
    <mergeCell ref="D106:T106"/>
    <mergeCell ref="D107:T107"/>
    <mergeCell ref="D108:T108"/>
    <mergeCell ref="D109:T109"/>
    <mergeCell ref="D110:T110"/>
    <mergeCell ref="D111:T111"/>
    <mergeCell ref="D112:T112"/>
  </mergeCells>
  <pageMargins left="0.7" right="0.7" top="0.75" bottom="0.75" header="0.3" footer="0.3"/>
  <pageSetup scale="32" fitToHeight="2" orientation="landscape" r:id="rId1"/>
  <rowBreaks count="1" manualBreakCount="1">
    <brk id="60" min="1" max="1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pageSetUpPr fitToPage="1"/>
  </sheetPr>
  <dimension ref="B1:Q131"/>
  <sheetViews>
    <sheetView showGridLines="0" zoomScaleNormal="100" zoomScaleSheetLayoutView="100" workbookViewId="0">
      <pane xSplit="3" ySplit="9" topLeftCell="D10" activePane="bottomRight" state="frozen"/>
      <selection activeCell="I78" sqref="I78"/>
      <selection pane="topRight" activeCell="I78" sqref="I78"/>
      <selection pane="bottomLeft" activeCell="I78" sqref="I78"/>
      <selection pane="bottomRight" activeCell="C3" sqref="C3"/>
    </sheetView>
  </sheetViews>
  <sheetFormatPr defaultRowHeight="12.75" outlineLevelRow="1"/>
  <cols>
    <col min="1" max="1" width="9.140625" style="164"/>
    <col min="2" max="2" width="21.28515625" style="164" customWidth="1"/>
    <col min="3" max="3" width="32.85546875" style="164" customWidth="1"/>
    <col min="4" max="15" width="13.85546875" style="164" customWidth="1"/>
    <col min="16" max="16" width="3.42578125" style="164" customWidth="1"/>
    <col min="17" max="22" width="13.85546875" style="164" customWidth="1"/>
    <col min="23" max="16384" width="9.140625" style="164"/>
  </cols>
  <sheetData>
    <row r="1" spans="2:15" s="218" customFormat="1" ht="18">
      <c r="B1" s="335" t="s">
        <v>682</v>
      </c>
    </row>
    <row r="2" spans="2:15">
      <c r="B2" s="194"/>
    </row>
    <row r="3" spans="2:15">
      <c r="B3" s="334" t="s">
        <v>585</v>
      </c>
      <c r="C3" s="673">
        <v>2025</v>
      </c>
      <c r="D3" s="332"/>
      <c r="E3" s="332"/>
      <c r="F3" s="332"/>
      <c r="H3" s="332"/>
      <c r="I3" s="332"/>
      <c r="J3" s="332"/>
    </row>
    <row r="4" spans="2:15">
      <c r="B4" s="194"/>
      <c r="C4" s="332"/>
      <c r="D4" s="332"/>
      <c r="E4" s="332"/>
      <c r="F4" s="332"/>
      <c r="H4" s="332"/>
      <c r="I4" s="332"/>
      <c r="J4" s="332"/>
    </row>
    <row r="5" spans="2:15">
      <c r="B5" s="334" t="s">
        <v>584</v>
      </c>
      <c r="C5" s="333" t="s">
        <v>581</v>
      </c>
      <c r="D5" s="332"/>
      <c r="E5" s="332"/>
      <c r="F5" s="332"/>
      <c r="H5" s="332"/>
      <c r="I5" s="332"/>
      <c r="J5" s="332"/>
    </row>
    <row r="6" spans="2:15">
      <c r="B6" s="194"/>
      <c r="C6" s="332"/>
      <c r="D6" s="331"/>
      <c r="E6" s="165"/>
      <c r="F6" s="165"/>
      <c r="G6" s="165"/>
      <c r="H6" s="165"/>
      <c r="I6" s="165"/>
      <c r="J6" s="165"/>
      <c r="K6" s="165"/>
      <c r="L6" s="165"/>
      <c r="M6" s="165"/>
      <c r="N6" s="165"/>
      <c r="O6" s="165"/>
    </row>
    <row r="7" spans="2:15">
      <c r="B7" s="329"/>
      <c r="C7" s="674" t="s">
        <v>583</v>
      </c>
      <c r="D7" s="330">
        <f>'ATC Att MM ER21-2601'!$E$73</f>
        <v>2844</v>
      </c>
      <c r="E7" s="330">
        <f>'ATC Att MM ER21-2601'!$E$74</f>
        <v>3127</v>
      </c>
      <c r="F7" s="330">
        <f>'ATC Att MM ER21-2601'!$E$75</f>
        <v>23408</v>
      </c>
      <c r="G7" s="330">
        <f>'ATC Att MM ER21-2601'!$E$76</f>
        <v>23372</v>
      </c>
      <c r="H7" s="330" t="str">
        <f>'ATC Att MM ER21-2601'!$E$77</f>
        <v/>
      </c>
      <c r="I7" s="330" t="str">
        <f>'ATC Att MM ER21-2601'!$E$78</f>
        <v/>
      </c>
      <c r="J7" s="330" t="str">
        <f>'ATC Att MM ER21-2601'!$E$79</f>
        <v/>
      </c>
      <c r="K7" s="330" t="str">
        <f>'ATC Att MM ER21-2601'!$E$80</f>
        <v/>
      </c>
      <c r="L7" s="330" t="str">
        <f>'ATC Att MM ER21-2601'!$E$81</f>
        <v/>
      </c>
      <c r="M7" s="330" t="str">
        <f>'ATC Att MM ER21-2601'!$E$83</f>
        <v/>
      </c>
      <c r="N7" s="330" t="str">
        <f>'ATC Att MM ER21-2601'!$E$84</f>
        <v/>
      </c>
      <c r="O7" s="330" t="str">
        <f>'ATC Att MM ER21-2601'!$E$85</f>
        <v/>
      </c>
    </row>
    <row r="8" spans="2:15">
      <c r="B8" s="329"/>
      <c r="C8" s="674" t="s">
        <v>582</v>
      </c>
      <c r="D8" s="211" t="s">
        <v>581</v>
      </c>
      <c r="E8" s="211" t="s">
        <v>581</v>
      </c>
      <c r="F8" s="211" t="s">
        <v>581</v>
      </c>
      <c r="G8" s="211" t="s">
        <v>581</v>
      </c>
      <c r="H8" s="211" t="s">
        <v>581</v>
      </c>
      <c r="I8" s="211" t="s">
        <v>581</v>
      </c>
      <c r="J8" s="211" t="s">
        <v>581</v>
      </c>
      <c r="K8" s="211" t="s">
        <v>581</v>
      </c>
      <c r="L8" s="211" t="s">
        <v>581</v>
      </c>
      <c r="M8" s="211" t="s">
        <v>581</v>
      </c>
      <c r="N8" s="211" t="s">
        <v>581</v>
      </c>
      <c r="O8" s="211" t="s">
        <v>581</v>
      </c>
    </row>
    <row r="9" spans="2:15" ht="15" customHeight="1">
      <c r="B9" s="329"/>
      <c r="C9" s="674" t="s">
        <v>580</v>
      </c>
      <c r="D9" s="328" t="s">
        <v>681</v>
      </c>
      <c r="E9" s="328" t="s">
        <v>681</v>
      </c>
      <c r="F9" s="328" t="s">
        <v>681</v>
      </c>
      <c r="G9" s="328" t="s">
        <v>681</v>
      </c>
      <c r="H9" s="328" t="s">
        <v>681</v>
      </c>
      <c r="I9" s="328" t="s">
        <v>681</v>
      </c>
      <c r="J9" s="328" t="s">
        <v>681</v>
      </c>
      <c r="K9" s="328" t="s">
        <v>681</v>
      </c>
      <c r="L9" s="328" t="s">
        <v>681</v>
      </c>
      <c r="M9" s="328" t="s">
        <v>681</v>
      </c>
      <c r="N9" s="328" t="s">
        <v>681</v>
      </c>
      <c r="O9" s="328" t="s">
        <v>681</v>
      </c>
    </row>
    <row r="10" spans="2:15">
      <c r="B10" s="210" t="s">
        <v>578</v>
      </c>
      <c r="C10" s="686">
        <v>45627</v>
      </c>
      <c r="D10" s="177">
        <f t="shared" ref="D10:O10" si="0">D73+D88</f>
        <v>33509843.039999999</v>
      </c>
      <c r="E10" s="178">
        <f t="shared" si="0"/>
        <v>549544969.30560005</v>
      </c>
      <c r="F10" s="179">
        <f t="shared" si="0"/>
        <v>672141.22000000009</v>
      </c>
      <c r="G10" s="176">
        <f t="shared" si="0"/>
        <v>1058856.1399999999</v>
      </c>
      <c r="H10" s="179">
        <f t="shared" si="0"/>
        <v>0</v>
      </c>
      <c r="I10" s="176">
        <f t="shared" si="0"/>
        <v>0</v>
      </c>
      <c r="J10" s="179">
        <f t="shared" si="0"/>
        <v>0</v>
      </c>
      <c r="K10" s="176">
        <f t="shared" si="0"/>
        <v>0</v>
      </c>
      <c r="L10" s="179">
        <f t="shared" si="0"/>
        <v>0</v>
      </c>
      <c r="M10" s="176">
        <f t="shared" si="0"/>
        <v>0</v>
      </c>
      <c r="N10" s="179">
        <f t="shared" si="0"/>
        <v>0</v>
      </c>
      <c r="O10" s="176">
        <f t="shared" si="0"/>
        <v>0</v>
      </c>
    </row>
    <row r="11" spans="2:15">
      <c r="B11" s="201" t="s">
        <v>577</v>
      </c>
      <c r="C11" s="681">
        <v>45658</v>
      </c>
      <c r="D11" s="171">
        <f t="shared" ref="D11:O22" si="1">D74+D89</f>
        <v>33509843.039999999</v>
      </c>
      <c r="E11" s="172">
        <f t="shared" si="1"/>
        <v>549736028.00979996</v>
      </c>
      <c r="F11" s="173">
        <f t="shared" si="1"/>
        <v>713428.78000000014</v>
      </c>
      <c r="G11" s="170">
        <f t="shared" si="1"/>
        <v>1058856.1399999999</v>
      </c>
      <c r="H11" s="173">
        <f t="shared" si="1"/>
        <v>0</v>
      </c>
      <c r="I11" s="170">
        <f t="shared" si="1"/>
        <v>0</v>
      </c>
      <c r="J11" s="173">
        <f t="shared" si="1"/>
        <v>0</v>
      </c>
      <c r="K11" s="170">
        <f t="shared" si="1"/>
        <v>0</v>
      </c>
      <c r="L11" s="173">
        <f t="shared" si="1"/>
        <v>0</v>
      </c>
      <c r="M11" s="170">
        <f t="shared" si="1"/>
        <v>0</v>
      </c>
      <c r="N11" s="173">
        <f t="shared" si="1"/>
        <v>0</v>
      </c>
      <c r="O11" s="170">
        <f t="shared" si="1"/>
        <v>0</v>
      </c>
    </row>
    <row r="12" spans="2:15">
      <c r="B12" s="201"/>
      <c r="C12" s="682">
        <v>45689</v>
      </c>
      <c r="D12" s="171">
        <f t="shared" si="1"/>
        <v>33509843.039999999</v>
      </c>
      <c r="E12" s="172">
        <f t="shared" si="1"/>
        <v>550664199.33570004</v>
      </c>
      <c r="F12" s="173">
        <f t="shared" si="1"/>
        <v>766216.12000000011</v>
      </c>
      <c r="G12" s="170">
        <f t="shared" si="1"/>
        <v>1058856.1399999999</v>
      </c>
      <c r="H12" s="173">
        <f t="shared" si="1"/>
        <v>0</v>
      </c>
      <c r="I12" s="170">
        <f t="shared" si="1"/>
        <v>0</v>
      </c>
      <c r="J12" s="173">
        <f t="shared" si="1"/>
        <v>0</v>
      </c>
      <c r="K12" s="170">
        <f t="shared" si="1"/>
        <v>0</v>
      </c>
      <c r="L12" s="173">
        <f t="shared" si="1"/>
        <v>0</v>
      </c>
      <c r="M12" s="170">
        <f t="shared" si="1"/>
        <v>0</v>
      </c>
      <c r="N12" s="173">
        <f t="shared" si="1"/>
        <v>0</v>
      </c>
      <c r="O12" s="170">
        <f t="shared" si="1"/>
        <v>0</v>
      </c>
    </row>
    <row r="13" spans="2:15">
      <c r="B13" s="201"/>
      <c r="C13" s="682">
        <v>45717</v>
      </c>
      <c r="D13" s="171">
        <f t="shared" si="1"/>
        <v>33509843.039999999</v>
      </c>
      <c r="E13" s="172">
        <f t="shared" si="1"/>
        <v>550796919.52329993</v>
      </c>
      <c r="F13" s="173">
        <f t="shared" si="1"/>
        <v>823453.25000000012</v>
      </c>
      <c r="G13" s="170">
        <f t="shared" si="1"/>
        <v>1058856.1399999999</v>
      </c>
      <c r="H13" s="173">
        <f t="shared" si="1"/>
        <v>0</v>
      </c>
      <c r="I13" s="170">
        <f t="shared" si="1"/>
        <v>0</v>
      </c>
      <c r="J13" s="173">
        <f t="shared" si="1"/>
        <v>0</v>
      </c>
      <c r="K13" s="170">
        <f t="shared" si="1"/>
        <v>0</v>
      </c>
      <c r="L13" s="173">
        <f t="shared" si="1"/>
        <v>0</v>
      </c>
      <c r="M13" s="170">
        <f t="shared" si="1"/>
        <v>0</v>
      </c>
      <c r="N13" s="173">
        <f t="shared" si="1"/>
        <v>0</v>
      </c>
      <c r="O13" s="170">
        <f t="shared" si="1"/>
        <v>0</v>
      </c>
    </row>
    <row r="14" spans="2:15">
      <c r="B14" s="201"/>
      <c r="C14" s="682">
        <v>45748</v>
      </c>
      <c r="D14" s="171">
        <f t="shared" si="1"/>
        <v>33509843.039999999</v>
      </c>
      <c r="E14" s="172">
        <f t="shared" si="1"/>
        <v>550929639.71089995</v>
      </c>
      <c r="F14" s="173">
        <f t="shared" si="1"/>
        <v>1638166.4500000002</v>
      </c>
      <c r="G14" s="170">
        <f t="shared" si="1"/>
        <v>1058856.1399999999</v>
      </c>
      <c r="H14" s="173">
        <f t="shared" si="1"/>
        <v>0</v>
      </c>
      <c r="I14" s="170">
        <f t="shared" si="1"/>
        <v>0</v>
      </c>
      <c r="J14" s="173">
        <f t="shared" si="1"/>
        <v>0</v>
      </c>
      <c r="K14" s="170">
        <f t="shared" si="1"/>
        <v>0</v>
      </c>
      <c r="L14" s="173">
        <f t="shared" si="1"/>
        <v>0</v>
      </c>
      <c r="M14" s="170">
        <f t="shared" si="1"/>
        <v>0</v>
      </c>
      <c r="N14" s="173">
        <f t="shared" si="1"/>
        <v>0</v>
      </c>
      <c r="O14" s="170">
        <f t="shared" si="1"/>
        <v>0</v>
      </c>
    </row>
    <row r="15" spans="2:15">
      <c r="B15" s="201"/>
      <c r="C15" s="682">
        <v>45778</v>
      </c>
      <c r="D15" s="171">
        <f t="shared" si="1"/>
        <v>33509843.039999999</v>
      </c>
      <c r="E15" s="172">
        <f t="shared" si="1"/>
        <v>551119793.22899997</v>
      </c>
      <c r="F15" s="173">
        <f t="shared" si="1"/>
        <v>1871199.9000000001</v>
      </c>
      <c r="G15" s="170">
        <f t="shared" si="1"/>
        <v>1058856.1399999999</v>
      </c>
      <c r="H15" s="173">
        <f t="shared" si="1"/>
        <v>0</v>
      </c>
      <c r="I15" s="170">
        <f t="shared" si="1"/>
        <v>0</v>
      </c>
      <c r="J15" s="173">
        <f t="shared" si="1"/>
        <v>0</v>
      </c>
      <c r="K15" s="170">
        <f t="shared" si="1"/>
        <v>0</v>
      </c>
      <c r="L15" s="173">
        <f t="shared" si="1"/>
        <v>0</v>
      </c>
      <c r="M15" s="170">
        <f t="shared" si="1"/>
        <v>0</v>
      </c>
      <c r="N15" s="173">
        <f t="shared" si="1"/>
        <v>0</v>
      </c>
      <c r="O15" s="170">
        <f t="shared" si="1"/>
        <v>0</v>
      </c>
    </row>
    <row r="16" spans="2:15">
      <c r="B16" s="201"/>
      <c r="C16" s="682">
        <v>45809</v>
      </c>
      <c r="D16" s="171">
        <f t="shared" si="1"/>
        <v>33509843.039999999</v>
      </c>
      <c r="E16" s="172">
        <f t="shared" si="1"/>
        <v>551307825.08209991</v>
      </c>
      <c r="F16" s="173">
        <f t="shared" si="1"/>
        <v>5192124.21</v>
      </c>
      <c r="G16" s="170">
        <f t="shared" si="1"/>
        <v>1058856.1399999999</v>
      </c>
      <c r="H16" s="173">
        <f t="shared" si="1"/>
        <v>0</v>
      </c>
      <c r="I16" s="170">
        <f t="shared" si="1"/>
        <v>0</v>
      </c>
      <c r="J16" s="173">
        <f t="shared" si="1"/>
        <v>0</v>
      </c>
      <c r="K16" s="170">
        <f t="shared" si="1"/>
        <v>0</v>
      </c>
      <c r="L16" s="173">
        <f t="shared" si="1"/>
        <v>0</v>
      </c>
      <c r="M16" s="170">
        <f t="shared" si="1"/>
        <v>0</v>
      </c>
      <c r="N16" s="173">
        <f t="shared" si="1"/>
        <v>0</v>
      </c>
      <c r="O16" s="170">
        <f t="shared" si="1"/>
        <v>0</v>
      </c>
    </row>
    <row r="17" spans="2:15">
      <c r="B17" s="201"/>
      <c r="C17" s="682">
        <v>45839</v>
      </c>
      <c r="D17" s="171">
        <f t="shared" si="1"/>
        <v>33509843.039999999</v>
      </c>
      <c r="E17" s="172">
        <f t="shared" si="1"/>
        <v>551440545.26969993</v>
      </c>
      <c r="F17" s="173">
        <f t="shared" si="1"/>
        <v>5545089.4800000004</v>
      </c>
      <c r="G17" s="170">
        <f t="shared" si="1"/>
        <v>1058856.1399999999</v>
      </c>
      <c r="H17" s="173">
        <f t="shared" si="1"/>
        <v>0</v>
      </c>
      <c r="I17" s="170">
        <f t="shared" si="1"/>
        <v>0</v>
      </c>
      <c r="J17" s="173">
        <f t="shared" si="1"/>
        <v>0</v>
      </c>
      <c r="K17" s="170">
        <f t="shared" si="1"/>
        <v>0</v>
      </c>
      <c r="L17" s="173">
        <f t="shared" si="1"/>
        <v>0</v>
      </c>
      <c r="M17" s="170">
        <f t="shared" si="1"/>
        <v>0</v>
      </c>
      <c r="N17" s="173">
        <f t="shared" si="1"/>
        <v>0</v>
      </c>
      <c r="O17" s="170">
        <f t="shared" si="1"/>
        <v>0</v>
      </c>
    </row>
    <row r="18" spans="2:15">
      <c r="B18" s="201"/>
      <c r="C18" s="682">
        <v>45870</v>
      </c>
      <c r="D18" s="171">
        <f t="shared" si="1"/>
        <v>33509843.039999999</v>
      </c>
      <c r="E18" s="172">
        <f t="shared" si="1"/>
        <v>551440545.26969993</v>
      </c>
      <c r="F18" s="173">
        <f t="shared" si="1"/>
        <v>6209948.2700000005</v>
      </c>
      <c r="G18" s="170">
        <f t="shared" si="1"/>
        <v>1058856.1399999999</v>
      </c>
      <c r="H18" s="173">
        <f t="shared" si="1"/>
        <v>0</v>
      </c>
      <c r="I18" s="170">
        <f t="shared" si="1"/>
        <v>0</v>
      </c>
      <c r="J18" s="173">
        <f t="shared" si="1"/>
        <v>0</v>
      </c>
      <c r="K18" s="170">
        <f t="shared" si="1"/>
        <v>0</v>
      </c>
      <c r="L18" s="173">
        <f t="shared" si="1"/>
        <v>0</v>
      </c>
      <c r="M18" s="170">
        <f t="shared" si="1"/>
        <v>0</v>
      </c>
      <c r="N18" s="173">
        <f t="shared" si="1"/>
        <v>0</v>
      </c>
      <c r="O18" s="170">
        <f t="shared" si="1"/>
        <v>0</v>
      </c>
    </row>
    <row r="19" spans="2:15">
      <c r="B19" s="201"/>
      <c r="C19" s="682">
        <v>45901</v>
      </c>
      <c r="D19" s="171">
        <f t="shared" si="1"/>
        <v>33509843.039999999</v>
      </c>
      <c r="E19" s="172">
        <f t="shared" si="1"/>
        <v>551602681.62590003</v>
      </c>
      <c r="F19" s="173">
        <f t="shared" si="1"/>
        <v>6284715.5000000009</v>
      </c>
      <c r="G19" s="170">
        <f t="shared" si="1"/>
        <v>1058856.1399999999</v>
      </c>
      <c r="H19" s="173">
        <f t="shared" si="1"/>
        <v>0</v>
      </c>
      <c r="I19" s="170">
        <f t="shared" si="1"/>
        <v>0</v>
      </c>
      <c r="J19" s="173">
        <f t="shared" si="1"/>
        <v>0</v>
      </c>
      <c r="K19" s="170">
        <f t="shared" si="1"/>
        <v>0</v>
      </c>
      <c r="L19" s="173">
        <f t="shared" si="1"/>
        <v>0</v>
      </c>
      <c r="M19" s="170">
        <f t="shared" si="1"/>
        <v>0</v>
      </c>
      <c r="N19" s="173">
        <f t="shared" si="1"/>
        <v>0</v>
      </c>
      <c r="O19" s="170">
        <f t="shared" si="1"/>
        <v>0</v>
      </c>
    </row>
    <row r="20" spans="2:15">
      <c r="B20" s="201"/>
      <c r="C20" s="682">
        <v>45931</v>
      </c>
      <c r="D20" s="171">
        <f t="shared" si="1"/>
        <v>33509843.039999999</v>
      </c>
      <c r="E20" s="172">
        <f t="shared" si="1"/>
        <v>551602681.62590003</v>
      </c>
      <c r="F20" s="173">
        <f t="shared" si="1"/>
        <v>6455274.9600000009</v>
      </c>
      <c r="G20" s="170">
        <f t="shared" si="1"/>
        <v>1058856.1399999999</v>
      </c>
      <c r="H20" s="173">
        <f t="shared" si="1"/>
        <v>0</v>
      </c>
      <c r="I20" s="170">
        <f t="shared" si="1"/>
        <v>0</v>
      </c>
      <c r="J20" s="173">
        <f t="shared" si="1"/>
        <v>0</v>
      </c>
      <c r="K20" s="170">
        <f t="shared" si="1"/>
        <v>0</v>
      </c>
      <c r="L20" s="173">
        <f t="shared" si="1"/>
        <v>0</v>
      </c>
      <c r="M20" s="170">
        <f t="shared" si="1"/>
        <v>0</v>
      </c>
      <c r="N20" s="173">
        <f t="shared" si="1"/>
        <v>0</v>
      </c>
      <c r="O20" s="170">
        <f t="shared" si="1"/>
        <v>0</v>
      </c>
    </row>
    <row r="21" spans="2:15">
      <c r="B21" s="201"/>
      <c r="C21" s="682">
        <v>45962</v>
      </c>
      <c r="D21" s="171">
        <f t="shared" si="1"/>
        <v>33509843.039999999</v>
      </c>
      <c r="E21" s="172">
        <f t="shared" si="1"/>
        <v>551602681.62590003</v>
      </c>
      <c r="F21" s="173">
        <f t="shared" si="1"/>
        <v>6557432.2400000012</v>
      </c>
      <c r="G21" s="170">
        <f t="shared" si="1"/>
        <v>1058856.1399999999</v>
      </c>
      <c r="H21" s="173">
        <f t="shared" si="1"/>
        <v>0</v>
      </c>
      <c r="I21" s="170">
        <f t="shared" si="1"/>
        <v>0</v>
      </c>
      <c r="J21" s="173">
        <f t="shared" si="1"/>
        <v>0</v>
      </c>
      <c r="K21" s="170">
        <f t="shared" si="1"/>
        <v>0</v>
      </c>
      <c r="L21" s="173">
        <f t="shared" si="1"/>
        <v>0</v>
      </c>
      <c r="M21" s="170">
        <f t="shared" si="1"/>
        <v>0</v>
      </c>
      <c r="N21" s="173">
        <f t="shared" si="1"/>
        <v>0</v>
      </c>
      <c r="O21" s="170">
        <f t="shared" si="1"/>
        <v>0</v>
      </c>
    </row>
    <row r="22" spans="2:15">
      <c r="B22" s="175"/>
      <c r="C22" s="713">
        <v>45992</v>
      </c>
      <c r="D22" s="200">
        <f t="shared" si="1"/>
        <v>33509843.039999999</v>
      </c>
      <c r="E22" s="199">
        <f t="shared" si="1"/>
        <v>551602681.62590003</v>
      </c>
      <c r="F22" s="209">
        <f t="shared" si="1"/>
        <v>6620914.9300000016</v>
      </c>
      <c r="G22" s="208">
        <f t="shared" si="1"/>
        <v>1058856.1399999999</v>
      </c>
      <c r="H22" s="209">
        <f t="shared" si="1"/>
        <v>0</v>
      </c>
      <c r="I22" s="208">
        <f t="shared" si="1"/>
        <v>0</v>
      </c>
      <c r="J22" s="209">
        <f t="shared" si="1"/>
        <v>0</v>
      </c>
      <c r="K22" s="208">
        <f t="shared" si="1"/>
        <v>0</v>
      </c>
      <c r="L22" s="209">
        <f t="shared" si="1"/>
        <v>0</v>
      </c>
      <c r="M22" s="208">
        <f t="shared" si="1"/>
        <v>0</v>
      </c>
      <c r="N22" s="209">
        <f t="shared" si="1"/>
        <v>0</v>
      </c>
      <c r="O22" s="208">
        <f t="shared" si="1"/>
        <v>0</v>
      </c>
    </row>
    <row r="23" spans="2:15">
      <c r="B23" s="186"/>
      <c r="C23" s="193" t="s">
        <v>572</v>
      </c>
      <c r="D23" s="195">
        <f t="shared" ref="D23:O23" si="2">AVERAGE(D10:D22)</f>
        <v>33509843.040000003</v>
      </c>
      <c r="E23" s="195">
        <f t="shared" si="2"/>
        <v>551030091.63380003</v>
      </c>
      <c r="F23" s="195">
        <f t="shared" si="2"/>
        <v>3796161.9469230771</v>
      </c>
      <c r="G23" s="195">
        <f t="shared" si="2"/>
        <v>1058856.1400000001</v>
      </c>
      <c r="H23" s="195">
        <f t="shared" si="2"/>
        <v>0</v>
      </c>
      <c r="I23" s="195">
        <f t="shared" si="2"/>
        <v>0</v>
      </c>
      <c r="J23" s="195">
        <f t="shared" si="2"/>
        <v>0</v>
      </c>
      <c r="K23" s="195">
        <f t="shared" si="2"/>
        <v>0</v>
      </c>
      <c r="L23" s="195">
        <f t="shared" si="2"/>
        <v>0</v>
      </c>
      <c r="M23" s="195">
        <f t="shared" si="2"/>
        <v>0</v>
      </c>
      <c r="N23" s="195">
        <f t="shared" si="2"/>
        <v>0</v>
      </c>
      <c r="O23" s="196">
        <f t="shared" si="2"/>
        <v>0</v>
      </c>
    </row>
    <row r="24" spans="2:15">
      <c r="B24" s="186"/>
      <c r="C24" s="193"/>
      <c r="D24" s="193"/>
      <c r="E24" s="193"/>
      <c r="F24" s="193"/>
      <c r="G24" s="193"/>
      <c r="H24" s="193"/>
      <c r="I24" s="193"/>
      <c r="J24" s="193"/>
      <c r="K24" s="193"/>
      <c r="L24" s="193"/>
      <c r="M24" s="193"/>
    </row>
    <row r="25" spans="2:15">
      <c r="B25" s="186"/>
      <c r="C25" s="193"/>
      <c r="D25" s="193"/>
      <c r="E25" s="193"/>
      <c r="F25" s="193"/>
      <c r="G25" s="193"/>
      <c r="H25" s="193"/>
      <c r="I25" s="193"/>
      <c r="J25" s="193"/>
      <c r="K25" s="193"/>
      <c r="L25" s="193"/>
      <c r="M25" s="193"/>
    </row>
    <row r="26" spans="2:15">
      <c r="B26" s="210" t="s">
        <v>576</v>
      </c>
      <c r="C26" s="686">
        <v>45627</v>
      </c>
      <c r="D26" s="177">
        <f t="shared" ref="D26:O38" si="3">+D10-D43</f>
        <v>7998838.8397679999</v>
      </c>
      <c r="E26" s="178">
        <f t="shared" si="3"/>
        <v>46838969.492143512</v>
      </c>
      <c r="F26" s="179">
        <f t="shared" si="3"/>
        <v>0</v>
      </c>
      <c r="G26" s="176">
        <f t="shared" si="3"/>
        <v>14029.843854999985</v>
      </c>
      <c r="H26" s="179">
        <f t="shared" si="3"/>
        <v>0</v>
      </c>
      <c r="I26" s="176">
        <f t="shared" si="3"/>
        <v>0</v>
      </c>
      <c r="J26" s="179">
        <f t="shared" si="3"/>
        <v>0</v>
      </c>
      <c r="K26" s="176">
        <f t="shared" si="3"/>
        <v>0</v>
      </c>
      <c r="L26" s="179">
        <f t="shared" si="3"/>
        <v>0</v>
      </c>
      <c r="M26" s="176">
        <f t="shared" si="3"/>
        <v>0</v>
      </c>
      <c r="N26" s="179">
        <f t="shared" si="3"/>
        <v>0</v>
      </c>
      <c r="O26" s="176">
        <f t="shared" si="3"/>
        <v>0</v>
      </c>
    </row>
    <row r="27" spans="2:15">
      <c r="B27" s="201" t="s">
        <v>575</v>
      </c>
      <c r="C27" s="681">
        <v>45658</v>
      </c>
      <c r="D27" s="171">
        <f t="shared" si="3"/>
        <v>8057201.816395998</v>
      </c>
      <c r="E27" s="172">
        <f t="shared" si="3"/>
        <v>47837149.646196485</v>
      </c>
      <c r="F27" s="173">
        <f t="shared" ref="F27:O27" si="4">+F11-F44</f>
        <v>0</v>
      </c>
      <c r="G27" s="170">
        <f t="shared" si="4"/>
        <v>16368.151164166629</v>
      </c>
      <c r="H27" s="173">
        <f t="shared" si="4"/>
        <v>0</v>
      </c>
      <c r="I27" s="170">
        <f t="shared" si="4"/>
        <v>0</v>
      </c>
      <c r="J27" s="173">
        <f t="shared" si="4"/>
        <v>0</v>
      </c>
      <c r="K27" s="170">
        <f t="shared" si="4"/>
        <v>0</v>
      </c>
      <c r="L27" s="173">
        <f t="shared" si="4"/>
        <v>0</v>
      </c>
      <c r="M27" s="170">
        <f t="shared" si="4"/>
        <v>0</v>
      </c>
      <c r="N27" s="173">
        <f t="shared" si="4"/>
        <v>0</v>
      </c>
      <c r="O27" s="170">
        <f t="shared" si="4"/>
        <v>0</v>
      </c>
    </row>
    <row r="28" spans="2:15">
      <c r="B28" s="201"/>
      <c r="C28" s="682">
        <v>45689</v>
      </c>
      <c r="D28" s="171">
        <f t="shared" si="3"/>
        <v>8115564.7930239998</v>
      </c>
      <c r="E28" s="172">
        <f t="shared" si="3"/>
        <v>48836899.956742644</v>
      </c>
      <c r="F28" s="173">
        <f t="shared" ref="F28:O28" si="5">+F12-F45</f>
        <v>0</v>
      </c>
      <c r="G28" s="170">
        <f t="shared" si="5"/>
        <v>18706.45847333339</v>
      </c>
      <c r="H28" s="173">
        <f t="shared" si="5"/>
        <v>0</v>
      </c>
      <c r="I28" s="170">
        <f t="shared" si="5"/>
        <v>0</v>
      </c>
      <c r="J28" s="173">
        <f t="shared" si="5"/>
        <v>0</v>
      </c>
      <c r="K28" s="170">
        <f t="shared" si="5"/>
        <v>0</v>
      </c>
      <c r="L28" s="173">
        <f t="shared" si="5"/>
        <v>0</v>
      </c>
      <c r="M28" s="170">
        <f t="shared" si="5"/>
        <v>0</v>
      </c>
      <c r="N28" s="173">
        <f t="shared" si="5"/>
        <v>0</v>
      </c>
      <c r="O28" s="170">
        <f t="shared" si="5"/>
        <v>0</v>
      </c>
    </row>
    <row r="29" spans="2:15">
      <c r="B29" s="201"/>
      <c r="C29" s="682">
        <v>45717</v>
      </c>
      <c r="D29" s="171">
        <f t="shared" si="3"/>
        <v>8173927.7696520016</v>
      </c>
      <c r="E29" s="172">
        <f t="shared" si="3"/>
        <v>49836874.785605907</v>
      </c>
      <c r="F29" s="173">
        <f t="shared" ref="F29:O29" si="6">+F13-F46</f>
        <v>0</v>
      </c>
      <c r="G29" s="170">
        <f t="shared" si="6"/>
        <v>21044.765782500035</v>
      </c>
      <c r="H29" s="173">
        <f t="shared" si="6"/>
        <v>0</v>
      </c>
      <c r="I29" s="170">
        <f t="shared" si="6"/>
        <v>0</v>
      </c>
      <c r="J29" s="173">
        <f t="shared" si="6"/>
        <v>0</v>
      </c>
      <c r="K29" s="170">
        <f t="shared" si="6"/>
        <v>0</v>
      </c>
      <c r="L29" s="173">
        <f t="shared" si="6"/>
        <v>0</v>
      </c>
      <c r="M29" s="170">
        <f t="shared" si="6"/>
        <v>0</v>
      </c>
      <c r="N29" s="173">
        <f t="shared" si="6"/>
        <v>0</v>
      </c>
      <c r="O29" s="170">
        <f t="shared" si="6"/>
        <v>0</v>
      </c>
    </row>
    <row r="30" spans="2:15">
      <c r="B30" s="201"/>
      <c r="C30" s="682">
        <v>45748</v>
      </c>
      <c r="D30" s="171">
        <f t="shared" si="3"/>
        <v>8232290.7462799996</v>
      </c>
      <c r="E30" s="172">
        <f t="shared" si="3"/>
        <v>50837074.132786751</v>
      </c>
      <c r="F30" s="173">
        <f t="shared" ref="F30:O30" si="7">+F14-F47</f>
        <v>0</v>
      </c>
      <c r="G30" s="170">
        <f t="shared" si="7"/>
        <v>23383.07309166668</v>
      </c>
      <c r="H30" s="173">
        <f t="shared" si="7"/>
        <v>0</v>
      </c>
      <c r="I30" s="170">
        <f t="shared" si="7"/>
        <v>0</v>
      </c>
      <c r="J30" s="173">
        <f t="shared" si="7"/>
        <v>0</v>
      </c>
      <c r="K30" s="170">
        <f t="shared" si="7"/>
        <v>0</v>
      </c>
      <c r="L30" s="173">
        <f t="shared" si="7"/>
        <v>0</v>
      </c>
      <c r="M30" s="170">
        <f t="shared" si="7"/>
        <v>0</v>
      </c>
      <c r="N30" s="173">
        <f t="shared" si="7"/>
        <v>0</v>
      </c>
      <c r="O30" s="170">
        <f t="shared" si="7"/>
        <v>0</v>
      </c>
    </row>
    <row r="31" spans="2:15">
      <c r="B31" s="201"/>
      <c r="C31" s="682">
        <v>45778</v>
      </c>
      <c r="D31" s="171">
        <f t="shared" si="3"/>
        <v>8290653.7229079977</v>
      </c>
      <c r="E31" s="172">
        <f t="shared" si="3"/>
        <v>51837595.156335711</v>
      </c>
      <c r="F31" s="173">
        <f t="shared" ref="F31:O31" si="8">+F15-F48</f>
        <v>0</v>
      </c>
      <c r="G31" s="170">
        <f t="shared" si="8"/>
        <v>25721.380400833325</v>
      </c>
      <c r="H31" s="173">
        <f t="shared" si="8"/>
        <v>0</v>
      </c>
      <c r="I31" s="170">
        <f t="shared" si="8"/>
        <v>0</v>
      </c>
      <c r="J31" s="173">
        <f t="shared" si="8"/>
        <v>0</v>
      </c>
      <c r="K31" s="170">
        <f t="shared" si="8"/>
        <v>0</v>
      </c>
      <c r="L31" s="173">
        <f t="shared" si="8"/>
        <v>0</v>
      </c>
      <c r="M31" s="170">
        <f t="shared" si="8"/>
        <v>0</v>
      </c>
      <c r="N31" s="173">
        <f t="shared" si="8"/>
        <v>0</v>
      </c>
      <c r="O31" s="170">
        <f t="shared" si="8"/>
        <v>0</v>
      </c>
    </row>
    <row r="32" spans="2:15">
      <c r="B32" s="201"/>
      <c r="C32" s="682">
        <v>45809</v>
      </c>
      <c r="D32" s="171">
        <f t="shared" si="3"/>
        <v>8349016.6995359994</v>
      </c>
      <c r="E32" s="172">
        <f t="shared" si="3"/>
        <v>52838434.267102718</v>
      </c>
      <c r="F32" s="173">
        <f t="shared" ref="F32:O32" si="9">+F16-F49</f>
        <v>2410.8333333330229</v>
      </c>
      <c r="G32" s="170">
        <f t="shared" si="9"/>
        <v>28059.687709999969</v>
      </c>
      <c r="H32" s="173">
        <f t="shared" si="9"/>
        <v>0</v>
      </c>
      <c r="I32" s="170">
        <f t="shared" si="9"/>
        <v>0</v>
      </c>
      <c r="J32" s="173">
        <f t="shared" si="9"/>
        <v>0</v>
      </c>
      <c r="K32" s="170">
        <f t="shared" si="9"/>
        <v>0</v>
      </c>
      <c r="L32" s="173">
        <f t="shared" si="9"/>
        <v>0</v>
      </c>
      <c r="M32" s="170">
        <f t="shared" si="9"/>
        <v>0</v>
      </c>
      <c r="N32" s="173">
        <f t="shared" si="9"/>
        <v>0</v>
      </c>
      <c r="O32" s="170">
        <f t="shared" si="9"/>
        <v>0</v>
      </c>
    </row>
    <row r="33" spans="2:15">
      <c r="B33" s="201"/>
      <c r="C33" s="682">
        <v>45839</v>
      </c>
      <c r="D33" s="171">
        <f t="shared" si="3"/>
        <v>8407379.6761640012</v>
      </c>
      <c r="E33" s="172">
        <f t="shared" si="3"/>
        <v>53839497.896187067</v>
      </c>
      <c r="F33" s="173">
        <f t="shared" ref="F33:O33" si="10">+F17-F50</f>
        <v>4821.6666666669771</v>
      </c>
      <c r="G33" s="170">
        <f t="shared" si="10"/>
        <v>30397.995019166614</v>
      </c>
      <c r="H33" s="173">
        <f t="shared" si="10"/>
        <v>0</v>
      </c>
      <c r="I33" s="170">
        <f t="shared" si="10"/>
        <v>0</v>
      </c>
      <c r="J33" s="173">
        <f t="shared" si="10"/>
        <v>0</v>
      </c>
      <c r="K33" s="170">
        <f t="shared" si="10"/>
        <v>0</v>
      </c>
      <c r="L33" s="173">
        <f t="shared" si="10"/>
        <v>0</v>
      </c>
      <c r="M33" s="170">
        <f t="shared" si="10"/>
        <v>0</v>
      </c>
      <c r="N33" s="173">
        <f t="shared" si="10"/>
        <v>0</v>
      </c>
      <c r="O33" s="170">
        <f t="shared" si="10"/>
        <v>0</v>
      </c>
    </row>
    <row r="34" spans="2:15">
      <c r="B34" s="201"/>
      <c r="C34" s="682">
        <v>45870</v>
      </c>
      <c r="D34" s="171">
        <f t="shared" si="3"/>
        <v>8465742.6527919993</v>
      </c>
      <c r="E34" s="172">
        <f t="shared" si="3"/>
        <v>54840561.525271535</v>
      </c>
      <c r="F34" s="173">
        <f t="shared" ref="F34:O34" si="11">+F18-F51</f>
        <v>7232.5</v>
      </c>
      <c r="G34" s="170">
        <f t="shared" si="11"/>
        <v>32736.302328333375</v>
      </c>
      <c r="H34" s="173">
        <f t="shared" si="11"/>
        <v>0</v>
      </c>
      <c r="I34" s="170">
        <f t="shared" si="11"/>
        <v>0</v>
      </c>
      <c r="J34" s="173">
        <f t="shared" si="11"/>
        <v>0</v>
      </c>
      <c r="K34" s="170">
        <f t="shared" si="11"/>
        <v>0</v>
      </c>
      <c r="L34" s="173">
        <f t="shared" si="11"/>
        <v>0</v>
      </c>
      <c r="M34" s="170">
        <f t="shared" si="11"/>
        <v>0</v>
      </c>
      <c r="N34" s="173">
        <f t="shared" si="11"/>
        <v>0</v>
      </c>
      <c r="O34" s="170">
        <f t="shared" si="11"/>
        <v>0</v>
      </c>
    </row>
    <row r="35" spans="2:15">
      <c r="B35" s="201"/>
      <c r="C35" s="682">
        <v>45901</v>
      </c>
      <c r="D35" s="171">
        <f t="shared" si="3"/>
        <v>8524105.6294199973</v>
      </c>
      <c r="E35" s="172">
        <f t="shared" si="3"/>
        <v>55841899.435025275</v>
      </c>
      <c r="F35" s="173">
        <f t="shared" ref="F35:O35" si="12">+F19-F52</f>
        <v>9643.3333333330229</v>
      </c>
      <c r="G35" s="170">
        <f t="shared" si="12"/>
        <v>35074.60963750002</v>
      </c>
      <c r="H35" s="173">
        <f t="shared" si="12"/>
        <v>0</v>
      </c>
      <c r="I35" s="170">
        <f t="shared" si="12"/>
        <v>0</v>
      </c>
      <c r="J35" s="173">
        <f t="shared" si="12"/>
        <v>0</v>
      </c>
      <c r="K35" s="170">
        <f t="shared" si="12"/>
        <v>0</v>
      </c>
      <c r="L35" s="173">
        <f t="shared" si="12"/>
        <v>0</v>
      </c>
      <c r="M35" s="170">
        <f t="shared" si="12"/>
        <v>0</v>
      </c>
      <c r="N35" s="173">
        <f t="shared" si="12"/>
        <v>0</v>
      </c>
      <c r="O35" s="170">
        <f t="shared" si="12"/>
        <v>0</v>
      </c>
    </row>
    <row r="36" spans="2:15">
      <c r="B36" s="201"/>
      <c r="C36" s="682">
        <v>45931</v>
      </c>
      <c r="D36" s="171">
        <f t="shared" si="3"/>
        <v>8582468.6060479991</v>
      </c>
      <c r="E36" s="172">
        <f t="shared" si="3"/>
        <v>56843237.344778895</v>
      </c>
      <c r="F36" s="173">
        <f t="shared" ref="F36:O36" si="13">+F20-F53</f>
        <v>12054.166666666977</v>
      </c>
      <c r="G36" s="170">
        <f t="shared" si="13"/>
        <v>37412.916946666664</v>
      </c>
      <c r="H36" s="173">
        <f t="shared" si="13"/>
        <v>0</v>
      </c>
      <c r="I36" s="170">
        <f t="shared" si="13"/>
        <v>0</v>
      </c>
      <c r="J36" s="173">
        <f t="shared" si="13"/>
        <v>0</v>
      </c>
      <c r="K36" s="170">
        <f t="shared" si="13"/>
        <v>0</v>
      </c>
      <c r="L36" s="173">
        <f t="shared" si="13"/>
        <v>0</v>
      </c>
      <c r="M36" s="170">
        <f t="shared" si="13"/>
        <v>0</v>
      </c>
      <c r="N36" s="173">
        <f t="shared" si="13"/>
        <v>0</v>
      </c>
      <c r="O36" s="170">
        <f t="shared" si="13"/>
        <v>0</v>
      </c>
    </row>
    <row r="37" spans="2:15">
      <c r="B37" s="201"/>
      <c r="C37" s="682">
        <v>45962</v>
      </c>
      <c r="D37" s="171">
        <f t="shared" si="3"/>
        <v>8640831.5826760009</v>
      </c>
      <c r="E37" s="172">
        <f t="shared" si="3"/>
        <v>57844575.254532516</v>
      </c>
      <c r="F37" s="173">
        <f t="shared" ref="F37:O37" si="14">+F21-F54</f>
        <v>14465</v>
      </c>
      <c r="G37" s="170">
        <f t="shared" si="14"/>
        <v>39751.224255833309</v>
      </c>
      <c r="H37" s="173">
        <f t="shared" si="14"/>
        <v>0</v>
      </c>
      <c r="I37" s="170">
        <f t="shared" si="14"/>
        <v>0</v>
      </c>
      <c r="J37" s="173">
        <f t="shared" si="14"/>
        <v>0</v>
      </c>
      <c r="K37" s="170">
        <f t="shared" si="14"/>
        <v>0</v>
      </c>
      <c r="L37" s="173">
        <f t="shared" si="14"/>
        <v>0</v>
      </c>
      <c r="M37" s="170">
        <f t="shared" si="14"/>
        <v>0</v>
      </c>
      <c r="N37" s="173">
        <f t="shared" si="14"/>
        <v>0</v>
      </c>
      <c r="O37" s="170">
        <f t="shared" si="14"/>
        <v>0</v>
      </c>
    </row>
    <row r="38" spans="2:15">
      <c r="B38" s="175"/>
      <c r="C38" s="713">
        <v>45992</v>
      </c>
      <c r="D38" s="200">
        <f t="shared" si="3"/>
        <v>8699194.5593039989</v>
      </c>
      <c r="E38" s="199">
        <f t="shared" si="3"/>
        <v>58845913.164286196</v>
      </c>
      <c r="F38" s="209">
        <f t="shared" ref="F38:O38" si="15">+F22-F55</f>
        <v>28975.838554915972</v>
      </c>
      <c r="G38" s="208">
        <f t="shared" si="15"/>
        <v>42089.531564999954</v>
      </c>
      <c r="H38" s="209">
        <f t="shared" si="15"/>
        <v>0</v>
      </c>
      <c r="I38" s="208">
        <f t="shared" si="15"/>
        <v>0</v>
      </c>
      <c r="J38" s="209">
        <f t="shared" si="15"/>
        <v>0</v>
      </c>
      <c r="K38" s="208">
        <f t="shared" si="15"/>
        <v>0</v>
      </c>
      <c r="L38" s="209">
        <f t="shared" si="15"/>
        <v>0</v>
      </c>
      <c r="M38" s="208">
        <f t="shared" si="15"/>
        <v>0</v>
      </c>
      <c r="N38" s="209">
        <f t="shared" si="15"/>
        <v>0</v>
      </c>
      <c r="O38" s="208">
        <f t="shared" si="15"/>
        <v>0</v>
      </c>
    </row>
    <row r="39" spans="2:15">
      <c r="B39" s="186"/>
      <c r="C39" s="197" t="s">
        <v>572</v>
      </c>
      <c r="D39" s="195">
        <f t="shared" ref="D39:O39" si="16">AVERAGE(D26:D38)</f>
        <v>8349016.6995360004</v>
      </c>
      <c r="E39" s="195">
        <f t="shared" si="16"/>
        <v>52839898.619768858</v>
      </c>
      <c r="F39" s="195">
        <f t="shared" si="16"/>
        <v>6123.3337349935364</v>
      </c>
      <c r="G39" s="195">
        <f t="shared" si="16"/>
        <v>28059.687709999995</v>
      </c>
      <c r="H39" s="195">
        <f t="shared" si="16"/>
        <v>0</v>
      </c>
      <c r="I39" s="195">
        <f t="shared" si="16"/>
        <v>0</v>
      </c>
      <c r="J39" s="195">
        <f t="shared" si="16"/>
        <v>0</v>
      </c>
      <c r="K39" s="195">
        <f t="shared" si="16"/>
        <v>0</v>
      </c>
      <c r="L39" s="195">
        <f t="shared" si="16"/>
        <v>0</v>
      </c>
      <c r="M39" s="195">
        <f t="shared" si="16"/>
        <v>0</v>
      </c>
      <c r="N39" s="195">
        <f t="shared" si="16"/>
        <v>0</v>
      </c>
      <c r="O39" s="196">
        <f t="shared" si="16"/>
        <v>0</v>
      </c>
    </row>
    <row r="40" spans="2:15">
      <c r="B40" s="194"/>
      <c r="C40" s="193"/>
      <c r="D40" s="320"/>
      <c r="E40" s="320"/>
      <c r="F40" s="320"/>
      <c r="G40" s="320"/>
      <c r="H40" s="320"/>
      <c r="I40" s="327"/>
      <c r="J40" s="327"/>
      <c r="K40" s="327"/>
      <c r="L40" s="320"/>
    </row>
    <row r="41" spans="2:15">
      <c r="B41" s="186"/>
      <c r="C41" s="192"/>
      <c r="D41" s="326"/>
      <c r="E41" s="326"/>
      <c r="F41" s="326"/>
      <c r="G41" s="326"/>
      <c r="H41" s="326"/>
      <c r="I41" s="326"/>
      <c r="J41" s="326"/>
      <c r="K41" s="326"/>
      <c r="L41" s="325"/>
    </row>
    <row r="42" spans="2:15">
      <c r="B42" s="205"/>
      <c r="C42" s="324"/>
      <c r="D42" s="323"/>
      <c r="E42" s="322"/>
      <c r="F42" s="322"/>
      <c r="G42" s="322"/>
      <c r="H42" s="322"/>
      <c r="I42" s="322"/>
      <c r="J42" s="322"/>
      <c r="K42" s="322"/>
      <c r="L42" s="321"/>
      <c r="M42" s="318"/>
      <c r="N42" s="318"/>
      <c r="O42" s="318"/>
    </row>
    <row r="43" spans="2:15">
      <c r="B43" s="201" t="s">
        <v>574</v>
      </c>
      <c r="C43" s="686">
        <v>45627</v>
      </c>
      <c r="D43" s="177">
        <f>D73+D103</f>
        <v>25511004.200231999</v>
      </c>
      <c r="E43" s="178">
        <f>E73+E103</f>
        <v>502705999.81345654</v>
      </c>
      <c r="F43" s="179">
        <f t="shared" ref="F43:O43" si="17">F73+F103</f>
        <v>672141.22000000009</v>
      </c>
      <c r="G43" s="176">
        <f t="shared" si="17"/>
        <v>1044826.2961449999</v>
      </c>
      <c r="H43" s="179">
        <f t="shared" si="17"/>
        <v>0</v>
      </c>
      <c r="I43" s="176">
        <f t="shared" si="17"/>
        <v>0</v>
      </c>
      <c r="J43" s="179">
        <f t="shared" si="17"/>
        <v>0</v>
      </c>
      <c r="K43" s="176">
        <f t="shared" si="17"/>
        <v>0</v>
      </c>
      <c r="L43" s="179">
        <f t="shared" si="17"/>
        <v>0</v>
      </c>
      <c r="M43" s="176">
        <f t="shared" si="17"/>
        <v>0</v>
      </c>
      <c r="N43" s="179">
        <f t="shared" si="17"/>
        <v>0</v>
      </c>
      <c r="O43" s="176">
        <f t="shared" si="17"/>
        <v>0</v>
      </c>
    </row>
    <row r="44" spans="2:15">
      <c r="B44" s="201" t="s">
        <v>680</v>
      </c>
      <c r="C44" s="681">
        <v>45658</v>
      </c>
      <c r="D44" s="171">
        <f t="shared" ref="D44:O55" si="18">D74+D104</f>
        <v>25452641.223604001</v>
      </c>
      <c r="E44" s="172">
        <f t="shared" si="18"/>
        <v>501898878.36360347</v>
      </c>
      <c r="F44" s="173">
        <f t="shared" si="18"/>
        <v>713428.78000000014</v>
      </c>
      <c r="G44" s="170">
        <f t="shared" si="18"/>
        <v>1042487.9888358333</v>
      </c>
      <c r="H44" s="173">
        <f t="shared" si="18"/>
        <v>0</v>
      </c>
      <c r="I44" s="170">
        <f t="shared" si="18"/>
        <v>0</v>
      </c>
      <c r="J44" s="173">
        <f t="shared" si="18"/>
        <v>0</v>
      </c>
      <c r="K44" s="170">
        <f t="shared" si="18"/>
        <v>0</v>
      </c>
      <c r="L44" s="173">
        <f t="shared" si="18"/>
        <v>0</v>
      </c>
      <c r="M44" s="170">
        <f t="shared" si="18"/>
        <v>0</v>
      </c>
      <c r="N44" s="173">
        <f t="shared" si="18"/>
        <v>0</v>
      </c>
      <c r="O44" s="170">
        <f t="shared" si="18"/>
        <v>0</v>
      </c>
    </row>
    <row r="45" spans="2:15">
      <c r="B45" s="201"/>
      <c r="C45" s="682">
        <v>45689</v>
      </c>
      <c r="D45" s="171">
        <f t="shared" si="18"/>
        <v>25394278.246975999</v>
      </c>
      <c r="E45" s="172">
        <f t="shared" si="18"/>
        <v>501827299.37895739</v>
      </c>
      <c r="F45" s="173">
        <f t="shared" si="18"/>
        <v>766216.12000000011</v>
      </c>
      <c r="G45" s="170">
        <f t="shared" si="18"/>
        <v>1040149.6815266665</v>
      </c>
      <c r="H45" s="173">
        <f t="shared" si="18"/>
        <v>0</v>
      </c>
      <c r="I45" s="170">
        <f t="shared" si="18"/>
        <v>0</v>
      </c>
      <c r="J45" s="173">
        <f t="shared" si="18"/>
        <v>0</v>
      </c>
      <c r="K45" s="170">
        <f t="shared" si="18"/>
        <v>0</v>
      </c>
      <c r="L45" s="173">
        <f t="shared" si="18"/>
        <v>0</v>
      </c>
      <c r="M45" s="170">
        <f t="shared" si="18"/>
        <v>0</v>
      </c>
      <c r="N45" s="173">
        <f t="shared" si="18"/>
        <v>0</v>
      </c>
      <c r="O45" s="170">
        <f t="shared" si="18"/>
        <v>0</v>
      </c>
    </row>
    <row r="46" spans="2:15">
      <c r="B46" s="201"/>
      <c r="C46" s="682">
        <v>45717</v>
      </c>
      <c r="D46" s="171">
        <f t="shared" si="18"/>
        <v>25335915.270347998</v>
      </c>
      <c r="E46" s="172">
        <f t="shared" si="18"/>
        <v>500960044.73769403</v>
      </c>
      <c r="F46" s="173">
        <f t="shared" si="18"/>
        <v>823453.25000000012</v>
      </c>
      <c r="G46" s="170">
        <f t="shared" si="18"/>
        <v>1037811.3742174999</v>
      </c>
      <c r="H46" s="173">
        <f t="shared" si="18"/>
        <v>0</v>
      </c>
      <c r="I46" s="170">
        <f t="shared" si="18"/>
        <v>0</v>
      </c>
      <c r="J46" s="173">
        <f t="shared" si="18"/>
        <v>0</v>
      </c>
      <c r="K46" s="170">
        <f t="shared" si="18"/>
        <v>0</v>
      </c>
      <c r="L46" s="173">
        <f t="shared" si="18"/>
        <v>0</v>
      </c>
      <c r="M46" s="170">
        <f t="shared" si="18"/>
        <v>0</v>
      </c>
      <c r="N46" s="173">
        <f t="shared" si="18"/>
        <v>0</v>
      </c>
      <c r="O46" s="170">
        <f t="shared" si="18"/>
        <v>0</v>
      </c>
    </row>
    <row r="47" spans="2:15">
      <c r="B47" s="201"/>
      <c r="C47" s="682">
        <v>45748</v>
      </c>
      <c r="D47" s="171">
        <f t="shared" si="18"/>
        <v>25277552.293719999</v>
      </c>
      <c r="E47" s="172">
        <f t="shared" si="18"/>
        <v>500092565.5781132</v>
      </c>
      <c r="F47" s="173">
        <f t="shared" si="18"/>
        <v>1638166.4500000002</v>
      </c>
      <c r="G47" s="170">
        <f t="shared" si="18"/>
        <v>1035473.0669083332</v>
      </c>
      <c r="H47" s="173">
        <f t="shared" si="18"/>
        <v>0</v>
      </c>
      <c r="I47" s="170">
        <f t="shared" si="18"/>
        <v>0</v>
      </c>
      <c r="J47" s="173">
        <f t="shared" si="18"/>
        <v>0</v>
      </c>
      <c r="K47" s="170">
        <f t="shared" si="18"/>
        <v>0</v>
      </c>
      <c r="L47" s="173">
        <f t="shared" si="18"/>
        <v>0</v>
      </c>
      <c r="M47" s="170">
        <f t="shared" si="18"/>
        <v>0</v>
      </c>
      <c r="N47" s="173">
        <f t="shared" si="18"/>
        <v>0</v>
      </c>
      <c r="O47" s="170">
        <f t="shared" si="18"/>
        <v>0</v>
      </c>
    </row>
    <row r="48" spans="2:15">
      <c r="B48" s="201"/>
      <c r="C48" s="682">
        <v>45778</v>
      </c>
      <c r="D48" s="171">
        <f t="shared" si="18"/>
        <v>25219189.317092001</v>
      </c>
      <c r="E48" s="172">
        <f t="shared" si="18"/>
        <v>499282198.07266426</v>
      </c>
      <c r="F48" s="173">
        <f t="shared" si="18"/>
        <v>1871199.9000000001</v>
      </c>
      <c r="G48" s="170">
        <f t="shared" si="18"/>
        <v>1033134.7595991666</v>
      </c>
      <c r="H48" s="173">
        <f t="shared" si="18"/>
        <v>0</v>
      </c>
      <c r="I48" s="170">
        <f t="shared" si="18"/>
        <v>0</v>
      </c>
      <c r="J48" s="173">
        <f t="shared" si="18"/>
        <v>0</v>
      </c>
      <c r="K48" s="170">
        <f t="shared" si="18"/>
        <v>0</v>
      </c>
      <c r="L48" s="173">
        <f t="shared" si="18"/>
        <v>0</v>
      </c>
      <c r="M48" s="170">
        <f t="shared" si="18"/>
        <v>0</v>
      </c>
      <c r="N48" s="173">
        <f t="shared" si="18"/>
        <v>0</v>
      </c>
      <c r="O48" s="170">
        <f t="shared" si="18"/>
        <v>0</v>
      </c>
    </row>
    <row r="49" spans="2:15">
      <c r="B49" s="201"/>
      <c r="C49" s="682">
        <v>45809</v>
      </c>
      <c r="D49" s="171">
        <f t="shared" si="18"/>
        <v>25160826.340464</v>
      </c>
      <c r="E49" s="172">
        <f t="shared" si="18"/>
        <v>498469390.8149972</v>
      </c>
      <c r="F49" s="173">
        <f t="shared" si="18"/>
        <v>5189713.3766666669</v>
      </c>
      <c r="G49" s="170">
        <f t="shared" si="18"/>
        <v>1030796.4522899999</v>
      </c>
      <c r="H49" s="173">
        <f t="shared" si="18"/>
        <v>0</v>
      </c>
      <c r="I49" s="170">
        <f t="shared" si="18"/>
        <v>0</v>
      </c>
      <c r="J49" s="173">
        <f t="shared" si="18"/>
        <v>0</v>
      </c>
      <c r="K49" s="170">
        <f t="shared" si="18"/>
        <v>0</v>
      </c>
      <c r="L49" s="173">
        <f t="shared" si="18"/>
        <v>0</v>
      </c>
      <c r="M49" s="170">
        <f t="shared" si="18"/>
        <v>0</v>
      </c>
      <c r="N49" s="173">
        <f t="shared" si="18"/>
        <v>0</v>
      </c>
      <c r="O49" s="170">
        <f t="shared" si="18"/>
        <v>0</v>
      </c>
    </row>
    <row r="50" spans="2:15">
      <c r="B50" s="201"/>
      <c r="C50" s="682">
        <v>45839</v>
      </c>
      <c r="D50" s="171">
        <f t="shared" si="18"/>
        <v>25102463.363835998</v>
      </c>
      <c r="E50" s="172">
        <f t="shared" si="18"/>
        <v>497601047.37351286</v>
      </c>
      <c r="F50" s="173">
        <f t="shared" si="18"/>
        <v>5540267.8133333335</v>
      </c>
      <c r="G50" s="170">
        <f t="shared" si="18"/>
        <v>1028458.1449808333</v>
      </c>
      <c r="H50" s="173">
        <f t="shared" si="18"/>
        <v>0</v>
      </c>
      <c r="I50" s="170">
        <f t="shared" si="18"/>
        <v>0</v>
      </c>
      <c r="J50" s="173">
        <f t="shared" si="18"/>
        <v>0</v>
      </c>
      <c r="K50" s="170">
        <f t="shared" si="18"/>
        <v>0</v>
      </c>
      <c r="L50" s="173">
        <f t="shared" si="18"/>
        <v>0</v>
      </c>
      <c r="M50" s="170">
        <f t="shared" si="18"/>
        <v>0</v>
      </c>
      <c r="N50" s="173">
        <f t="shared" si="18"/>
        <v>0</v>
      </c>
      <c r="O50" s="170">
        <f t="shared" si="18"/>
        <v>0</v>
      </c>
    </row>
    <row r="51" spans="2:15">
      <c r="B51" s="201"/>
      <c r="C51" s="682">
        <v>45870</v>
      </c>
      <c r="D51" s="171">
        <f t="shared" si="18"/>
        <v>25044100.387208</v>
      </c>
      <c r="E51" s="172">
        <f t="shared" si="18"/>
        <v>496599983.7444284</v>
      </c>
      <c r="F51" s="173">
        <f t="shared" si="18"/>
        <v>6202715.7700000005</v>
      </c>
      <c r="G51" s="170">
        <f t="shared" si="18"/>
        <v>1026119.8376716665</v>
      </c>
      <c r="H51" s="173">
        <f t="shared" si="18"/>
        <v>0</v>
      </c>
      <c r="I51" s="170">
        <f t="shared" si="18"/>
        <v>0</v>
      </c>
      <c r="J51" s="173">
        <f t="shared" si="18"/>
        <v>0</v>
      </c>
      <c r="K51" s="170">
        <f t="shared" si="18"/>
        <v>0</v>
      </c>
      <c r="L51" s="173">
        <f t="shared" si="18"/>
        <v>0</v>
      </c>
      <c r="M51" s="170">
        <f t="shared" si="18"/>
        <v>0</v>
      </c>
      <c r="N51" s="173">
        <f t="shared" si="18"/>
        <v>0</v>
      </c>
      <c r="O51" s="170">
        <f t="shared" si="18"/>
        <v>0</v>
      </c>
    </row>
    <row r="52" spans="2:15">
      <c r="B52" s="201"/>
      <c r="C52" s="682">
        <v>45901</v>
      </c>
      <c r="D52" s="171">
        <f t="shared" si="18"/>
        <v>24985737.410580002</v>
      </c>
      <c r="E52" s="172">
        <f t="shared" si="18"/>
        <v>495760782.19087476</v>
      </c>
      <c r="F52" s="173">
        <f t="shared" si="18"/>
        <v>6275072.1666666679</v>
      </c>
      <c r="G52" s="170">
        <f t="shared" si="18"/>
        <v>1023781.5303624999</v>
      </c>
      <c r="H52" s="173">
        <f t="shared" si="18"/>
        <v>0</v>
      </c>
      <c r="I52" s="170">
        <f t="shared" si="18"/>
        <v>0</v>
      </c>
      <c r="J52" s="173">
        <f t="shared" si="18"/>
        <v>0</v>
      </c>
      <c r="K52" s="170">
        <f t="shared" si="18"/>
        <v>0</v>
      </c>
      <c r="L52" s="173">
        <f t="shared" si="18"/>
        <v>0</v>
      </c>
      <c r="M52" s="170">
        <f t="shared" si="18"/>
        <v>0</v>
      </c>
      <c r="N52" s="173">
        <f t="shared" si="18"/>
        <v>0</v>
      </c>
      <c r="O52" s="170">
        <f t="shared" si="18"/>
        <v>0</v>
      </c>
    </row>
    <row r="53" spans="2:15">
      <c r="B53" s="201"/>
      <c r="C53" s="682">
        <v>45931</v>
      </c>
      <c r="D53" s="171">
        <f t="shared" si="18"/>
        <v>24927374.433952</v>
      </c>
      <c r="E53" s="172">
        <f t="shared" si="18"/>
        <v>494759444.28112113</v>
      </c>
      <c r="F53" s="173">
        <f t="shared" si="18"/>
        <v>6443220.7933333339</v>
      </c>
      <c r="G53" s="170">
        <f t="shared" si="18"/>
        <v>1021443.2230533332</v>
      </c>
      <c r="H53" s="173">
        <f t="shared" si="18"/>
        <v>0</v>
      </c>
      <c r="I53" s="170">
        <f t="shared" si="18"/>
        <v>0</v>
      </c>
      <c r="J53" s="173">
        <f t="shared" si="18"/>
        <v>0</v>
      </c>
      <c r="K53" s="170">
        <f t="shared" si="18"/>
        <v>0</v>
      </c>
      <c r="L53" s="173">
        <f t="shared" si="18"/>
        <v>0</v>
      </c>
      <c r="M53" s="170">
        <f t="shared" si="18"/>
        <v>0</v>
      </c>
      <c r="N53" s="173">
        <f t="shared" si="18"/>
        <v>0</v>
      </c>
      <c r="O53" s="170">
        <f t="shared" si="18"/>
        <v>0</v>
      </c>
    </row>
    <row r="54" spans="2:15">
      <c r="B54" s="201"/>
      <c r="C54" s="682">
        <v>45962</v>
      </c>
      <c r="D54" s="171">
        <f t="shared" si="18"/>
        <v>24869011.457323998</v>
      </c>
      <c r="E54" s="172">
        <f t="shared" si="18"/>
        <v>493758106.37136751</v>
      </c>
      <c r="F54" s="173">
        <f t="shared" si="18"/>
        <v>6542967.2400000012</v>
      </c>
      <c r="G54" s="170">
        <f t="shared" si="18"/>
        <v>1019104.9157441666</v>
      </c>
      <c r="H54" s="173">
        <f t="shared" si="18"/>
        <v>0</v>
      </c>
      <c r="I54" s="170">
        <f t="shared" si="18"/>
        <v>0</v>
      </c>
      <c r="J54" s="173">
        <f t="shared" si="18"/>
        <v>0</v>
      </c>
      <c r="K54" s="170">
        <f t="shared" si="18"/>
        <v>0</v>
      </c>
      <c r="L54" s="173">
        <f t="shared" si="18"/>
        <v>0</v>
      </c>
      <c r="M54" s="170">
        <f t="shared" si="18"/>
        <v>0</v>
      </c>
      <c r="N54" s="173">
        <f t="shared" si="18"/>
        <v>0</v>
      </c>
      <c r="O54" s="170">
        <f t="shared" si="18"/>
        <v>0</v>
      </c>
    </row>
    <row r="55" spans="2:15">
      <c r="B55" s="201"/>
      <c r="C55" s="713">
        <v>45992</v>
      </c>
      <c r="D55" s="200">
        <f t="shared" si="18"/>
        <v>24810648.480696</v>
      </c>
      <c r="E55" s="199">
        <f t="shared" si="18"/>
        <v>492756768.46161383</v>
      </c>
      <c r="F55" s="209">
        <f t="shared" si="18"/>
        <v>6591939.0914450856</v>
      </c>
      <c r="G55" s="208">
        <f t="shared" ref="G55:O55" si="19">G85+G115</f>
        <v>1016766.6084349999</v>
      </c>
      <c r="H55" s="209">
        <f t="shared" si="19"/>
        <v>0</v>
      </c>
      <c r="I55" s="208">
        <f t="shared" si="19"/>
        <v>0</v>
      </c>
      <c r="J55" s="209">
        <f t="shared" si="19"/>
        <v>0</v>
      </c>
      <c r="K55" s="208">
        <f t="shared" si="19"/>
        <v>0</v>
      </c>
      <c r="L55" s="209">
        <f t="shared" si="19"/>
        <v>0</v>
      </c>
      <c r="M55" s="208">
        <f t="shared" si="19"/>
        <v>0</v>
      </c>
      <c r="N55" s="209">
        <f t="shared" si="19"/>
        <v>0</v>
      </c>
      <c r="O55" s="208">
        <f t="shared" si="19"/>
        <v>0</v>
      </c>
    </row>
    <row r="56" spans="2:15">
      <c r="B56" s="198"/>
      <c r="C56" s="197" t="s">
        <v>572</v>
      </c>
      <c r="D56" s="195">
        <f t="shared" ref="D56:O56" si="20">AVERAGE(D43:D55)</f>
        <v>25160826.340464</v>
      </c>
      <c r="E56" s="195">
        <f t="shared" si="20"/>
        <v>498190193.01403111</v>
      </c>
      <c r="F56" s="195">
        <f t="shared" si="20"/>
        <v>3790038.6131880837</v>
      </c>
      <c r="G56" s="195">
        <f t="shared" si="20"/>
        <v>1030796.4522899998</v>
      </c>
      <c r="H56" s="195">
        <f t="shared" si="20"/>
        <v>0</v>
      </c>
      <c r="I56" s="195">
        <f t="shared" si="20"/>
        <v>0</v>
      </c>
      <c r="J56" s="195">
        <f t="shared" si="20"/>
        <v>0</v>
      </c>
      <c r="K56" s="195">
        <f t="shared" si="20"/>
        <v>0</v>
      </c>
      <c r="L56" s="195">
        <f t="shared" si="20"/>
        <v>0</v>
      </c>
      <c r="M56" s="195">
        <f t="shared" si="20"/>
        <v>0</v>
      </c>
      <c r="N56" s="195">
        <f t="shared" si="20"/>
        <v>0</v>
      </c>
      <c r="O56" s="196">
        <f t="shared" si="20"/>
        <v>0</v>
      </c>
    </row>
    <row r="57" spans="2:15">
      <c r="B57" s="186"/>
      <c r="C57" s="192"/>
      <c r="D57" s="191"/>
      <c r="E57" s="191"/>
      <c r="F57" s="191"/>
      <c r="G57" s="191"/>
      <c r="H57" s="191"/>
      <c r="I57" s="187"/>
      <c r="J57" s="187"/>
      <c r="K57" s="187"/>
      <c r="L57" s="320"/>
    </row>
    <row r="58" spans="2:15">
      <c r="B58" s="186"/>
      <c r="C58" s="185"/>
      <c r="D58" s="182"/>
      <c r="E58" s="182"/>
      <c r="F58" s="182"/>
      <c r="G58" s="182"/>
      <c r="H58" s="182"/>
      <c r="I58" s="182"/>
      <c r="J58" s="182"/>
      <c r="K58" s="182"/>
      <c r="L58" s="319"/>
      <c r="M58" s="318"/>
      <c r="N58" s="318"/>
      <c r="O58" s="318"/>
    </row>
    <row r="59" spans="2:15">
      <c r="B59" s="181" t="s">
        <v>571</v>
      </c>
      <c r="C59" s="180" t="s">
        <v>500</v>
      </c>
      <c r="D59" s="177">
        <v>700355.71953600005</v>
      </c>
      <c r="E59" s="178">
        <v>12006943.672142677</v>
      </c>
      <c r="F59" s="177">
        <v>28975.838554916674</v>
      </c>
      <c r="G59" s="178">
        <v>28059.687709999998</v>
      </c>
      <c r="H59" s="177">
        <v>0</v>
      </c>
      <c r="I59" s="178">
        <v>0</v>
      </c>
      <c r="J59" s="177">
        <v>0</v>
      </c>
      <c r="K59" s="178">
        <v>0</v>
      </c>
      <c r="L59" s="177">
        <v>0</v>
      </c>
      <c r="M59" s="178">
        <v>0</v>
      </c>
      <c r="N59" s="177">
        <v>0</v>
      </c>
      <c r="O59" s="176">
        <v>0</v>
      </c>
    </row>
    <row r="60" spans="2:15">
      <c r="B60" s="175" t="s">
        <v>679</v>
      </c>
      <c r="C60" s="174" t="s">
        <v>569</v>
      </c>
      <c r="D60" s="171">
        <v>0</v>
      </c>
      <c r="E60" s="172">
        <v>0</v>
      </c>
      <c r="F60" s="171">
        <v>0</v>
      </c>
      <c r="G60" s="172">
        <v>0</v>
      </c>
      <c r="H60" s="171">
        <v>0</v>
      </c>
      <c r="I60" s="172">
        <v>0</v>
      </c>
      <c r="J60" s="171">
        <v>0</v>
      </c>
      <c r="K60" s="172">
        <v>0</v>
      </c>
      <c r="L60" s="171">
        <v>0</v>
      </c>
      <c r="M60" s="172">
        <v>0</v>
      </c>
      <c r="N60" s="171">
        <v>0</v>
      </c>
      <c r="O60" s="170">
        <v>0</v>
      </c>
    </row>
    <row r="61" spans="2:15">
      <c r="B61" s="194"/>
      <c r="C61" s="193" t="s">
        <v>568</v>
      </c>
      <c r="D61" s="167">
        <f t="shared" ref="D61:O61" si="21">SUM(D59:D60)</f>
        <v>700355.71953600005</v>
      </c>
      <c r="E61" s="167">
        <f t="shared" si="21"/>
        <v>12006943.672142677</v>
      </c>
      <c r="F61" s="167">
        <f t="shared" si="21"/>
        <v>28975.838554916674</v>
      </c>
      <c r="G61" s="167">
        <f t="shared" si="21"/>
        <v>28059.687709999998</v>
      </c>
      <c r="H61" s="167">
        <f t="shared" si="21"/>
        <v>0</v>
      </c>
      <c r="I61" s="167">
        <f t="shared" si="21"/>
        <v>0</v>
      </c>
      <c r="J61" s="167">
        <f t="shared" si="21"/>
        <v>0</v>
      </c>
      <c r="K61" s="167">
        <f t="shared" si="21"/>
        <v>0</v>
      </c>
      <c r="L61" s="167">
        <f t="shared" si="21"/>
        <v>0</v>
      </c>
      <c r="M61" s="167">
        <f t="shared" si="21"/>
        <v>0</v>
      </c>
      <c r="N61" s="167">
        <f t="shared" si="21"/>
        <v>0</v>
      </c>
      <c r="O61" s="166">
        <f t="shared" si="21"/>
        <v>0</v>
      </c>
    </row>
    <row r="62" spans="2:15">
      <c r="B62" s="186"/>
      <c r="C62" s="192"/>
      <c r="D62" s="191"/>
      <c r="E62" s="191"/>
      <c r="F62" s="191"/>
      <c r="G62" s="191"/>
      <c r="H62" s="191"/>
      <c r="I62" s="187"/>
      <c r="J62" s="187"/>
      <c r="K62" s="187"/>
      <c r="L62" s="320"/>
    </row>
    <row r="63" spans="2:15">
      <c r="B63" s="186"/>
      <c r="C63" s="185"/>
      <c r="D63" s="182"/>
      <c r="E63" s="182"/>
      <c r="F63" s="182"/>
      <c r="G63" s="182"/>
      <c r="H63" s="182"/>
      <c r="I63" s="182"/>
      <c r="J63" s="182"/>
      <c r="K63" s="182"/>
      <c r="L63" s="319"/>
      <c r="M63" s="318"/>
      <c r="N63" s="318"/>
      <c r="O63" s="318"/>
    </row>
    <row r="64" spans="2:15">
      <c r="B64" s="181" t="s">
        <v>567</v>
      </c>
      <c r="C64" s="180" t="s">
        <v>566</v>
      </c>
      <c r="D64" s="177">
        <v>0</v>
      </c>
      <c r="E64" s="178">
        <v>0</v>
      </c>
      <c r="F64" s="177">
        <v>5761676.6999999993</v>
      </c>
      <c r="G64" s="178">
        <v>240111.19999999995</v>
      </c>
      <c r="H64" s="177">
        <v>0</v>
      </c>
      <c r="I64" s="178">
        <v>0</v>
      </c>
      <c r="J64" s="177">
        <v>0</v>
      </c>
      <c r="K64" s="178">
        <v>0</v>
      </c>
      <c r="L64" s="177">
        <v>0</v>
      </c>
      <c r="M64" s="178">
        <v>0</v>
      </c>
      <c r="N64" s="177">
        <v>0</v>
      </c>
      <c r="O64" s="176">
        <v>0</v>
      </c>
    </row>
    <row r="65" spans="2:17">
      <c r="B65" s="175" t="s">
        <v>678</v>
      </c>
      <c r="C65" s="174"/>
      <c r="D65" s="171">
        <v>0</v>
      </c>
      <c r="E65" s="172">
        <v>0</v>
      </c>
      <c r="F65" s="171">
        <v>0</v>
      </c>
      <c r="G65" s="172">
        <v>0</v>
      </c>
      <c r="H65" s="171">
        <v>0</v>
      </c>
      <c r="I65" s="172">
        <v>0</v>
      </c>
      <c r="J65" s="171">
        <v>0</v>
      </c>
      <c r="K65" s="172">
        <v>0</v>
      </c>
      <c r="L65" s="171">
        <v>0</v>
      </c>
      <c r="M65" s="172">
        <v>0</v>
      </c>
      <c r="N65" s="171">
        <v>0</v>
      </c>
      <c r="O65" s="170">
        <v>0</v>
      </c>
    </row>
    <row r="66" spans="2:17">
      <c r="B66" s="194"/>
      <c r="C66" s="193" t="s">
        <v>564</v>
      </c>
      <c r="D66" s="167">
        <f t="shared" ref="D66:O66" si="22">SUM(D64:D65)</f>
        <v>0</v>
      </c>
      <c r="E66" s="167">
        <f t="shared" si="22"/>
        <v>0</v>
      </c>
      <c r="F66" s="167">
        <f t="shared" si="22"/>
        <v>5761676.6999999993</v>
      </c>
      <c r="G66" s="167">
        <f t="shared" si="22"/>
        <v>240111.19999999995</v>
      </c>
      <c r="H66" s="167">
        <f t="shared" si="22"/>
        <v>0</v>
      </c>
      <c r="I66" s="167">
        <f t="shared" si="22"/>
        <v>0</v>
      </c>
      <c r="J66" s="167">
        <f t="shared" si="22"/>
        <v>0</v>
      </c>
      <c r="K66" s="167">
        <f t="shared" si="22"/>
        <v>0</v>
      </c>
      <c r="L66" s="167">
        <f t="shared" si="22"/>
        <v>0</v>
      </c>
      <c r="M66" s="167">
        <f t="shared" si="22"/>
        <v>0</v>
      </c>
      <c r="N66" s="167">
        <f t="shared" si="22"/>
        <v>0</v>
      </c>
      <c r="O66" s="166">
        <f t="shared" si="22"/>
        <v>0</v>
      </c>
    </row>
    <row r="73" spans="2:17" outlineLevel="1">
      <c r="B73" s="210" t="s">
        <v>343</v>
      </c>
      <c r="C73" s="686">
        <v>45627</v>
      </c>
      <c r="D73" s="178">
        <v>0</v>
      </c>
      <c r="E73" s="178">
        <v>0</v>
      </c>
      <c r="F73" s="178">
        <v>672141.22000000009</v>
      </c>
      <c r="G73" s="178">
        <v>0</v>
      </c>
      <c r="H73" s="804">
        <v>0</v>
      </c>
      <c r="I73" s="804">
        <v>0</v>
      </c>
      <c r="J73" s="804">
        <v>0</v>
      </c>
      <c r="K73" s="804">
        <v>0</v>
      </c>
      <c r="L73" s="804">
        <v>0</v>
      </c>
      <c r="M73" s="804">
        <v>0</v>
      </c>
      <c r="N73" s="804">
        <v>0</v>
      </c>
      <c r="O73" s="805">
        <v>0</v>
      </c>
      <c r="Q73" s="176">
        <f>SUM(D73:O73)</f>
        <v>672141.22000000009</v>
      </c>
    </row>
    <row r="74" spans="2:17" outlineLevel="1">
      <c r="B74" s="201"/>
      <c r="C74" s="681">
        <v>45658</v>
      </c>
      <c r="D74" s="172">
        <v>0</v>
      </c>
      <c r="E74" s="172">
        <v>0</v>
      </c>
      <c r="F74" s="172">
        <v>713428.78000000014</v>
      </c>
      <c r="G74" s="172">
        <v>0</v>
      </c>
      <c r="H74" s="538">
        <v>0</v>
      </c>
      <c r="I74" s="538">
        <v>0</v>
      </c>
      <c r="J74" s="538">
        <v>0</v>
      </c>
      <c r="K74" s="538">
        <v>0</v>
      </c>
      <c r="L74" s="538">
        <v>0</v>
      </c>
      <c r="M74" s="538">
        <v>0</v>
      </c>
      <c r="N74" s="538">
        <v>0</v>
      </c>
      <c r="O74" s="806">
        <v>0</v>
      </c>
      <c r="Q74" s="170">
        <f t="shared" ref="Q74:Q85" si="23">SUM(D74:O74)</f>
        <v>713428.78000000014</v>
      </c>
    </row>
    <row r="75" spans="2:17" outlineLevel="1">
      <c r="B75" s="201"/>
      <c r="C75" s="682">
        <v>45689</v>
      </c>
      <c r="D75" s="172">
        <v>0</v>
      </c>
      <c r="E75" s="172">
        <v>0</v>
      </c>
      <c r="F75" s="172">
        <v>766216.12000000011</v>
      </c>
      <c r="G75" s="172">
        <v>0</v>
      </c>
      <c r="H75" s="538">
        <v>0</v>
      </c>
      <c r="I75" s="538">
        <v>0</v>
      </c>
      <c r="J75" s="538">
        <v>0</v>
      </c>
      <c r="K75" s="538">
        <v>0</v>
      </c>
      <c r="L75" s="538">
        <v>0</v>
      </c>
      <c r="M75" s="538">
        <v>0</v>
      </c>
      <c r="N75" s="538">
        <v>0</v>
      </c>
      <c r="O75" s="806">
        <v>0</v>
      </c>
      <c r="Q75" s="170">
        <f t="shared" si="23"/>
        <v>766216.12000000011</v>
      </c>
    </row>
    <row r="76" spans="2:17" outlineLevel="1">
      <c r="B76" s="201"/>
      <c r="C76" s="682">
        <v>45717</v>
      </c>
      <c r="D76" s="172">
        <v>0</v>
      </c>
      <c r="E76" s="172">
        <v>0</v>
      </c>
      <c r="F76" s="172">
        <v>823453.25000000012</v>
      </c>
      <c r="G76" s="172">
        <v>0</v>
      </c>
      <c r="H76" s="538">
        <v>0</v>
      </c>
      <c r="I76" s="538">
        <v>0</v>
      </c>
      <c r="J76" s="538">
        <v>0</v>
      </c>
      <c r="K76" s="538">
        <v>0</v>
      </c>
      <c r="L76" s="538">
        <v>0</v>
      </c>
      <c r="M76" s="538">
        <v>0</v>
      </c>
      <c r="N76" s="538">
        <v>0</v>
      </c>
      <c r="O76" s="806">
        <v>0</v>
      </c>
      <c r="Q76" s="170">
        <f t="shared" si="23"/>
        <v>823453.25000000012</v>
      </c>
    </row>
    <row r="77" spans="2:17" outlineLevel="1">
      <c r="B77" s="201"/>
      <c r="C77" s="682">
        <v>45748</v>
      </c>
      <c r="D77" s="172">
        <v>0</v>
      </c>
      <c r="E77" s="172">
        <v>0</v>
      </c>
      <c r="F77" s="172">
        <v>1638166.4500000002</v>
      </c>
      <c r="G77" s="172">
        <v>0</v>
      </c>
      <c r="H77" s="538">
        <v>0</v>
      </c>
      <c r="I77" s="538">
        <v>0</v>
      </c>
      <c r="J77" s="538">
        <v>0</v>
      </c>
      <c r="K77" s="538">
        <v>0</v>
      </c>
      <c r="L77" s="538">
        <v>0</v>
      </c>
      <c r="M77" s="538">
        <v>0</v>
      </c>
      <c r="N77" s="538">
        <v>0</v>
      </c>
      <c r="O77" s="806">
        <v>0</v>
      </c>
      <c r="Q77" s="170">
        <f t="shared" si="23"/>
        <v>1638166.4500000002</v>
      </c>
    </row>
    <row r="78" spans="2:17" outlineLevel="1">
      <c r="B78" s="201"/>
      <c r="C78" s="682">
        <v>45778</v>
      </c>
      <c r="D78" s="172">
        <v>0</v>
      </c>
      <c r="E78" s="172">
        <v>0</v>
      </c>
      <c r="F78" s="172">
        <v>1871199.9000000001</v>
      </c>
      <c r="G78" s="172">
        <v>0</v>
      </c>
      <c r="H78" s="538">
        <v>0</v>
      </c>
      <c r="I78" s="538">
        <v>0</v>
      </c>
      <c r="J78" s="538">
        <v>0</v>
      </c>
      <c r="K78" s="538">
        <v>0</v>
      </c>
      <c r="L78" s="538">
        <v>0</v>
      </c>
      <c r="M78" s="538">
        <v>0</v>
      </c>
      <c r="N78" s="538">
        <v>0</v>
      </c>
      <c r="O78" s="806">
        <v>0</v>
      </c>
      <c r="Q78" s="170">
        <f t="shared" si="23"/>
        <v>1871199.9000000001</v>
      </c>
    </row>
    <row r="79" spans="2:17" outlineLevel="1">
      <c r="B79" s="201"/>
      <c r="C79" s="682">
        <v>45809</v>
      </c>
      <c r="D79" s="172">
        <v>0</v>
      </c>
      <c r="E79" s="172">
        <v>0</v>
      </c>
      <c r="F79" s="172">
        <v>4092124.21</v>
      </c>
      <c r="G79" s="172">
        <v>0</v>
      </c>
      <c r="H79" s="538">
        <v>0</v>
      </c>
      <c r="I79" s="538">
        <v>0</v>
      </c>
      <c r="J79" s="538">
        <v>0</v>
      </c>
      <c r="K79" s="538">
        <v>0</v>
      </c>
      <c r="L79" s="538">
        <v>0</v>
      </c>
      <c r="M79" s="538">
        <v>0</v>
      </c>
      <c r="N79" s="538">
        <v>0</v>
      </c>
      <c r="O79" s="806">
        <v>0</v>
      </c>
      <c r="Q79" s="170">
        <f t="shared" si="23"/>
        <v>4092124.21</v>
      </c>
    </row>
    <row r="80" spans="2:17" outlineLevel="1">
      <c r="B80" s="201"/>
      <c r="C80" s="682">
        <v>45839</v>
      </c>
      <c r="D80" s="172">
        <v>0</v>
      </c>
      <c r="E80" s="172">
        <v>0</v>
      </c>
      <c r="F80" s="172">
        <v>4445089.4800000004</v>
      </c>
      <c r="G80" s="172">
        <v>0</v>
      </c>
      <c r="H80" s="538">
        <v>0</v>
      </c>
      <c r="I80" s="538">
        <v>0</v>
      </c>
      <c r="J80" s="538">
        <v>0</v>
      </c>
      <c r="K80" s="538">
        <v>0</v>
      </c>
      <c r="L80" s="538">
        <v>0</v>
      </c>
      <c r="M80" s="538">
        <v>0</v>
      </c>
      <c r="N80" s="538">
        <v>0</v>
      </c>
      <c r="O80" s="806">
        <v>0</v>
      </c>
      <c r="Q80" s="170">
        <f t="shared" si="23"/>
        <v>4445089.4800000004</v>
      </c>
    </row>
    <row r="81" spans="2:17" outlineLevel="1">
      <c r="B81" s="201"/>
      <c r="C81" s="682">
        <v>45870</v>
      </c>
      <c r="D81" s="172">
        <v>0</v>
      </c>
      <c r="E81" s="172">
        <v>0</v>
      </c>
      <c r="F81" s="172">
        <v>5109948.2700000005</v>
      </c>
      <c r="G81" s="172">
        <v>0</v>
      </c>
      <c r="H81" s="538">
        <v>0</v>
      </c>
      <c r="I81" s="538">
        <v>0</v>
      </c>
      <c r="J81" s="538">
        <v>0</v>
      </c>
      <c r="K81" s="538">
        <v>0</v>
      </c>
      <c r="L81" s="538">
        <v>0</v>
      </c>
      <c r="M81" s="538">
        <v>0</v>
      </c>
      <c r="N81" s="538">
        <v>0</v>
      </c>
      <c r="O81" s="806">
        <v>0</v>
      </c>
      <c r="Q81" s="170">
        <f t="shared" si="23"/>
        <v>5109948.2700000005</v>
      </c>
    </row>
    <row r="82" spans="2:17" outlineLevel="1">
      <c r="B82" s="201"/>
      <c r="C82" s="682">
        <v>45901</v>
      </c>
      <c r="D82" s="172">
        <v>0</v>
      </c>
      <c r="E82" s="172">
        <v>0</v>
      </c>
      <c r="F82" s="172">
        <v>5184715.5000000009</v>
      </c>
      <c r="G82" s="172">
        <v>0</v>
      </c>
      <c r="H82" s="538">
        <v>0</v>
      </c>
      <c r="I82" s="538">
        <v>0</v>
      </c>
      <c r="J82" s="538">
        <v>0</v>
      </c>
      <c r="K82" s="538">
        <v>0</v>
      </c>
      <c r="L82" s="538">
        <v>0</v>
      </c>
      <c r="M82" s="538">
        <v>0</v>
      </c>
      <c r="N82" s="538">
        <v>0</v>
      </c>
      <c r="O82" s="806">
        <v>0</v>
      </c>
      <c r="Q82" s="170">
        <f t="shared" si="23"/>
        <v>5184715.5000000009</v>
      </c>
    </row>
    <row r="83" spans="2:17" outlineLevel="1">
      <c r="B83" s="201"/>
      <c r="C83" s="682">
        <v>45931</v>
      </c>
      <c r="D83" s="172">
        <v>0</v>
      </c>
      <c r="E83" s="172">
        <v>0</v>
      </c>
      <c r="F83" s="172">
        <v>5355274.9600000009</v>
      </c>
      <c r="G83" s="172">
        <v>0</v>
      </c>
      <c r="H83" s="538">
        <v>0</v>
      </c>
      <c r="I83" s="538">
        <v>0</v>
      </c>
      <c r="J83" s="538">
        <v>0</v>
      </c>
      <c r="K83" s="538">
        <v>0</v>
      </c>
      <c r="L83" s="538">
        <v>0</v>
      </c>
      <c r="M83" s="538">
        <v>0</v>
      </c>
      <c r="N83" s="538">
        <v>0</v>
      </c>
      <c r="O83" s="806">
        <v>0</v>
      </c>
      <c r="Q83" s="170">
        <f t="shared" si="23"/>
        <v>5355274.9600000009</v>
      </c>
    </row>
    <row r="84" spans="2:17" outlineLevel="1">
      <c r="B84" s="201"/>
      <c r="C84" s="682">
        <v>45962</v>
      </c>
      <c r="D84" s="172">
        <v>0</v>
      </c>
      <c r="E84" s="172">
        <v>0</v>
      </c>
      <c r="F84" s="172">
        <v>5457432.2400000012</v>
      </c>
      <c r="G84" s="172">
        <v>0</v>
      </c>
      <c r="H84" s="538">
        <v>0</v>
      </c>
      <c r="I84" s="538">
        <v>0</v>
      </c>
      <c r="J84" s="538">
        <v>0</v>
      </c>
      <c r="K84" s="538">
        <v>0</v>
      </c>
      <c r="L84" s="538">
        <v>0</v>
      </c>
      <c r="M84" s="538">
        <v>0</v>
      </c>
      <c r="N84" s="538">
        <v>0</v>
      </c>
      <c r="O84" s="806">
        <v>0</v>
      </c>
      <c r="Q84" s="170">
        <f t="shared" si="23"/>
        <v>5457432.2400000012</v>
      </c>
    </row>
    <row r="85" spans="2:17" outlineLevel="1">
      <c r="B85" s="201"/>
      <c r="C85" s="681">
        <v>45992</v>
      </c>
      <c r="D85" s="199">
        <v>0</v>
      </c>
      <c r="E85" s="199">
        <v>0</v>
      </c>
      <c r="F85" s="199">
        <v>0</v>
      </c>
      <c r="G85" s="199">
        <v>0</v>
      </c>
      <c r="H85" s="807">
        <v>0</v>
      </c>
      <c r="I85" s="807">
        <v>0</v>
      </c>
      <c r="J85" s="807">
        <v>0</v>
      </c>
      <c r="K85" s="807">
        <v>0</v>
      </c>
      <c r="L85" s="807">
        <v>0</v>
      </c>
      <c r="M85" s="807">
        <v>0</v>
      </c>
      <c r="N85" s="807">
        <v>0</v>
      </c>
      <c r="O85" s="808">
        <v>0</v>
      </c>
      <c r="Q85" s="208">
        <f t="shared" si="23"/>
        <v>0</v>
      </c>
    </row>
    <row r="86" spans="2:17" outlineLevel="1">
      <c r="B86" s="198"/>
      <c r="C86" s="197" t="s">
        <v>992</v>
      </c>
      <c r="D86" s="195">
        <f>AVERAGE(D73:D85)</f>
        <v>0</v>
      </c>
      <c r="E86" s="195">
        <f>AVERAGE(E73:E85)</f>
        <v>0</v>
      </c>
      <c r="F86" s="195">
        <f>AVERAGE(F73:F85)</f>
        <v>2779168.4907692308</v>
      </c>
      <c r="G86" s="195">
        <f>AVERAGE(G73:G85)</f>
        <v>0</v>
      </c>
      <c r="H86" s="195">
        <f t="shared" ref="H86:O86" si="24">AVERAGE(H73:H85)</f>
        <v>0</v>
      </c>
      <c r="I86" s="195">
        <f t="shared" si="24"/>
        <v>0</v>
      </c>
      <c r="J86" s="195">
        <f t="shared" si="24"/>
        <v>0</v>
      </c>
      <c r="K86" s="195">
        <f t="shared" si="24"/>
        <v>0</v>
      </c>
      <c r="L86" s="195">
        <f t="shared" si="24"/>
        <v>0</v>
      </c>
      <c r="M86" s="195">
        <f t="shared" si="24"/>
        <v>0</v>
      </c>
      <c r="N86" s="195">
        <f t="shared" si="24"/>
        <v>0</v>
      </c>
      <c r="O86" s="196">
        <f t="shared" si="24"/>
        <v>0</v>
      </c>
      <c r="Q86" s="721">
        <f>AVERAGE(Q73:Q85)</f>
        <v>2779168.4907692308</v>
      </c>
    </row>
    <row r="87" spans="2:17" outlineLevel="1"/>
    <row r="88" spans="2:17" outlineLevel="1">
      <c r="B88" s="210"/>
      <c r="C88" s="686">
        <v>45627</v>
      </c>
      <c r="D88" s="178">
        <v>33509843.039999999</v>
      </c>
      <c r="E88" s="178">
        <v>549544969.30560005</v>
      </c>
      <c r="F88" s="846">
        <v>0</v>
      </c>
      <c r="G88" s="847">
        <v>1058856.1399999999</v>
      </c>
      <c r="H88" s="176">
        <v>0</v>
      </c>
      <c r="I88" s="176">
        <v>0</v>
      </c>
      <c r="J88" s="176">
        <v>0</v>
      </c>
      <c r="K88" s="176">
        <v>0</v>
      </c>
      <c r="L88" s="176">
        <v>0</v>
      </c>
      <c r="M88" s="176">
        <v>0</v>
      </c>
      <c r="N88" s="176">
        <v>0</v>
      </c>
      <c r="O88" s="176">
        <v>0</v>
      </c>
      <c r="Q88" s="176">
        <f>SUM(D88:O88)</f>
        <v>584113668.48559999</v>
      </c>
    </row>
    <row r="89" spans="2:17" outlineLevel="1">
      <c r="B89" s="201"/>
      <c r="C89" s="681">
        <v>45658</v>
      </c>
      <c r="D89" s="172">
        <v>33509843.039999999</v>
      </c>
      <c r="E89" s="172">
        <v>549736028.00979996</v>
      </c>
      <c r="F89" s="172">
        <v>0</v>
      </c>
      <c r="G89" s="170">
        <v>1058856.1399999999</v>
      </c>
      <c r="H89" s="170">
        <v>0</v>
      </c>
      <c r="I89" s="170">
        <v>0</v>
      </c>
      <c r="J89" s="170">
        <v>0</v>
      </c>
      <c r="K89" s="170">
        <v>0</v>
      </c>
      <c r="L89" s="170">
        <v>0</v>
      </c>
      <c r="M89" s="170">
        <v>0</v>
      </c>
      <c r="N89" s="170">
        <v>0</v>
      </c>
      <c r="O89" s="170">
        <v>0</v>
      </c>
      <c r="Q89" s="170">
        <f t="shared" ref="Q89:Q100" si="25">SUM(D89:O89)</f>
        <v>584304727.1897999</v>
      </c>
    </row>
    <row r="90" spans="2:17" outlineLevel="1">
      <c r="B90" s="201"/>
      <c r="C90" s="682">
        <v>45689</v>
      </c>
      <c r="D90" s="172">
        <v>33509843.039999999</v>
      </c>
      <c r="E90" s="172">
        <v>550664199.33570004</v>
      </c>
      <c r="F90" s="172">
        <v>0</v>
      </c>
      <c r="G90" s="170">
        <v>1058856.1399999999</v>
      </c>
      <c r="H90" s="170">
        <v>0</v>
      </c>
      <c r="I90" s="170">
        <v>0</v>
      </c>
      <c r="J90" s="170">
        <v>0</v>
      </c>
      <c r="K90" s="170">
        <v>0</v>
      </c>
      <c r="L90" s="170">
        <v>0</v>
      </c>
      <c r="M90" s="170">
        <v>0</v>
      </c>
      <c r="N90" s="170">
        <v>0</v>
      </c>
      <c r="O90" s="170">
        <v>0</v>
      </c>
      <c r="Q90" s="170">
        <f t="shared" si="25"/>
        <v>585232898.51569998</v>
      </c>
    </row>
    <row r="91" spans="2:17" outlineLevel="1">
      <c r="B91" s="201"/>
      <c r="C91" s="682">
        <v>45717</v>
      </c>
      <c r="D91" s="172">
        <v>33509843.039999999</v>
      </c>
      <c r="E91" s="172">
        <v>550796919.52329993</v>
      </c>
      <c r="F91" s="172">
        <v>0</v>
      </c>
      <c r="G91" s="170">
        <v>1058856.1399999999</v>
      </c>
      <c r="H91" s="170">
        <v>0</v>
      </c>
      <c r="I91" s="170">
        <v>0</v>
      </c>
      <c r="J91" s="170">
        <v>0</v>
      </c>
      <c r="K91" s="170">
        <v>0</v>
      </c>
      <c r="L91" s="170">
        <v>0</v>
      </c>
      <c r="M91" s="170">
        <v>0</v>
      </c>
      <c r="N91" s="170">
        <v>0</v>
      </c>
      <c r="O91" s="170">
        <v>0</v>
      </c>
      <c r="Q91" s="170">
        <f t="shared" si="25"/>
        <v>585365618.70329988</v>
      </c>
    </row>
    <row r="92" spans="2:17" outlineLevel="1">
      <c r="B92" s="201"/>
      <c r="C92" s="682">
        <v>45748</v>
      </c>
      <c r="D92" s="172">
        <v>33509843.039999999</v>
      </c>
      <c r="E92" s="172">
        <v>550929639.71089995</v>
      </c>
      <c r="F92" s="172">
        <v>0</v>
      </c>
      <c r="G92" s="170">
        <v>1058856.1399999999</v>
      </c>
      <c r="H92" s="170">
        <v>0</v>
      </c>
      <c r="I92" s="170">
        <v>0</v>
      </c>
      <c r="J92" s="170">
        <v>0</v>
      </c>
      <c r="K92" s="170">
        <v>0</v>
      </c>
      <c r="L92" s="170">
        <v>0</v>
      </c>
      <c r="M92" s="170">
        <v>0</v>
      </c>
      <c r="N92" s="170">
        <v>0</v>
      </c>
      <c r="O92" s="170">
        <v>0</v>
      </c>
      <c r="Q92" s="170">
        <f t="shared" si="25"/>
        <v>585498338.8908999</v>
      </c>
    </row>
    <row r="93" spans="2:17" outlineLevel="1">
      <c r="B93" s="201"/>
      <c r="C93" s="682">
        <v>45778</v>
      </c>
      <c r="D93" s="172">
        <v>33509843.039999999</v>
      </c>
      <c r="E93" s="172">
        <v>551119793.22899997</v>
      </c>
      <c r="F93" s="172">
        <v>0</v>
      </c>
      <c r="G93" s="170">
        <v>1058856.1399999999</v>
      </c>
      <c r="H93" s="170">
        <v>0</v>
      </c>
      <c r="I93" s="170">
        <v>0</v>
      </c>
      <c r="J93" s="170">
        <v>0</v>
      </c>
      <c r="K93" s="170">
        <v>0</v>
      </c>
      <c r="L93" s="170">
        <v>0</v>
      </c>
      <c r="M93" s="170">
        <v>0</v>
      </c>
      <c r="N93" s="170">
        <v>0</v>
      </c>
      <c r="O93" s="170">
        <v>0</v>
      </c>
      <c r="Q93" s="170">
        <f t="shared" si="25"/>
        <v>585688492.40899992</v>
      </c>
    </row>
    <row r="94" spans="2:17" outlineLevel="1">
      <c r="B94" s="201"/>
      <c r="C94" s="682">
        <v>45809</v>
      </c>
      <c r="D94" s="172">
        <v>33509843.039999999</v>
      </c>
      <c r="E94" s="172">
        <v>551307825.08209991</v>
      </c>
      <c r="F94" s="172">
        <v>1100000</v>
      </c>
      <c r="G94" s="170">
        <v>1058856.1399999999</v>
      </c>
      <c r="H94" s="170">
        <v>0</v>
      </c>
      <c r="I94" s="170">
        <v>0</v>
      </c>
      <c r="J94" s="170">
        <v>0</v>
      </c>
      <c r="K94" s="170">
        <v>0</v>
      </c>
      <c r="L94" s="170">
        <v>0</v>
      </c>
      <c r="M94" s="170">
        <v>0</v>
      </c>
      <c r="N94" s="170">
        <v>0</v>
      </c>
      <c r="O94" s="170">
        <v>0</v>
      </c>
      <c r="Q94" s="170">
        <f t="shared" si="25"/>
        <v>586976524.26209986</v>
      </c>
    </row>
    <row r="95" spans="2:17" outlineLevel="1">
      <c r="B95" s="201"/>
      <c r="C95" s="682">
        <v>45839</v>
      </c>
      <c r="D95" s="172">
        <v>33509843.039999999</v>
      </c>
      <c r="E95" s="172">
        <v>551440545.26969993</v>
      </c>
      <c r="F95" s="172">
        <v>1100000</v>
      </c>
      <c r="G95" s="170">
        <v>1058856.1399999999</v>
      </c>
      <c r="H95" s="170">
        <v>0</v>
      </c>
      <c r="I95" s="170">
        <v>0</v>
      </c>
      <c r="J95" s="170">
        <v>0</v>
      </c>
      <c r="K95" s="170">
        <v>0</v>
      </c>
      <c r="L95" s="170">
        <v>0</v>
      </c>
      <c r="M95" s="170">
        <v>0</v>
      </c>
      <c r="N95" s="170">
        <v>0</v>
      </c>
      <c r="O95" s="170">
        <v>0</v>
      </c>
      <c r="Q95" s="170">
        <f t="shared" si="25"/>
        <v>587109244.44969988</v>
      </c>
    </row>
    <row r="96" spans="2:17" outlineLevel="1">
      <c r="B96" s="201"/>
      <c r="C96" s="682">
        <v>45870</v>
      </c>
      <c r="D96" s="172">
        <v>33509843.039999999</v>
      </c>
      <c r="E96" s="172">
        <v>551440545.26969993</v>
      </c>
      <c r="F96" s="172">
        <v>1100000</v>
      </c>
      <c r="G96" s="170">
        <v>1058856.1399999999</v>
      </c>
      <c r="H96" s="170">
        <v>0</v>
      </c>
      <c r="I96" s="170">
        <v>0</v>
      </c>
      <c r="J96" s="170">
        <v>0</v>
      </c>
      <c r="K96" s="170">
        <v>0</v>
      </c>
      <c r="L96" s="170">
        <v>0</v>
      </c>
      <c r="M96" s="170">
        <v>0</v>
      </c>
      <c r="N96" s="170">
        <v>0</v>
      </c>
      <c r="O96" s="170">
        <v>0</v>
      </c>
      <c r="Q96" s="170">
        <f t="shared" si="25"/>
        <v>587109244.44969988</v>
      </c>
    </row>
    <row r="97" spans="3:17" outlineLevel="1">
      <c r="C97" s="682">
        <v>45901</v>
      </c>
      <c r="D97" s="172">
        <v>33509843.039999999</v>
      </c>
      <c r="E97" s="172">
        <v>551602681.62590003</v>
      </c>
      <c r="F97" s="172">
        <v>1100000</v>
      </c>
      <c r="G97" s="170">
        <v>1058856.1399999999</v>
      </c>
      <c r="H97" s="170">
        <v>0</v>
      </c>
      <c r="I97" s="170">
        <v>0</v>
      </c>
      <c r="J97" s="170">
        <v>0</v>
      </c>
      <c r="K97" s="170">
        <v>0</v>
      </c>
      <c r="L97" s="170">
        <v>0</v>
      </c>
      <c r="M97" s="170">
        <v>0</v>
      </c>
      <c r="N97" s="170">
        <v>0</v>
      </c>
      <c r="O97" s="170">
        <v>0</v>
      </c>
      <c r="Q97" s="170">
        <f t="shared" si="25"/>
        <v>587271380.80589998</v>
      </c>
    </row>
    <row r="98" spans="3:17" outlineLevel="1">
      <c r="C98" s="682">
        <v>45931</v>
      </c>
      <c r="D98" s="172">
        <v>33509843.039999999</v>
      </c>
      <c r="E98" s="172">
        <v>551602681.62590003</v>
      </c>
      <c r="F98" s="172">
        <v>1100000</v>
      </c>
      <c r="G98" s="170">
        <v>1058856.1399999999</v>
      </c>
      <c r="H98" s="170">
        <v>0</v>
      </c>
      <c r="I98" s="170">
        <v>0</v>
      </c>
      <c r="J98" s="170">
        <v>0</v>
      </c>
      <c r="K98" s="170">
        <v>0</v>
      </c>
      <c r="L98" s="170">
        <v>0</v>
      </c>
      <c r="M98" s="170">
        <v>0</v>
      </c>
      <c r="N98" s="170">
        <v>0</v>
      </c>
      <c r="O98" s="170">
        <v>0</v>
      </c>
      <c r="Q98" s="170">
        <f t="shared" si="25"/>
        <v>587271380.80589998</v>
      </c>
    </row>
    <row r="99" spans="3:17" outlineLevel="1">
      <c r="C99" s="682">
        <v>45962</v>
      </c>
      <c r="D99" s="172">
        <v>33509843.039999999</v>
      </c>
      <c r="E99" s="172">
        <v>551602681.62590003</v>
      </c>
      <c r="F99" s="172">
        <v>1100000</v>
      </c>
      <c r="G99" s="170">
        <v>1058856.1399999999</v>
      </c>
      <c r="H99" s="170">
        <v>0</v>
      </c>
      <c r="I99" s="170">
        <v>0</v>
      </c>
      <c r="J99" s="170">
        <v>0</v>
      </c>
      <c r="K99" s="170">
        <v>0</v>
      </c>
      <c r="L99" s="170">
        <v>0</v>
      </c>
      <c r="M99" s="170">
        <v>0</v>
      </c>
      <c r="N99" s="170">
        <v>0</v>
      </c>
      <c r="O99" s="170">
        <v>0</v>
      </c>
      <c r="Q99" s="170">
        <f t="shared" si="25"/>
        <v>587271380.80589998</v>
      </c>
    </row>
    <row r="100" spans="3:17" outlineLevel="1">
      <c r="C100" s="681">
        <v>45992</v>
      </c>
      <c r="D100" s="199">
        <v>33509843.039999999</v>
      </c>
      <c r="E100" s="199">
        <v>551602681.62590003</v>
      </c>
      <c r="F100" s="199">
        <v>6620914.9300000016</v>
      </c>
      <c r="G100" s="208">
        <v>1058856.1399999999</v>
      </c>
      <c r="H100" s="208">
        <v>0</v>
      </c>
      <c r="I100" s="208">
        <v>0</v>
      </c>
      <c r="J100" s="208">
        <v>0</v>
      </c>
      <c r="K100" s="208">
        <v>0</v>
      </c>
      <c r="L100" s="208">
        <v>0</v>
      </c>
      <c r="M100" s="208">
        <v>0</v>
      </c>
      <c r="N100" s="208">
        <v>0</v>
      </c>
      <c r="O100" s="208">
        <v>0</v>
      </c>
      <c r="Q100" s="208">
        <f t="shared" si="25"/>
        <v>592792295.73589993</v>
      </c>
    </row>
    <row r="101" spans="3:17" outlineLevel="1">
      <c r="C101" s="197" t="s">
        <v>991</v>
      </c>
      <c r="D101" s="195">
        <f>AVERAGE(D88:D100)</f>
        <v>33509843.040000003</v>
      </c>
      <c r="E101" s="195">
        <f>AVERAGE(E88:E100)</f>
        <v>551030091.63380003</v>
      </c>
      <c r="F101" s="195">
        <f>AVERAGE(F88:F100)</f>
        <v>1016993.4561538462</v>
      </c>
      <c r="G101" s="195">
        <f>AVERAGE(G88:G100)</f>
        <v>1058856.1400000001</v>
      </c>
      <c r="H101" s="195">
        <f t="shared" ref="H101:O101" si="26">AVERAGE(H88:H100)</f>
        <v>0</v>
      </c>
      <c r="I101" s="195">
        <f t="shared" si="26"/>
        <v>0</v>
      </c>
      <c r="J101" s="195">
        <f t="shared" si="26"/>
        <v>0</v>
      </c>
      <c r="K101" s="195">
        <f t="shared" si="26"/>
        <v>0</v>
      </c>
      <c r="L101" s="195">
        <f t="shared" si="26"/>
        <v>0</v>
      </c>
      <c r="M101" s="195">
        <f t="shared" si="26"/>
        <v>0</v>
      </c>
      <c r="N101" s="195">
        <f t="shared" si="26"/>
        <v>0</v>
      </c>
      <c r="O101" s="196">
        <f t="shared" si="26"/>
        <v>0</v>
      </c>
      <c r="Q101" s="721">
        <f>AVERAGE(Q88:Q100)</f>
        <v>586615784.26995361</v>
      </c>
    </row>
    <row r="102" spans="3:17" outlineLevel="1"/>
    <row r="103" spans="3:17" outlineLevel="1">
      <c r="C103" s="686">
        <v>45627</v>
      </c>
      <c r="D103" s="178">
        <v>25511004.200231999</v>
      </c>
      <c r="E103" s="178">
        <v>502705999.81345654</v>
      </c>
      <c r="F103" s="846">
        <v>0</v>
      </c>
      <c r="G103" s="847">
        <v>1044826.2961449999</v>
      </c>
      <c r="H103" s="176">
        <v>0</v>
      </c>
      <c r="I103" s="176">
        <v>0</v>
      </c>
      <c r="J103" s="176">
        <v>0</v>
      </c>
      <c r="K103" s="176">
        <v>0</v>
      </c>
      <c r="L103" s="176">
        <v>0</v>
      </c>
      <c r="M103" s="176">
        <v>0</v>
      </c>
      <c r="N103" s="176">
        <v>0</v>
      </c>
      <c r="O103" s="176">
        <v>0</v>
      </c>
      <c r="Q103" s="176">
        <f>SUM(D103:O103)</f>
        <v>529261830.30983359</v>
      </c>
    </row>
    <row r="104" spans="3:17" outlineLevel="1">
      <c r="C104" s="681">
        <v>45658</v>
      </c>
      <c r="D104" s="172">
        <v>25452641.223604001</v>
      </c>
      <c r="E104" s="172">
        <v>501898878.36360347</v>
      </c>
      <c r="F104" s="172">
        <v>0</v>
      </c>
      <c r="G104" s="170">
        <v>1042487.9888358333</v>
      </c>
      <c r="H104" s="170">
        <v>0</v>
      </c>
      <c r="I104" s="170">
        <v>0</v>
      </c>
      <c r="J104" s="170">
        <v>0</v>
      </c>
      <c r="K104" s="170">
        <v>0</v>
      </c>
      <c r="L104" s="170">
        <v>0</v>
      </c>
      <c r="M104" s="170">
        <v>0</v>
      </c>
      <c r="N104" s="170">
        <v>0</v>
      </c>
      <c r="O104" s="170">
        <v>0</v>
      </c>
      <c r="Q104" s="170">
        <f t="shared" ref="Q104:Q115" si="27">SUM(D104:O104)</f>
        <v>528394007.57604331</v>
      </c>
    </row>
    <row r="105" spans="3:17" outlineLevel="1">
      <c r="C105" s="682">
        <v>45689</v>
      </c>
      <c r="D105" s="172">
        <v>25394278.246975999</v>
      </c>
      <c r="E105" s="172">
        <v>501827299.37895739</v>
      </c>
      <c r="F105" s="172">
        <v>0</v>
      </c>
      <c r="G105" s="170">
        <v>1040149.6815266665</v>
      </c>
      <c r="H105" s="170">
        <v>0</v>
      </c>
      <c r="I105" s="170">
        <v>0</v>
      </c>
      <c r="J105" s="170">
        <v>0</v>
      </c>
      <c r="K105" s="170">
        <v>0</v>
      </c>
      <c r="L105" s="170">
        <v>0</v>
      </c>
      <c r="M105" s="170">
        <v>0</v>
      </c>
      <c r="N105" s="170">
        <v>0</v>
      </c>
      <c r="O105" s="170">
        <v>0</v>
      </c>
      <c r="Q105" s="170">
        <f t="shared" si="27"/>
        <v>528261727.30746007</v>
      </c>
    </row>
    <row r="106" spans="3:17" outlineLevel="1">
      <c r="C106" s="682">
        <v>45717</v>
      </c>
      <c r="D106" s="172">
        <v>25335915.270347998</v>
      </c>
      <c r="E106" s="172">
        <v>500960044.73769403</v>
      </c>
      <c r="F106" s="172">
        <v>0</v>
      </c>
      <c r="G106" s="170">
        <v>1037811.3742174999</v>
      </c>
      <c r="H106" s="170">
        <v>0</v>
      </c>
      <c r="I106" s="170">
        <v>0</v>
      </c>
      <c r="J106" s="170">
        <v>0</v>
      </c>
      <c r="K106" s="170">
        <v>0</v>
      </c>
      <c r="L106" s="170">
        <v>0</v>
      </c>
      <c r="M106" s="170">
        <v>0</v>
      </c>
      <c r="N106" s="170">
        <v>0</v>
      </c>
      <c r="O106" s="170">
        <v>0</v>
      </c>
      <c r="Q106" s="170">
        <f t="shared" si="27"/>
        <v>527333771.38225955</v>
      </c>
    </row>
    <row r="107" spans="3:17" outlineLevel="1">
      <c r="C107" s="682">
        <v>45748</v>
      </c>
      <c r="D107" s="172">
        <v>25277552.293719999</v>
      </c>
      <c r="E107" s="172">
        <v>500092565.5781132</v>
      </c>
      <c r="F107" s="172">
        <v>0</v>
      </c>
      <c r="G107" s="170">
        <v>1035473.0669083332</v>
      </c>
      <c r="H107" s="170">
        <v>0</v>
      </c>
      <c r="I107" s="170">
        <v>0</v>
      </c>
      <c r="J107" s="170">
        <v>0</v>
      </c>
      <c r="K107" s="170">
        <v>0</v>
      </c>
      <c r="L107" s="170">
        <v>0</v>
      </c>
      <c r="M107" s="170">
        <v>0</v>
      </c>
      <c r="N107" s="170">
        <v>0</v>
      </c>
      <c r="O107" s="170">
        <v>0</v>
      </c>
      <c r="Q107" s="170">
        <f t="shared" si="27"/>
        <v>526405590.93874156</v>
      </c>
    </row>
    <row r="108" spans="3:17" outlineLevel="1">
      <c r="C108" s="682">
        <v>45778</v>
      </c>
      <c r="D108" s="172">
        <v>25219189.317092001</v>
      </c>
      <c r="E108" s="172">
        <v>499282198.07266426</v>
      </c>
      <c r="F108" s="172">
        <v>0</v>
      </c>
      <c r="G108" s="170">
        <v>1033134.7595991666</v>
      </c>
      <c r="H108" s="170">
        <v>0</v>
      </c>
      <c r="I108" s="170">
        <v>0</v>
      </c>
      <c r="J108" s="170">
        <v>0</v>
      </c>
      <c r="K108" s="170">
        <v>0</v>
      </c>
      <c r="L108" s="170">
        <v>0</v>
      </c>
      <c r="M108" s="170">
        <v>0</v>
      </c>
      <c r="N108" s="170">
        <v>0</v>
      </c>
      <c r="O108" s="170">
        <v>0</v>
      </c>
      <c r="Q108" s="170">
        <f t="shared" si="27"/>
        <v>525534522.14935541</v>
      </c>
    </row>
    <row r="109" spans="3:17" outlineLevel="1">
      <c r="C109" s="682">
        <v>45809</v>
      </c>
      <c r="D109" s="172">
        <v>25160826.340464</v>
      </c>
      <c r="E109" s="172">
        <v>498469390.8149972</v>
      </c>
      <c r="F109" s="172">
        <v>1097589.1666666667</v>
      </c>
      <c r="G109" s="170">
        <v>1030796.4522899999</v>
      </c>
      <c r="H109" s="170">
        <v>0</v>
      </c>
      <c r="I109" s="170">
        <v>0</v>
      </c>
      <c r="J109" s="170">
        <v>0</v>
      </c>
      <c r="K109" s="170">
        <v>0</v>
      </c>
      <c r="L109" s="170">
        <v>0</v>
      </c>
      <c r="M109" s="170">
        <v>0</v>
      </c>
      <c r="N109" s="170">
        <v>0</v>
      </c>
      <c r="O109" s="170">
        <v>0</v>
      </c>
      <c r="Q109" s="170">
        <f t="shared" si="27"/>
        <v>525758602.77441788</v>
      </c>
    </row>
    <row r="110" spans="3:17" outlineLevel="1">
      <c r="C110" s="682">
        <v>45839</v>
      </c>
      <c r="D110" s="172">
        <v>25102463.363835998</v>
      </c>
      <c r="E110" s="172">
        <v>497601047.37351286</v>
      </c>
      <c r="F110" s="172">
        <v>1095178.3333333333</v>
      </c>
      <c r="G110" s="170">
        <v>1028458.1449808333</v>
      </c>
      <c r="H110" s="170">
        <v>0</v>
      </c>
      <c r="I110" s="170">
        <v>0</v>
      </c>
      <c r="J110" s="170">
        <v>0</v>
      </c>
      <c r="K110" s="170">
        <v>0</v>
      </c>
      <c r="L110" s="170">
        <v>0</v>
      </c>
      <c r="M110" s="170">
        <v>0</v>
      </c>
      <c r="N110" s="170">
        <v>0</v>
      </c>
      <c r="O110" s="170">
        <v>0</v>
      </c>
      <c r="Q110" s="170">
        <f t="shared" si="27"/>
        <v>524827147.21566302</v>
      </c>
    </row>
    <row r="111" spans="3:17" outlineLevel="1">
      <c r="C111" s="682">
        <v>45870</v>
      </c>
      <c r="D111" s="172">
        <v>25044100.387208</v>
      </c>
      <c r="E111" s="172">
        <v>496599983.7444284</v>
      </c>
      <c r="F111" s="172">
        <v>1092767.5</v>
      </c>
      <c r="G111" s="170">
        <v>1026119.8376716665</v>
      </c>
      <c r="H111" s="170">
        <v>0</v>
      </c>
      <c r="I111" s="170">
        <v>0</v>
      </c>
      <c r="J111" s="170">
        <v>0</v>
      </c>
      <c r="K111" s="170">
        <v>0</v>
      </c>
      <c r="L111" s="170">
        <v>0</v>
      </c>
      <c r="M111" s="170">
        <v>0</v>
      </c>
      <c r="N111" s="170">
        <v>0</v>
      </c>
      <c r="O111" s="170">
        <v>0</v>
      </c>
      <c r="Q111" s="170">
        <f t="shared" si="27"/>
        <v>523762971.46930802</v>
      </c>
    </row>
    <row r="112" spans="3:17" outlineLevel="1">
      <c r="C112" s="682">
        <v>45901</v>
      </c>
      <c r="D112" s="172">
        <v>24985737.410580002</v>
      </c>
      <c r="E112" s="172">
        <v>495760782.19087476</v>
      </c>
      <c r="F112" s="172">
        <v>1090356.6666666667</v>
      </c>
      <c r="G112" s="170">
        <v>1023781.5303624999</v>
      </c>
      <c r="H112" s="170">
        <v>0</v>
      </c>
      <c r="I112" s="170">
        <v>0</v>
      </c>
      <c r="J112" s="170">
        <v>0</v>
      </c>
      <c r="K112" s="170">
        <v>0</v>
      </c>
      <c r="L112" s="170">
        <v>0</v>
      </c>
      <c r="M112" s="170">
        <v>0</v>
      </c>
      <c r="N112" s="170">
        <v>0</v>
      </c>
      <c r="O112" s="170">
        <v>0</v>
      </c>
      <c r="Q112" s="170">
        <f t="shared" si="27"/>
        <v>522860657.79848391</v>
      </c>
    </row>
    <row r="113" spans="3:17" outlineLevel="1">
      <c r="C113" s="682">
        <v>45931</v>
      </c>
      <c r="D113" s="172">
        <v>24927374.433952</v>
      </c>
      <c r="E113" s="172">
        <v>494759444.28112113</v>
      </c>
      <c r="F113" s="172">
        <v>1087945.8333333333</v>
      </c>
      <c r="G113" s="170">
        <v>1021443.2230533332</v>
      </c>
      <c r="H113" s="170">
        <v>0</v>
      </c>
      <c r="I113" s="170">
        <v>0</v>
      </c>
      <c r="J113" s="170">
        <v>0</v>
      </c>
      <c r="K113" s="170">
        <v>0</v>
      </c>
      <c r="L113" s="170">
        <v>0</v>
      </c>
      <c r="M113" s="170">
        <v>0</v>
      </c>
      <c r="N113" s="170">
        <v>0</v>
      </c>
      <c r="O113" s="170">
        <v>0</v>
      </c>
      <c r="Q113" s="170">
        <f t="shared" si="27"/>
        <v>521796207.77145976</v>
      </c>
    </row>
    <row r="114" spans="3:17" outlineLevel="1">
      <c r="C114" s="682">
        <v>45962</v>
      </c>
      <c r="D114" s="172">
        <v>24869011.457323998</v>
      </c>
      <c r="E114" s="172">
        <v>493758106.37136751</v>
      </c>
      <c r="F114" s="172">
        <v>1085535</v>
      </c>
      <c r="G114" s="170">
        <v>1019104.9157441666</v>
      </c>
      <c r="H114" s="170">
        <v>0</v>
      </c>
      <c r="I114" s="170">
        <v>0</v>
      </c>
      <c r="J114" s="170">
        <v>0</v>
      </c>
      <c r="K114" s="170">
        <v>0</v>
      </c>
      <c r="L114" s="170">
        <v>0</v>
      </c>
      <c r="M114" s="170">
        <v>0</v>
      </c>
      <c r="N114" s="170">
        <v>0</v>
      </c>
      <c r="O114" s="170">
        <v>0</v>
      </c>
      <c r="Q114" s="170">
        <f t="shared" si="27"/>
        <v>520731757.74443567</v>
      </c>
    </row>
    <row r="115" spans="3:17" outlineLevel="1">
      <c r="C115" s="681">
        <v>45992</v>
      </c>
      <c r="D115" s="199">
        <v>24810648.480696</v>
      </c>
      <c r="E115" s="199">
        <v>492756768.46161383</v>
      </c>
      <c r="F115" s="199">
        <v>6591939.0914450856</v>
      </c>
      <c r="G115" s="208">
        <v>1016766.6084349999</v>
      </c>
      <c r="H115" s="208">
        <v>0</v>
      </c>
      <c r="I115" s="208">
        <v>0</v>
      </c>
      <c r="J115" s="208">
        <v>0</v>
      </c>
      <c r="K115" s="208">
        <v>0</v>
      </c>
      <c r="L115" s="208">
        <v>0</v>
      </c>
      <c r="M115" s="208">
        <v>0</v>
      </c>
      <c r="N115" s="208">
        <v>0</v>
      </c>
      <c r="O115" s="208">
        <v>0</v>
      </c>
      <c r="Q115" s="208">
        <f t="shared" si="27"/>
        <v>525176122.64218992</v>
      </c>
    </row>
    <row r="116" spans="3:17" outlineLevel="1">
      <c r="C116" s="197" t="s">
        <v>993</v>
      </c>
      <c r="D116" s="195">
        <f>AVERAGE(D103:D115)</f>
        <v>25160826.340464</v>
      </c>
      <c r="E116" s="195">
        <f>AVERAGE(E103:E115)</f>
        <v>498190193.01403111</v>
      </c>
      <c r="F116" s="195">
        <f>AVERAGE(F103:F115)</f>
        <v>1010870.1224188526</v>
      </c>
      <c r="G116" s="195">
        <f>AVERAGE(G103:G115)</f>
        <v>1030796.4522899998</v>
      </c>
      <c r="H116" s="195">
        <f t="shared" ref="H116:O116" si="28">AVERAGE(H103:H115)</f>
        <v>0</v>
      </c>
      <c r="I116" s="195">
        <f t="shared" si="28"/>
        <v>0</v>
      </c>
      <c r="J116" s="195">
        <f t="shared" si="28"/>
        <v>0</v>
      </c>
      <c r="K116" s="195">
        <f t="shared" si="28"/>
        <v>0</v>
      </c>
      <c r="L116" s="195">
        <f t="shared" si="28"/>
        <v>0</v>
      </c>
      <c r="M116" s="195">
        <f t="shared" si="28"/>
        <v>0</v>
      </c>
      <c r="N116" s="195">
        <f t="shared" si="28"/>
        <v>0</v>
      </c>
      <c r="O116" s="196">
        <f t="shared" si="28"/>
        <v>0</v>
      </c>
      <c r="Q116" s="721">
        <f>AVERAGE(Q103:Q115)</f>
        <v>525392685.92920393</v>
      </c>
    </row>
    <row r="117" spans="3:17" outlineLevel="1"/>
    <row r="118" spans="3:17" outlineLevel="1">
      <c r="C118" s="686">
        <v>45627</v>
      </c>
      <c r="D118" s="176">
        <v>7998838.8397679999</v>
      </c>
      <c r="E118" s="176">
        <v>46838969.492143437</v>
      </c>
      <c r="F118" s="847">
        <v>0</v>
      </c>
      <c r="G118" s="847">
        <v>14029.843854999999</v>
      </c>
      <c r="H118" s="176">
        <v>0</v>
      </c>
      <c r="I118" s="176">
        <v>0</v>
      </c>
      <c r="J118" s="176">
        <v>0</v>
      </c>
      <c r="K118" s="176">
        <v>0</v>
      </c>
      <c r="L118" s="176">
        <v>0</v>
      </c>
      <c r="M118" s="176">
        <v>0</v>
      </c>
      <c r="N118" s="176">
        <v>0</v>
      </c>
      <c r="O118" s="176">
        <v>0</v>
      </c>
      <c r="Q118" s="176">
        <f>SUM(D118:O118)</f>
        <v>54851838.175766438</v>
      </c>
    </row>
    <row r="119" spans="3:17" outlineLevel="1">
      <c r="C119" s="681">
        <v>45658</v>
      </c>
      <c r="D119" s="170">
        <v>8057201.8163959999</v>
      </c>
      <c r="E119" s="170">
        <v>47837149.646196514</v>
      </c>
      <c r="F119" s="170">
        <v>0</v>
      </c>
      <c r="G119" s="170">
        <v>16368.151164166666</v>
      </c>
      <c r="H119" s="170">
        <v>0</v>
      </c>
      <c r="I119" s="170">
        <v>0</v>
      </c>
      <c r="J119" s="170">
        <v>0</v>
      </c>
      <c r="K119" s="170">
        <v>0</v>
      </c>
      <c r="L119" s="170">
        <v>0</v>
      </c>
      <c r="M119" s="170">
        <v>0</v>
      </c>
      <c r="N119" s="170">
        <v>0</v>
      </c>
      <c r="O119" s="170">
        <v>0</v>
      </c>
      <c r="Q119" s="170">
        <f t="shared" ref="Q119:Q130" si="29">SUM(D119:O119)</f>
        <v>55910719.613756679</v>
      </c>
    </row>
    <row r="120" spans="3:17" outlineLevel="1">
      <c r="C120" s="682">
        <v>45689</v>
      </c>
      <c r="D120" s="170">
        <v>8115564.7930239998</v>
      </c>
      <c r="E120" s="170">
        <v>48836899.95674257</v>
      </c>
      <c r="F120" s="170">
        <v>0</v>
      </c>
      <c r="G120" s="170">
        <v>18706.458473333332</v>
      </c>
      <c r="H120" s="170">
        <v>0</v>
      </c>
      <c r="I120" s="170">
        <v>0</v>
      </c>
      <c r="J120" s="170">
        <v>0</v>
      </c>
      <c r="K120" s="170">
        <v>0</v>
      </c>
      <c r="L120" s="170">
        <v>0</v>
      </c>
      <c r="M120" s="170">
        <v>0</v>
      </c>
      <c r="N120" s="170">
        <v>0</v>
      </c>
      <c r="O120" s="170">
        <v>0</v>
      </c>
      <c r="Q120" s="170">
        <f t="shared" si="29"/>
        <v>56971171.208239906</v>
      </c>
    </row>
    <row r="121" spans="3:17" outlineLevel="1">
      <c r="C121" s="682">
        <v>45717</v>
      </c>
      <c r="D121" s="170">
        <v>8173927.7696519997</v>
      </c>
      <c r="E121" s="170">
        <v>49836874.785605989</v>
      </c>
      <c r="F121" s="170">
        <v>0</v>
      </c>
      <c r="G121" s="170">
        <v>21044.765782499999</v>
      </c>
      <c r="H121" s="170">
        <v>0</v>
      </c>
      <c r="I121" s="170">
        <v>0</v>
      </c>
      <c r="J121" s="170">
        <v>0</v>
      </c>
      <c r="K121" s="170">
        <v>0</v>
      </c>
      <c r="L121" s="170">
        <v>0</v>
      </c>
      <c r="M121" s="170">
        <v>0</v>
      </c>
      <c r="N121" s="170">
        <v>0</v>
      </c>
      <c r="O121" s="170">
        <v>0</v>
      </c>
      <c r="Q121" s="170">
        <f t="shared" si="29"/>
        <v>58031847.321040489</v>
      </c>
    </row>
    <row r="122" spans="3:17" outlineLevel="1">
      <c r="C122" s="682">
        <v>45748</v>
      </c>
      <c r="D122" s="170">
        <v>8232290.7462799996</v>
      </c>
      <c r="E122" s="170">
        <v>50837074.132786751</v>
      </c>
      <c r="F122" s="170">
        <v>0</v>
      </c>
      <c r="G122" s="170">
        <v>23383.073091666665</v>
      </c>
      <c r="H122" s="170">
        <v>0</v>
      </c>
      <c r="I122" s="170">
        <v>0</v>
      </c>
      <c r="J122" s="170">
        <v>0</v>
      </c>
      <c r="K122" s="170">
        <v>0</v>
      </c>
      <c r="L122" s="170">
        <v>0</v>
      </c>
      <c r="M122" s="170">
        <v>0</v>
      </c>
      <c r="N122" s="170">
        <v>0</v>
      </c>
      <c r="O122" s="170">
        <v>0</v>
      </c>
      <c r="Q122" s="170">
        <f t="shared" si="29"/>
        <v>59092747.952158414</v>
      </c>
    </row>
    <row r="123" spans="3:17" outlineLevel="1">
      <c r="C123" s="682">
        <v>45778</v>
      </c>
      <c r="D123" s="170">
        <v>8290653.7229079995</v>
      </c>
      <c r="E123" s="170">
        <v>51837595.156335652</v>
      </c>
      <c r="F123" s="170">
        <v>0</v>
      </c>
      <c r="G123" s="170">
        <v>25721.380400833332</v>
      </c>
      <c r="H123" s="170">
        <v>0</v>
      </c>
      <c r="I123" s="170">
        <v>0</v>
      </c>
      <c r="J123" s="170">
        <v>0</v>
      </c>
      <c r="K123" s="170">
        <v>0</v>
      </c>
      <c r="L123" s="170">
        <v>0</v>
      </c>
      <c r="M123" s="170">
        <v>0</v>
      </c>
      <c r="N123" s="170">
        <v>0</v>
      </c>
      <c r="O123" s="170">
        <v>0</v>
      </c>
      <c r="Q123" s="170">
        <f t="shared" si="29"/>
        <v>60153970.259644486</v>
      </c>
    </row>
    <row r="124" spans="3:17" outlineLevel="1">
      <c r="C124" s="682">
        <v>45809</v>
      </c>
      <c r="D124" s="170">
        <v>8349016.6995359994</v>
      </c>
      <c r="E124" s="170">
        <v>52838434.267102703</v>
      </c>
      <c r="F124" s="170">
        <v>2410.8333333333335</v>
      </c>
      <c r="G124" s="170">
        <v>28059.687709999998</v>
      </c>
      <c r="H124" s="170">
        <v>0</v>
      </c>
      <c r="I124" s="170">
        <v>0</v>
      </c>
      <c r="J124" s="170">
        <v>0</v>
      </c>
      <c r="K124" s="170">
        <v>0</v>
      </c>
      <c r="L124" s="170">
        <v>0</v>
      </c>
      <c r="M124" s="170">
        <v>0</v>
      </c>
      <c r="N124" s="170">
        <v>0</v>
      </c>
      <c r="O124" s="170">
        <v>0</v>
      </c>
      <c r="Q124" s="170">
        <f t="shared" si="29"/>
        <v>61217921.487682037</v>
      </c>
    </row>
    <row r="125" spans="3:17" outlineLevel="1">
      <c r="C125" s="682">
        <v>45839</v>
      </c>
      <c r="D125" s="170">
        <v>8407379.6761639994</v>
      </c>
      <c r="E125" s="170">
        <v>53839497.896187112</v>
      </c>
      <c r="F125" s="170">
        <v>4821.666666666667</v>
      </c>
      <c r="G125" s="170">
        <v>30397.995019166665</v>
      </c>
      <c r="H125" s="170">
        <v>0</v>
      </c>
      <c r="I125" s="170">
        <v>0</v>
      </c>
      <c r="J125" s="170">
        <v>0</v>
      </c>
      <c r="K125" s="170">
        <v>0</v>
      </c>
      <c r="L125" s="170">
        <v>0</v>
      </c>
      <c r="M125" s="170">
        <v>0</v>
      </c>
      <c r="N125" s="170">
        <v>0</v>
      </c>
      <c r="O125" s="170">
        <v>0</v>
      </c>
      <c r="Q125" s="170">
        <f t="shared" si="29"/>
        <v>62282097.234036945</v>
      </c>
    </row>
    <row r="126" spans="3:17" outlineLevel="1">
      <c r="C126" s="682">
        <v>45870</v>
      </c>
      <c r="D126" s="170">
        <v>8465742.6527919993</v>
      </c>
      <c r="E126" s="170">
        <v>54840561.525271513</v>
      </c>
      <c r="F126" s="170">
        <v>7232.5</v>
      </c>
      <c r="G126" s="170">
        <v>32736.302328333331</v>
      </c>
      <c r="H126" s="170">
        <v>0</v>
      </c>
      <c r="I126" s="170">
        <v>0</v>
      </c>
      <c r="J126" s="170">
        <v>0</v>
      </c>
      <c r="K126" s="170">
        <v>0</v>
      </c>
      <c r="L126" s="170">
        <v>0</v>
      </c>
      <c r="M126" s="170">
        <v>0</v>
      </c>
      <c r="N126" s="170">
        <v>0</v>
      </c>
      <c r="O126" s="170">
        <v>0</v>
      </c>
      <c r="Q126" s="170">
        <f t="shared" si="29"/>
        <v>63346272.980391845</v>
      </c>
    </row>
    <row r="127" spans="3:17" outlineLevel="1">
      <c r="C127" s="682">
        <v>45901</v>
      </c>
      <c r="D127" s="170">
        <v>8524105.6294199992</v>
      </c>
      <c r="E127" s="170">
        <v>55841899.435025163</v>
      </c>
      <c r="F127" s="170">
        <v>9643.3333333333339</v>
      </c>
      <c r="G127" s="170">
        <v>35074.609637499998</v>
      </c>
      <c r="H127" s="170">
        <v>0</v>
      </c>
      <c r="I127" s="170">
        <v>0</v>
      </c>
      <c r="J127" s="170">
        <v>0</v>
      </c>
      <c r="K127" s="170">
        <v>0</v>
      </c>
      <c r="L127" s="170">
        <v>0</v>
      </c>
      <c r="M127" s="170">
        <v>0</v>
      </c>
      <c r="N127" s="170">
        <v>0</v>
      </c>
      <c r="O127" s="170">
        <v>0</v>
      </c>
      <c r="Q127" s="170">
        <f t="shared" si="29"/>
        <v>64410723.007415995</v>
      </c>
    </row>
    <row r="128" spans="3:17" outlineLevel="1">
      <c r="C128" s="682">
        <v>45931</v>
      </c>
      <c r="D128" s="170">
        <v>8582468.6060479991</v>
      </c>
      <c r="E128" s="170">
        <v>56843237.344778806</v>
      </c>
      <c r="F128" s="170">
        <v>12054.166666666668</v>
      </c>
      <c r="G128" s="170">
        <v>37412.916946666664</v>
      </c>
      <c r="H128" s="170">
        <v>0</v>
      </c>
      <c r="I128" s="170">
        <v>0</v>
      </c>
      <c r="J128" s="170">
        <v>0</v>
      </c>
      <c r="K128" s="170">
        <v>0</v>
      </c>
      <c r="L128" s="170">
        <v>0</v>
      </c>
      <c r="M128" s="170">
        <v>0</v>
      </c>
      <c r="N128" s="170">
        <v>0</v>
      </c>
      <c r="O128" s="170">
        <v>0</v>
      </c>
      <c r="Q128" s="170">
        <f t="shared" si="29"/>
        <v>65475173.034440137</v>
      </c>
    </row>
    <row r="129" spans="3:17" outlineLevel="1">
      <c r="C129" s="682">
        <v>45962</v>
      </c>
      <c r="D129" s="170">
        <v>8640831.582675999</v>
      </c>
      <c r="E129" s="170">
        <v>57844575.254532456</v>
      </c>
      <c r="F129" s="170">
        <v>14465.000000000002</v>
      </c>
      <c r="G129" s="170">
        <v>39751.224255833331</v>
      </c>
      <c r="H129" s="170">
        <v>0</v>
      </c>
      <c r="I129" s="170">
        <v>0</v>
      </c>
      <c r="J129" s="170">
        <v>0</v>
      </c>
      <c r="K129" s="170">
        <v>0</v>
      </c>
      <c r="L129" s="170">
        <v>0</v>
      </c>
      <c r="M129" s="170">
        <v>0</v>
      </c>
      <c r="N129" s="170">
        <v>0</v>
      </c>
      <c r="O129" s="170">
        <v>0</v>
      </c>
      <c r="Q129" s="170">
        <f t="shared" si="29"/>
        <v>66539623.061464287</v>
      </c>
    </row>
    <row r="130" spans="3:17" outlineLevel="1">
      <c r="C130" s="681">
        <v>45992</v>
      </c>
      <c r="D130" s="208">
        <v>8699194.5593039989</v>
      </c>
      <c r="E130" s="208">
        <v>58845913.164286099</v>
      </c>
      <c r="F130" s="208">
        <v>28975.838554916674</v>
      </c>
      <c r="G130" s="208">
        <v>42089.531564999997</v>
      </c>
      <c r="H130" s="208">
        <v>0</v>
      </c>
      <c r="I130" s="208">
        <v>0</v>
      </c>
      <c r="J130" s="208">
        <v>0</v>
      </c>
      <c r="K130" s="208">
        <v>0</v>
      </c>
      <c r="L130" s="208">
        <v>0</v>
      </c>
      <c r="M130" s="208">
        <v>0</v>
      </c>
      <c r="N130" s="208">
        <v>0</v>
      </c>
      <c r="O130" s="208">
        <v>0</v>
      </c>
      <c r="Q130" s="208">
        <f t="shared" si="29"/>
        <v>67616173.09371002</v>
      </c>
    </row>
    <row r="131" spans="3:17" outlineLevel="1">
      <c r="C131" s="197" t="s">
        <v>994</v>
      </c>
      <c r="D131" s="195">
        <f>AVERAGE(D118:D130)</f>
        <v>8349016.6995360004</v>
      </c>
      <c r="E131" s="195">
        <f>AVERAGE(E118:E130)</f>
        <v>52839898.619768828</v>
      </c>
      <c r="F131" s="195">
        <f>AVERAGE(F118:F130)</f>
        <v>6123.33373499359</v>
      </c>
      <c r="G131" s="195">
        <f>AVERAGE(G118:G130)</f>
        <v>28059.687710000002</v>
      </c>
      <c r="H131" s="195">
        <f t="shared" ref="H131:O131" si="30">AVERAGE(H118:H130)</f>
        <v>0</v>
      </c>
      <c r="I131" s="195">
        <f t="shared" si="30"/>
        <v>0</v>
      </c>
      <c r="J131" s="195">
        <f t="shared" si="30"/>
        <v>0</v>
      </c>
      <c r="K131" s="195">
        <f t="shared" si="30"/>
        <v>0</v>
      </c>
      <c r="L131" s="195">
        <f t="shared" si="30"/>
        <v>0</v>
      </c>
      <c r="M131" s="195">
        <f t="shared" si="30"/>
        <v>0</v>
      </c>
      <c r="N131" s="195">
        <f t="shared" si="30"/>
        <v>0</v>
      </c>
      <c r="O131" s="196">
        <f t="shared" si="30"/>
        <v>0</v>
      </c>
      <c r="Q131" s="721">
        <f>AVERAGE(Q118:Q130)</f>
        <v>61223098.34074983</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AO74"/>
  <sheetViews>
    <sheetView showGridLines="0" topLeftCell="A47" zoomScale="70" zoomScaleNormal="70" zoomScaleSheetLayoutView="100" workbookViewId="0">
      <pane xSplit="2" topLeftCell="O1" activePane="topRight" state="frozen"/>
      <selection activeCell="I78" sqref="I78"/>
      <selection pane="topRight" activeCell="AI73" sqref="AI73"/>
    </sheetView>
  </sheetViews>
  <sheetFormatPr defaultRowHeight="15" outlineLevelRow="1" outlineLevelCol="1"/>
  <cols>
    <col min="1" max="1" width="19.5703125" style="90" customWidth="1"/>
    <col min="2" max="2" width="70.42578125" style="90" customWidth="1"/>
    <col min="3" max="4" width="16.7109375" style="90" hidden="1" customWidth="1" outlineLevel="1"/>
    <col min="5" max="5" width="17.42578125" style="90" hidden="1" customWidth="1" outlineLevel="1"/>
    <col min="6" max="6" width="18.5703125" style="90" hidden="1" customWidth="1" outlineLevel="1"/>
    <col min="7" max="7" width="15.85546875" style="90" hidden="1" customWidth="1" outlineLevel="1"/>
    <col min="8" max="8" width="18.140625" style="90" hidden="1" customWidth="1" outlineLevel="1"/>
    <col min="9" max="9" width="15.7109375" style="90" hidden="1" customWidth="1" outlineLevel="1"/>
    <col min="10" max="10" width="17.140625" style="90" hidden="1" customWidth="1" outlineLevel="1"/>
    <col min="11" max="11" width="16.28515625" style="90" hidden="1" customWidth="1" outlineLevel="1"/>
    <col min="12" max="12" width="16.42578125" style="90" hidden="1" customWidth="1" outlineLevel="1"/>
    <col min="13" max="14" width="16" style="90" hidden="1" customWidth="1" outlineLevel="1"/>
    <col min="15" max="15" width="17.140625" style="90" customWidth="1" collapsed="1"/>
    <col min="16" max="18" width="17.140625" style="90" customWidth="1"/>
    <col min="19" max="19" width="2.42578125" style="90" customWidth="1"/>
    <col min="20" max="21" width="17.140625" style="90" customWidth="1"/>
    <col min="22" max="22" width="2.42578125" style="90" customWidth="1"/>
    <col min="23" max="24" width="16.7109375" style="90" hidden="1" customWidth="1" outlineLevel="1"/>
    <col min="25" max="25" width="17.42578125" style="90" hidden="1" customWidth="1" outlineLevel="1"/>
    <col min="26" max="26" width="18.5703125" style="90" hidden="1" customWidth="1" outlineLevel="1"/>
    <col min="27" max="27" width="15.85546875" style="90" hidden="1" customWidth="1" outlineLevel="1"/>
    <col min="28" max="28" width="18.140625" style="90" hidden="1" customWidth="1" outlineLevel="1"/>
    <col min="29" max="29" width="15.7109375" style="90" hidden="1" customWidth="1" outlineLevel="1"/>
    <col min="30" max="30" width="18.42578125" style="90" hidden="1" customWidth="1" outlineLevel="1"/>
    <col min="31" max="31" width="16.28515625" style="90" hidden="1" customWidth="1" outlineLevel="1"/>
    <col min="32" max="32" width="16.42578125" style="90" hidden="1" customWidth="1" outlineLevel="1"/>
    <col min="33" max="34" width="16" style="90" hidden="1" customWidth="1" outlineLevel="1"/>
    <col min="35" max="35" width="17.140625" style="90" customWidth="1" collapsed="1"/>
    <col min="36" max="37" width="17.140625" style="90" customWidth="1"/>
    <col min="38" max="38" width="2.42578125" style="90" customWidth="1"/>
    <col min="39" max="41" width="17.140625" style="90" customWidth="1"/>
    <col min="42" max="42" width="9.140625" style="90"/>
    <col min="43" max="43" width="14.42578125" style="90" customWidth="1"/>
    <col min="44" max="16384" width="9.140625" style="90"/>
  </cols>
  <sheetData>
    <row r="1" spans="1:41" hidden="1" outlineLevel="1">
      <c r="A1" s="478"/>
      <c r="B1" s="478" t="s">
        <v>563</v>
      </c>
      <c r="C1" s="478"/>
      <c r="D1" s="478"/>
      <c r="E1" s="478"/>
      <c r="F1" s="478"/>
      <c r="G1" s="478"/>
      <c r="H1" s="479" t="s">
        <v>562</v>
      </c>
      <c r="I1" s="479"/>
      <c r="J1" s="478"/>
      <c r="K1" s="478"/>
      <c r="L1" s="478"/>
      <c r="M1" s="478"/>
      <c r="N1" s="478"/>
      <c r="O1" s="480"/>
      <c r="P1" s="481"/>
      <c r="Q1" s="482"/>
      <c r="R1" s="482"/>
      <c r="S1" s="483"/>
      <c r="T1" s="484"/>
      <c r="U1" s="484"/>
      <c r="V1" s="483"/>
      <c r="W1" s="478"/>
      <c r="X1" s="478"/>
      <c r="Y1" s="478"/>
      <c r="Z1" s="478"/>
      <c r="AA1" s="478"/>
      <c r="AB1" s="479"/>
      <c r="AC1" s="479"/>
      <c r="AD1" s="478"/>
      <c r="AE1" s="478"/>
      <c r="AF1" s="478"/>
      <c r="AG1" s="478"/>
      <c r="AH1" s="478"/>
      <c r="AI1" s="480"/>
      <c r="AJ1" s="481"/>
      <c r="AK1" s="482"/>
      <c r="AL1" s="483"/>
      <c r="AM1" s="480"/>
      <c r="AN1" s="480"/>
      <c r="AO1" s="480"/>
    </row>
    <row r="2" spans="1:41" hidden="1" outlineLevel="1">
      <c r="A2" s="315"/>
      <c r="B2" s="315" t="str">
        <f>"For the 12 months ending 12/31/"&amp;A49</f>
        <v>For the 12 months ending 12/31/2023</v>
      </c>
      <c r="C2" s="315"/>
      <c r="D2" s="315"/>
      <c r="E2" s="315"/>
      <c r="F2" s="232" t="s">
        <v>3</v>
      </c>
      <c r="G2" s="232"/>
      <c r="H2" s="232" t="s">
        <v>813</v>
      </c>
      <c r="I2" s="232"/>
      <c r="J2" s="232"/>
      <c r="K2" s="232"/>
      <c r="L2" s="232"/>
      <c r="M2" s="315"/>
      <c r="N2" s="315"/>
      <c r="P2" s="108"/>
      <c r="Q2" s="315"/>
      <c r="R2" s="315"/>
      <c r="S2" s="255"/>
      <c r="T2" s="314"/>
      <c r="U2" s="312"/>
      <c r="V2" s="255"/>
      <c r="W2" s="315"/>
      <c r="X2" s="315"/>
      <c r="Y2" s="315"/>
      <c r="Z2" s="232" t="s">
        <v>3</v>
      </c>
      <c r="AA2" s="232"/>
      <c r="AB2" s="232" t="s">
        <v>813</v>
      </c>
      <c r="AC2" s="232"/>
      <c r="AD2" s="232"/>
      <c r="AE2" s="232"/>
      <c r="AF2" s="232"/>
      <c r="AG2" s="315"/>
      <c r="AH2" s="315"/>
      <c r="AJ2" s="108"/>
      <c r="AK2" s="315"/>
      <c r="AL2" s="255"/>
    </row>
    <row r="3" spans="1:41" hidden="1" outlineLevel="1">
      <c r="A3" s="108"/>
      <c r="B3" s="108"/>
      <c r="C3" s="108"/>
      <c r="D3" s="108"/>
      <c r="E3" s="108"/>
      <c r="F3" s="108"/>
      <c r="G3" s="108"/>
      <c r="H3" s="108"/>
      <c r="I3" s="108"/>
      <c r="O3" s="232"/>
      <c r="P3" s="108"/>
      <c r="Q3" s="108"/>
      <c r="R3" s="108"/>
      <c r="S3" s="255"/>
      <c r="T3" s="255"/>
      <c r="U3" s="255"/>
      <c r="V3" s="255"/>
      <c r="W3" s="108"/>
      <c r="X3" s="108"/>
      <c r="Y3" s="108"/>
      <c r="Z3" s="108"/>
      <c r="AA3" s="108"/>
      <c r="AB3" s="108"/>
      <c r="AC3" s="108"/>
      <c r="AI3" s="232"/>
      <c r="AJ3" s="108"/>
      <c r="AK3" s="108"/>
      <c r="AL3" s="255"/>
    </row>
    <row r="4" spans="1:41" hidden="1" outlineLevel="1">
      <c r="A4" s="309"/>
      <c r="B4" s="309" t="s">
        <v>62</v>
      </c>
      <c r="C4" s="309"/>
      <c r="D4" s="309"/>
      <c r="E4" s="309"/>
      <c r="F4" s="309" t="s">
        <v>63</v>
      </c>
      <c r="G4" s="309"/>
      <c r="H4" s="309" t="s">
        <v>64</v>
      </c>
      <c r="I4" s="309"/>
      <c r="O4" s="245" t="s">
        <v>65</v>
      </c>
      <c r="P4" s="232"/>
      <c r="Q4" s="245"/>
      <c r="R4" s="245"/>
      <c r="S4" s="256"/>
      <c r="T4" s="245"/>
      <c r="U4" s="256"/>
      <c r="V4" s="256"/>
      <c r="W4" s="309"/>
      <c r="X4" s="309"/>
      <c r="Y4" s="309"/>
      <c r="Z4" s="309" t="s">
        <v>63</v>
      </c>
      <c r="AA4" s="309"/>
      <c r="AB4" s="309" t="s">
        <v>64</v>
      </c>
      <c r="AC4" s="309"/>
      <c r="AI4" s="245" t="s">
        <v>65</v>
      </c>
      <c r="AJ4" s="232"/>
      <c r="AK4" s="245"/>
      <c r="AL4" s="256"/>
    </row>
    <row r="5" spans="1:41" ht="15.75" hidden="1" outlineLevel="1">
      <c r="A5" s="108"/>
      <c r="B5" s="108"/>
      <c r="C5" s="108"/>
      <c r="D5" s="108"/>
      <c r="E5" s="108"/>
      <c r="F5" s="288" t="s">
        <v>814</v>
      </c>
      <c r="G5" s="288"/>
      <c r="H5" s="232"/>
      <c r="I5" s="232"/>
      <c r="P5" s="232"/>
      <c r="S5" s="256"/>
      <c r="T5" s="284"/>
      <c r="U5" s="284"/>
      <c r="V5" s="256"/>
      <c r="W5" s="108"/>
      <c r="X5" s="108"/>
      <c r="Y5" s="108"/>
      <c r="Z5" s="288" t="s">
        <v>814</v>
      </c>
      <c r="AA5" s="288"/>
      <c r="AB5" s="232"/>
      <c r="AC5" s="232"/>
      <c r="AJ5" s="232"/>
      <c r="AL5" s="256"/>
    </row>
    <row r="6" spans="1:41" ht="15.75" hidden="1" outlineLevel="1">
      <c r="A6" s="281" t="s">
        <v>8</v>
      </c>
      <c r="B6" s="108"/>
      <c r="C6" s="108"/>
      <c r="D6" s="108"/>
      <c r="E6" s="108"/>
      <c r="F6" s="308" t="s">
        <v>69</v>
      </c>
      <c r="G6" s="308"/>
      <c r="H6" s="307" t="s">
        <v>68</v>
      </c>
      <c r="I6" s="307"/>
      <c r="O6" s="307" t="s">
        <v>16</v>
      </c>
      <c r="P6" s="232"/>
      <c r="S6" s="255"/>
      <c r="T6" s="306"/>
      <c r="U6" s="284"/>
      <c r="V6" s="255"/>
      <c r="W6" s="108"/>
      <c r="X6" s="108"/>
      <c r="Y6" s="108"/>
      <c r="Z6" s="308" t="s">
        <v>69</v>
      </c>
      <c r="AA6" s="308"/>
      <c r="AB6" s="307" t="s">
        <v>68</v>
      </c>
      <c r="AC6" s="307"/>
      <c r="AI6" s="307" t="s">
        <v>16</v>
      </c>
      <c r="AJ6" s="232"/>
      <c r="AL6" s="255"/>
    </row>
    <row r="7" spans="1:41" ht="15.75" hidden="1" outlineLevel="1">
      <c r="A7" s="281" t="s">
        <v>10</v>
      </c>
      <c r="B7" s="280"/>
      <c r="C7" s="280"/>
      <c r="D7" s="280"/>
      <c r="E7" s="280"/>
      <c r="F7" s="232"/>
      <c r="G7" s="232"/>
      <c r="H7" s="232"/>
      <c r="I7" s="232"/>
      <c r="O7" s="232"/>
      <c r="P7" s="232"/>
      <c r="Q7" s="232"/>
      <c r="R7" s="232"/>
      <c r="S7" s="255"/>
      <c r="T7" s="256"/>
      <c r="U7" s="256"/>
      <c r="V7" s="255"/>
      <c r="W7" s="280"/>
      <c r="X7" s="280"/>
      <c r="Y7" s="280"/>
      <c r="Z7" s="232"/>
      <c r="AA7" s="232"/>
      <c r="AB7" s="232"/>
      <c r="AC7" s="232"/>
      <c r="AI7" s="232"/>
      <c r="AJ7" s="232"/>
      <c r="AK7" s="232"/>
      <c r="AL7" s="255"/>
    </row>
    <row r="8" spans="1:41" ht="15.75" hidden="1" outlineLevel="1">
      <c r="A8" s="305"/>
      <c r="B8" s="108"/>
      <c r="C8" s="108"/>
      <c r="D8" s="108"/>
      <c r="E8" s="108"/>
      <c r="F8" s="232"/>
      <c r="G8" s="232"/>
      <c r="H8" s="232"/>
      <c r="I8" s="232"/>
      <c r="O8" s="232"/>
      <c r="P8" s="232"/>
      <c r="Q8" s="232"/>
      <c r="R8" s="232"/>
      <c r="S8" s="255"/>
      <c r="T8" s="256"/>
      <c r="U8" s="256"/>
      <c r="V8" s="255"/>
      <c r="W8" s="108"/>
      <c r="X8" s="108"/>
      <c r="Y8" s="108"/>
      <c r="Z8" s="232"/>
      <c r="AA8" s="232"/>
      <c r="AB8" s="232"/>
      <c r="AC8" s="232"/>
      <c r="AI8" s="232"/>
      <c r="AJ8" s="232"/>
      <c r="AK8" s="232"/>
      <c r="AL8" s="255"/>
    </row>
    <row r="9" spans="1:41" hidden="1" outlineLevel="1">
      <c r="A9" s="298">
        <v>1</v>
      </c>
      <c r="B9" s="108" t="s">
        <v>558</v>
      </c>
      <c r="C9" s="108"/>
      <c r="D9" s="108"/>
      <c r="E9" s="108"/>
      <c r="F9" s="291" t="s">
        <v>815</v>
      </c>
      <c r="G9" s="291"/>
      <c r="H9" s="485">
        <v>7550330894</v>
      </c>
      <c r="I9" s="232"/>
      <c r="P9" s="232"/>
      <c r="Q9" s="232"/>
      <c r="R9" s="232"/>
      <c r="S9" s="255"/>
      <c r="T9" s="256"/>
      <c r="U9" s="256"/>
      <c r="V9" s="255"/>
      <c r="W9" s="108"/>
      <c r="X9" s="108"/>
      <c r="Y9" s="108"/>
      <c r="Z9" s="291" t="s">
        <v>815</v>
      </c>
      <c r="AA9" s="291"/>
      <c r="AB9" s="635">
        <v>7491172801</v>
      </c>
      <c r="AC9" s="232"/>
      <c r="AJ9" s="232"/>
      <c r="AK9" s="232"/>
      <c r="AL9" s="255"/>
    </row>
    <row r="10" spans="1:41" hidden="1" outlineLevel="1">
      <c r="A10" s="298" t="s">
        <v>141</v>
      </c>
      <c r="B10" s="108" t="s">
        <v>675</v>
      </c>
      <c r="C10" s="108"/>
      <c r="D10" s="108"/>
      <c r="E10" s="108"/>
      <c r="F10" s="291" t="s">
        <v>863</v>
      </c>
      <c r="G10" s="291"/>
      <c r="H10" s="486">
        <v>2172630487.5333333</v>
      </c>
      <c r="I10" s="302"/>
      <c r="P10" s="232"/>
      <c r="Q10" s="232"/>
      <c r="R10" s="232"/>
      <c r="S10" s="255"/>
      <c r="T10" s="256"/>
      <c r="U10" s="256"/>
      <c r="V10" s="255"/>
      <c r="W10" s="108"/>
      <c r="X10" s="108"/>
      <c r="Y10" s="108"/>
      <c r="Z10" s="291" t="s">
        <v>863</v>
      </c>
      <c r="AA10" s="291"/>
      <c r="AB10" s="636">
        <v>2158420840</v>
      </c>
      <c r="AC10" s="302"/>
      <c r="AJ10" s="232"/>
      <c r="AK10" s="232"/>
      <c r="AL10" s="255"/>
    </row>
    <row r="11" spans="1:41" hidden="1" outlineLevel="1">
      <c r="A11" s="298">
        <v>2</v>
      </c>
      <c r="B11" s="108" t="s">
        <v>556</v>
      </c>
      <c r="C11" s="108"/>
      <c r="D11" s="108"/>
      <c r="E11" s="108"/>
      <c r="F11" s="291" t="s">
        <v>673</v>
      </c>
      <c r="G11" s="291"/>
      <c r="H11" s="300">
        <f>H9-H10</f>
        <v>5377700406.4666672</v>
      </c>
      <c r="I11" s="304"/>
      <c r="P11" s="232"/>
      <c r="Q11" s="232"/>
      <c r="R11" s="232"/>
      <c r="S11" s="255"/>
      <c r="T11" s="256"/>
      <c r="U11" s="256"/>
      <c r="V11" s="255"/>
      <c r="W11" s="108"/>
      <c r="X11" s="108"/>
      <c r="Y11" s="108"/>
      <c r="Z11" s="291" t="s">
        <v>673</v>
      </c>
      <c r="AA11" s="291"/>
      <c r="AB11" s="300">
        <f>AB9-AB10</f>
        <v>5332751961</v>
      </c>
      <c r="AC11" s="304"/>
      <c r="AJ11" s="232"/>
      <c r="AK11" s="232"/>
      <c r="AL11" s="255"/>
    </row>
    <row r="12" spans="1:41" hidden="1" outlineLevel="1">
      <c r="A12" s="298"/>
      <c r="F12" s="291"/>
      <c r="G12" s="291"/>
      <c r="P12" s="232"/>
      <c r="Q12" s="232"/>
      <c r="R12" s="232"/>
      <c r="S12" s="255"/>
      <c r="T12" s="256"/>
      <c r="U12" s="256"/>
      <c r="V12" s="255"/>
      <c r="Z12" s="291"/>
      <c r="AA12" s="291"/>
      <c r="AJ12" s="232"/>
      <c r="AK12" s="232"/>
      <c r="AL12" s="255"/>
    </row>
    <row r="13" spans="1:41" hidden="1" outlineLevel="1">
      <c r="A13" s="298"/>
      <c r="B13" s="108" t="s">
        <v>672</v>
      </c>
      <c r="C13" s="108"/>
      <c r="D13" s="108"/>
      <c r="E13" s="108"/>
      <c r="F13" s="291"/>
      <c r="G13" s="291"/>
      <c r="H13" s="232"/>
      <c r="I13" s="232"/>
      <c r="O13" s="232"/>
      <c r="P13" s="232"/>
      <c r="Q13" s="232"/>
      <c r="R13" s="232"/>
      <c r="S13" s="256"/>
      <c r="T13" s="256"/>
      <c r="U13" s="256"/>
      <c r="V13" s="256"/>
      <c r="W13" s="108"/>
      <c r="X13" s="108"/>
      <c r="Y13" s="108"/>
      <c r="Z13" s="291"/>
      <c r="AA13" s="291"/>
      <c r="AB13" s="232"/>
      <c r="AC13" s="232"/>
      <c r="AI13" s="232"/>
      <c r="AJ13" s="232"/>
      <c r="AK13" s="232"/>
      <c r="AL13" s="256"/>
    </row>
    <row r="14" spans="1:41" hidden="1" outlineLevel="1">
      <c r="A14" s="298">
        <v>3</v>
      </c>
      <c r="B14" s="108" t="s">
        <v>553</v>
      </c>
      <c r="C14" s="108"/>
      <c r="D14" s="108"/>
      <c r="E14" s="108"/>
      <c r="F14" s="291" t="s">
        <v>819</v>
      </c>
      <c r="G14" s="291"/>
      <c r="H14" s="485">
        <v>139828266.26049617</v>
      </c>
      <c r="I14" s="232"/>
      <c r="P14" s="232"/>
      <c r="Q14" s="232"/>
      <c r="R14" s="232"/>
      <c r="S14" s="256"/>
      <c r="T14" s="256"/>
      <c r="U14" s="256"/>
      <c r="V14" s="256"/>
      <c r="W14" s="108"/>
      <c r="X14" s="108"/>
      <c r="Y14" s="108"/>
      <c r="Z14" s="291" t="s">
        <v>819</v>
      </c>
      <c r="AA14" s="291"/>
      <c r="AB14" s="635">
        <v>150395807.11337537</v>
      </c>
      <c r="AC14" s="232"/>
      <c r="AJ14" s="232"/>
      <c r="AK14" s="232"/>
      <c r="AL14" s="256"/>
    </row>
    <row r="15" spans="1:41" hidden="1" outlineLevel="1">
      <c r="A15" s="298" t="s">
        <v>551</v>
      </c>
      <c r="B15" s="108" t="s">
        <v>461</v>
      </c>
      <c r="C15" s="108"/>
      <c r="D15" s="108"/>
      <c r="E15" s="108"/>
      <c r="F15" s="291" t="s">
        <v>864</v>
      </c>
      <c r="G15" s="291"/>
      <c r="H15" s="485">
        <v>99739906</v>
      </c>
      <c r="I15" s="232"/>
      <c r="P15" s="232"/>
      <c r="Q15" s="232"/>
      <c r="R15" s="232"/>
      <c r="S15" s="256"/>
      <c r="T15" s="256"/>
      <c r="U15" s="256"/>
      <c r="V15" s="256"/>
      <c r="W15" s="108"/>
      <c r="X15" s="108"/>
      <c r="Y15" s="108"/>
      <c r="Z15" s="291" t="s">
        <v>864</v>
      </c>
      <c r="AA15" s="291"/>
      <c r="AB15" s="635">
        <v>105180277</v>
      </c>
      <c r="AC15" s="232"/>
      <c r="AJ15" s="232"/>
      <c r="AK15" s="232"/>
      <c r="AL15" s="256"/>
    </row>
    <row r="16" spans="1:41" hidden="1" outlineLevel="1">
      <c r="A16" s="298" t="s">
        <v>670</v>
      </c>
      <c r="B16" s="108" t="s">
        <v>865</v>
      </c>
      <c r="C16" s="108"/>
      <c r="D16" s="108"/>
      <c r="E16" s="108"/>
      <c r="F16" s="291" t="s">
        <v>864</v>
      </c>
      <c r="G16" s="291"/>
      <c r="H16" s="485">
        <v>3998599</v>
      </c>
      <c r="I16" s="232"/>
      <c r="P16" s="232"/>
      <c r="Q16" s="232"/>
      <c r="R16" s="232"/>
      <c r="S16" s="256"/>
      <c r="T16" s="256"/>
      <c r="U16" s="256"/>
      <c r="V16" s="256"/>
      <c r="W16" s="108"/>
      <c r="X16" s="108"/>
      <c r="Y16" s="108"/>
      <c r="Z16" s="291" t="s">
        <v>864</v>
      </c>
      <c r="AA16" s="291"/>
      <c r="AB16" s="635">
        <v>8405149</v>
      </c>
      <c r="AC16" s="232"/>
      <c r="AJ16" s="232"/>
      <c r="AK16" s="232"/>
      <c r="AL16" s="256"/>
    </row>
    <row r="17" spans="1:38" hidden="1" outlineLevel="1">
      <c r="A17" s="298" t="s">
        <v>548</v>
      </c>
      <c r="B17" s="108" t="s">
        <v>667</v>
      </c>
      <c r="C17" s="108"/>
      <c r="D17" s="108"/>
      <c r="E17" s="108"/>
      <c r="F17" s="291" t="s">
        <v>866</v>
      </c>
      <c r="G17" s="291"/>
      <c r="H17" s="485">
        <v>0</v>
      </c>
      <c r="I17" s="232"/>
      <c r="P17" s="232"/>
      <c r="Q17" s="232"/>
      <c r="R17" s="232"/>
      <c r="S17" s="256"/>
      <c r="T17" s="256"/>
      <c r="U17" s="256"/>
      <c r="V17" s="256"/>
      <c r="W17" s="108"/>
      <c r="X17" s="108"/>
      <c r="Y17" s="108"/>
      <c r="Z17" s="291" t="s">
        <v>866</v>
      </c>
      <c r="AA17" s="291"/>
      <c r="AB17" s="635">
        <v>0</v>
      </c>
      <c r="AC17" s="232"/>
      <c r="AJ17" s="232"/>
      <c r="AK17" s="232"/>
      <c r="AL17" s="256"/>
    </row>
    <row r="18" spans="1:38" hidden="1" outlineLevel="1">
      <c r="A18" s="298" t="s">
        <v>665</v>
      </c>
      <c r="B18" s="108" t="s">
        <v>664</v>
      </c>
      <c r="C18" s="108"/>
      <c r="D18" s="108"/>
      <c r="E18" s="108"/>
      <c r="F18" s="291" t="s">
        <v>867</v>
      </c>
      <c r="G18" s="291"/>
      <c r="H18" s="486">
        <v>0</v>
      </c>
      <c r="I18" s="302"/>
      <c r="P18" s="232"/>
      <c r="Q18" s="232"/>
      <c r="R18" s="232"/>
      <c r="S18" s="256"/>
      <c r="T18" s="256"/>
      <c r="U18" s="256"/>
      <c r="V18" s="256"/>
      <c r="W18" s="108"/>
      <c r="X18" s="108"/>
      <c r="Y18" s="108"/>
      <c r="Z18" s="291" t="s">
        <v>867</v>
      </c>
      <c r="AA18" s="291"/>
      <c r="AB18" s="636">
        <v>0</v>
      </c>
      <c r="AC18" s="302"/>
      <c r="AJ18" s="232"/>
      <c r="AK18" s="232"/>
      <c r="AL18" s="256"/>
    </row>
    <row r="19" spans="1:38" hidden="1" outlineLevel="1">
      <c r="A19" s="298" t="s">
        <v>662</v>
      </c>
      <c r="B19" s="108" t="s">
        <v>661</v>
      </c>
      <c r="C19" s="108"/>
      <c r="D19" s="108"/>
      <c r="E19" s="108"/>
      <c r="F19" s="291" t="s">
        <v>868</v>
      </c>
      <c r="G19" s="291"/>
      <c r="H19" s="300">
        <f>H15-(H16+H17+H18)</f>
        <v>95741307</v>
      </c>
      <c r="I19" s="232"/>
      <c r="P19" s="232"/>
      <c r="Q19" s="232"/>
      <c r="R19" s="232"/>
      <c r="S19" s="256"/>
      <c r="T19" s="256"/>
      <c r="U19" s="256"/>
      <c r="V19" s="256"/>
      <c r="W19" s="108"/>
      <c r="X19" s="108"/>
      <c r="Y19" s="108"/>
      <c r="Z19" s="291" t="s">
        <v>868</v>
      </c>
      <c r="AA19" s="291"/>
      <c r="AB19" s="300">
        <f>AB15-(AB16+AB17+AB18)</f>
        <v>96775128</v>
      </c>
      <c r="AC19" s="232"/>
      <c r="AJ19" s="232"/>
      <c r="AK19" s="232"/>
      <c r="AL19" s="256"/>
    </row>
    <row r="20" spans="1:38" hidden="1" outlineLevel="1">
      <c r="A20" s="298"/>
      <c r="B20" s="108"/>
      <c r="C20" s="108"/>
      <c r="D20" s="108"/>
      <c r="E20" s="108"/>
      <c r="F20" s="291"/>
      <c r="G20" s="291"/>
      <c r="H20" s="232"/>
      <c r="I20" s="232"/>
      <c r="P20" s="232"/>
      <c r="Q20" s="232"/>
      <c r="R20" s="232"/>
      <c r="S20" s="256"/>
      <c r="T20" s="256"/>
      <c r="U20" s="256"/>
      <c r="V20" s="256"/>
      <c r="W20" s="108"/>
      <c r="X20" s="108"/>
      <c r="Y20" s="108"/>
      <c r="Z20" s="291"/>
      <c r="AA20" s="291"/>
      <c r="AB20" s="232"/>
      <c r="AC20" s="232"/>
      <c r="AJ20" s="232"/>
      <c r="AK20" s="232"/>
      <c r="AL20" s="256"/>
    </row>
    <row r="21" spans="1:38" ht="15.75" hidden="1" outlineLevel="1">
      <c r="A21" s="298">
        <v>4</v>
      </c>
      <c r="B21" s="280" t="s">
        <v>659</v>
      </c>
      <c r="C21" s="280"/>
      <c r="D21" s="280"/>
      <c r="E21" s="108"/>
      <c r="F21" s="291" t="s">
        <v>658</v>
      </c>
      <c r="G21" s="291"/>
      <c r="H21" s="231">
        <f>IF(H19=0,0,H19/H10)</f>
        <v>4.4066999680511067E-2</v>
      </c>
      <c r="I21" s="231"/>
      <c r="O21" s="301">
        <f>H21</f>
        <v>4.4066999680511067E-2</v>
      </c>
      <c r="P21" s="232"/>
      <c r="Q21" s="232"/>
      <c r="R21" s="232"/>
      <c r="S21" s="256"/>
      <c r="T21" s="256"/>
      <c r="U21" s="256"/>
      <c r="V21" s="256"/>
      <c r="W21" s="280"/>
      <c r="X21" s="280"/>
      <c r="Y21" s="108"/>
      <c r="Z21" s="291" t="s">
        <v>658</v>
      </c>
      <c r="AA21" s="291"/>
      <c r="AB21" s="231">
        <f>IF(AB19=0,0,AB19/AB10)</f>
        <v>4.4836079325475751E-2</v>
      </c>
      <c r="AC21" s="231"/>
      <c r="AI21" s="301">
        <f>AB21</f>
        <v>4.4836079325475751E-2</v>
      </c>
      <c r="AJ21" s="232"/>
      <c r="AK21" s="232"/>
      <c r="AL21" s="256"/>
    </row>
    <row r="22" spans="1:38" hidden="1" outlineLevel="1">
      <c r="A22" s="298"/>
      <c r="B22" s="108"/>
      <c r="C22" s="108"/>
      <c r="D22" s="108"/>
      <c r="E22" s="108"/>
      <c r="F22" s="291"/>
      <c r="G22" s="291"/>
      <c r="H22" s="232"/>
      <c r="I22" s="232"/>
      <c r="P22" s="232"/>
      <c r="Q22" s="232"/>
      <c r="R22" s="232"/>
      <c r="S22" s="256"/>
      <c r="T22" s="256"/>
      <c r="U22" s="256"/>
      <c r="V22" s="256"/>
      <c r="W22" s="108"/>
      <c r="X22" s="108"/>
      <c r="Y22" s="108"/>
      <c r="Z22" s="291"/>
      <c r="AA22" s="291"/>
      <c r="AB22" s="232"/>
      <c r="AC22" s="232"/>
      <c r="AJ22" s="232"/>
      <c r="AK22" s="232"/>
      <c r="AL22" s="256"/>
    </row>
    <row r="23" spans="1:38" hidden="1" outlineLevel="1">
      <c r="A23" s="298"/>
      <c r="B23" s="108"/>
      <c r="C23" s="108"/>
      <c r="D23" s="108"/>
      <c r="E23" s="108"/>
      <c r="F23" s="291"/>
      <c r="G23" s="291"/>
      <c r="H23" s="232"/>
      <c r="I23" s="232"/>
      <c r="P23" s="232"/>
      <c r="Q23" s="232"/>
      <c r="R23" s="232"/>
      <c r="S23" s="256"/>
      <c r="T23" s="256"/>
      <c r="U23" s="256"/>
      <c r="V23" s="256"/>
      <c r="W23" s="108"/>
      <c r="X23" s="108"/>
      <c r="Y23" s="108"/>
      <c r="Z23" s="291"/>
      <c r="AA23" s="291"/>
      <c r="AB23" s="232"/>
      <c r="AC23" s="232"/>
      <c r="AJ23" s="232"/>
      <c r="AK23" s="232"/>
      <c r="AL23" s="256"/>
    </row>
    <row r="24" spans="1:38" ht="15.75" hidden="1" outlineLevel="1">
      <c r="A24" s="298"/>
      <c r="B24" s="108" t="s">
        <v>657</v>
      </c>
      <c r="C24" s="108"/>
      <c r="D24" s="108"/>
      <c r="E24" s="108"/>
      <c r="F24" s="291"/>
      <c r="G24" s="291"/>
      <c r="H24" s="234"/>
      <c r="I24" s="234"/>
      <c r="O24" s="293"/>
      <c r="P24" s="232"/>
      <c r="Q24" s="231"/>
      <c r="R24" s="231"/>
      <c r="S24" s="270"/>
      <c r="T24" s="297"/>
      <c r="U24" s="256"/>
      <c r="V24" s="270"/>
      <c r="W24" s="108"/>
      <c r="X24" s="108"/>
      <c r="Y24" s="108"/>
      <c r="Z24" s="291"/>
      <c r="AA24" s="291"/>
      <c r="AB24" s="234"/>
      <c r="AC24" s="234"/>
      <c r="AI24" s="293"/>
      <c r="AJ24" s="232"/>
      <c r="AK24" s="231"/>
      <c r="AL24" s="270"/>
    </row>
    <row r="25" spans="1:38" ht="15.75" hidden="1" outlineLevel="1">
      <c r="A25" s="298" t="s">
        <v>656</v>
      </c>
      <c r="B25" s="108" t="s">
        <v>655</v>
      </c>
      <c r="C25" s="108"/>
      <c r="D25" s="108"/>
      <c r="E25" s="108"/>
      <c r="F25" s="291" t="s">
        <v>869</v>
      </c>
      <c r="G25" s="291"/>
      <c r="H25" s="300">
        <f>H14-H19-H16</f>
        <v>40088360.260496169</v>
      </c>
      <c r="I25" s="234"/>
      <c r="O25" s="293"/>
      <c r="P25" s="232"/>
      <c r="Q25" s="231"/>
      <c r="R25" s="231"/>
      <c r="S25" s="270"/>
      <c r="T25" s="297"/>
      <c r="U25" s="256"/>
      <c r="V25" s="270"/>
      <c r="W25" s="108"/>
      <c r="X25" s="108"/>
      <c r="Y25" s="108"/>
      <c r="Z25" s="291" t="s">
        <v>869</v>
      </c>
      <c r="AA25" s="291"/>
      <c r="AB25" s="300">
        <f>AB14-AB16-AB19</f>
        <v>45215530.113375366</v>
      </c>
      <c r="AC25" s="234"/>
      <c r="AI25" s="293"/>
      <c r="AJ25" s="232"/>
      <c r="AK25" s="231"/>
      <c r="AL25" s="270"/>
    </row>
    <row r="26" spans="1:38" ht="15.75" hidden="1" outlineLevel="1">
      <c r="A26" s="298" t="s">
        <v>653</v>
      </c>
      <c r="B26" s="108" t="s">
        <v>652</v>
      </c>
      <c r="C26" s="108"/>
      <c r="D26" s="108"/>
      <c r="E26" s="108"/>
      <c r="F26" s="291" t="s">
        <v>651</v>
      </c>
      <c r="G26" s="291"/>
      <c r="H26" s="234">
        <f>IF(H25=0,0,H25/H9)</f>
        <v>5.3094838919381764E-3</v>
      </c>
      <c r="I26" s="234"/>
      <c r="O26" s="293">
        <f>H26</f>
        <v>5.3094838919381764E-3</v>
      </c>
      <c r="P26" s="232"/>
      <c r="Q26" s="231"/>
      <c r="R26" s="231"/>
      <c r="S26" s="270"/>
      <c r="T26" s="297"/>
      <c r="U26" s="256"/>
      <c r="V26" s="270"/>
      <c r="W26" s="108"/>
      <c r="X26" s="108"/>
      <c r="Y26" s="108"/>
      <c r="Z26" s="291" t="s">
        <v>651</v>
      </c>
      <c r="AA26" s="291"/>
      <c r="AB26" s="234">
        <f>IF(AB25=0,0,AB25/AB9)</f>
        <v>6.0358412914116094E-3</v>
      </c>
      <c r="AC26" s="234"/>
      <c r="AI26" s="293">
        <f>AB26</f>
        <v>6.0358412914116094E-3</v>
      </c>
      <c r="AJ26" s="232"/>
      <c r="AK26" s="231"/>
      <c r="AL26" s="270"/>
    </row>
    <row r="27" spans="1:38" ht="15.75" hidden="1" outlineLevel="1">
      <c r="A27" s="298"/>
      <c r="B27" s="108"/>
      <c r="C27" s="108"/>
      <c r="D27" s="108"/>
      <c r="E27" s="108"/>
      <c r="F27" s="291"/>
      <c r="G27" s="291"/>
      <c r="H27" s="234"/>
      <c r="I27" s="234"/>
      <c r="O27" s="293"/>
      <c r="P27" s="232"/>
      <c r="Q27" s="231"/>
      <c r="R27" s="231"/>
      <c r="S27" s="270"/>
      <c r="T27" s="297"/>
      <c r="U27" s="256"/>
      <c r="V27" s="270"/>
      <c r="W27" s="108"/>
      <c r="X27" s="108"/>
      <c r="Y27" s="108"/>
      <c r="Z27" s="291"/>
      <c r="AA27" s="291"/>
      <c r="AB27" s="234"/>
      <c r="AC27" s="234"/>
      <c r="AI27" s="293"/>
      <c r="AJ27" s="232"/>
      <c r="AK27" s="231"/>
      <c r="AL27" s="270"/>
    </row>
    <row r="28" spans="1:38" ht="30.75" hidden="1" outlineLevel="1">
      <c r="A28" s="236"/>
      <c r="B28" s="799" t="s">
        <v>1080</v>
      </c>
      <c r="C28" s="108"/>
      <c r="D28" s="108"/>
      <c r="E28" s="108"/>
      <c r="F28" s="235"/>
      <c r="G28" s="235"/>
      <c r="H28" s="232"/>
      <c r="I28" s="232"/>
      <c r="O28" s="232"/>
      <c r="P28" s="232"/>
      <c r="Q28" s="231"/>
      <c r="R28" s="231"/>
      <c r="S28" s="270"/>
      <c r="T28" s="297"/>
      <c r="U28" s="256"/>
      <c r="V28" s="270"/>
      <c r="W28" s="108"/>
      <c r="X28" s="108"/>
      <c r="Y28" s="108"/>
      <c r="Z28" s="235"/>
      <c r="AA28" s="235"/>
      <c r="AB28" s="232"/>
      <c r="AC28" s="232"/>
      <c r="AI28" s="232"/>
      <c r="AJ28" s="232"/>
      <c r="AK28" s="231"/>
      <c r="AL28" s="270"/>
    </row>
    <row r="29" spans="1:38" ht="15.75" hidden="1" outlineLevel="1">
      <c r="A29" s="236" t="s">
        <v>543</v>
      </c>
      <c r="B29" s="108" t="s">
        <v>542</v>
      </c>
      <c r="C29" s="108"/>
      <c r="D29" s="108"/>
      <c r="E29" s="108"/>
      <c r="F29" s="291" t="s">
        <v>822</v>
      </c>
      <c r="G29" s="291"/>
      <c r="H29" s="485">
        <v>23238507</v>
      </c>
      <c r="I29" s="232"/>
      <c r="P29" s="232"/>
      <c r="Q29" s="231"/>
      <c r="R29" s="231"/>
      <c r="S29" s="270"/>
      <c r="T29" s="297"/>
      <c r="U29" s="256"/>
      <c r="V29" s="270"/>
      <c r="W29" s="108"/>
      <c r="X29" s="108"/>
      <c r="Y29" s="108"/>
      <c r="Z29" s="291" t="s">
        <v>822</v>
      </c>
      <c r="AA29" s="291"/>
      <c r="AB29" s="635">
        <v>18747250</v>
      </c>
      <c r="AC29" s="232"/>
      <c r="AJ29" s="232"/>
      <c r="AK29" s="231"/>
      <c r="AL29" s="270"/>
    </row>
    <row r="30" spans="1:38" ht="15.75" hidden="1" outlineLevel="1">
      <c r="A30" s="236" t="s">
        <v>540</v>
      </c>
      <c r="B30" s="108" t="s">
        <v>539</v>
      </c>
      <c r="C30" s="108"/>
      <c r="D30" s="108"/>
      <c r="E30" s="108"/>
      <c r="F30" s="291" t="s">
        <v>538</v>
      </c>
      <c r="G30" s="291"/>
      <c r="H30" s="234">
        <f>IF(H29=0,0,H29/H9)</f>
        <v>3.0778130556459293E-3</v>
      </c>
      <c r="I30" s="234"/>
      <c r="O30" s="293">
        <f>H30</f>
        <v>3.0778130556459293E-3</v>
      </c>
      <c r="P30" s="232"/>
      <c r="Q30" s="231"/>
      <c r="R30" s="231"/>
      <c r="S30" s="270"/>
      <c r="T30" s="297"/>
      <c r="U30" s="256"/>
      <c r="V30" s="270"/>
      <c r="W30" s="108"/>
      <c r="X30" s="108"/>
      <c r="Y30" s="108"/>
      <c r="Z30" s="291" t="s">
        <v>538</v>
      </c>
      <c r="AA30" s="291"/>
      <c r="AB30" s="234">
        <f>IF(AB29=0,0,AB29/AB9)</f>
        <v>2.5025787681065667E-3</v>
      </c>
      <c r="AC30" s="234"/>
      <c r="AI30" s="293">
        <f>AB30</f>
        <v>2.5025787681065667E-3</v>
      </c>
      <c r="AJ30" s="232"/>
      <c r="AK30" s="231"/>
      <c r="AL30" s="270"/>
    </row>
    <row r="31" spans="1:38" ht="15.75" hidden="1" outlineLevel="1">
      <c r="A31" s="298"/>
      <c r="B31" s="108"/>
      <c r="C31" s="108"/>
      <c r="D31" s="108"/>
      <c r="E31" s="108"/>
      <c r="F31" s="291"/>
      <c r="G31" s="291"/>
      <c r="H31" s="234"/>
      <c r="I31" s="234"/>
      <c r="O31" s="293"/>
      <c r="P31" s="232"/>
      <c r="Q31" s="231"/>
      <c r="R31" s="231"/>
      <c r="S31" s="270"/>
      <c r="T31" s="297"/>
      <c r="U31" s="256"/>
      <c r="V31" s="270"/>
      <c r="W31" s="108"/>
      <c r="X31" s="108"/>
      <c r="Y31" s="108"/>
      <c r="Z31" s="291"/>
      <c r="AA31" s="291"/>
      <c r="AB31" s="234"/>
      <c r="AC31" s="234"/>
      <c r="AI31" s="293"/>
      <c r="AJ31" s="232"/>
      <c r="AK31" s="231"/>
      <c r="AL31" s="270"/>
    </row>
    <row r="32" spans="1:38" hidden="1" outlineLevel="1">
      <c r="A32" s="236"/>
      <c r="B32" s="108" t="s">
        <v>537</v>
      </c>
      <c r="C32" s="108"/>
      <c r="D32" s="108"/>
      <c r="E32" s="108"/>
      <c r="F32" s="235"/>
      <c r="G32" s="235"/>
      <c r="H32" s="232"/>
      <c r="I32" s="232"/>
      <c r="O32" s="232"/>
      <c r="P32" s="232"/>
      <c r="Q32" s="232"/>
      <c r="R32" s="232"/>
      <c r="S32" s="256"/>
      <c r="T32" s="232"/>
      <c r="U32" s="256"/>
      <c r="V32" s="256"/>
      <c r="W32" s="108"/>
      <c r="X32" s="108"/>
      <c r="Y32" s="108"/>
      <c r="Z32" s="235"/>
      <c r="AA32" s="235"/>
      <c r="AB32" s="232"/>
      <c r="AC32" s="232"/>
      <c r="AI32" s="232"/>
      <c r="AJ32" s="232"/>
      <c r="AK32" s="232"/>
      <c r="AL32" s="256"/>
    </row>
    <row r="33" spans="1:41" ht="15.75" hidden="1" outlineLevel="1">
      <c r="A33" s="236" t="s">
        <v>536</v>
      </c>
      <c r="B33" s="108" t="s">
        <v>535</v>
      </c>
      <c r="C33" s="108"/>
      <c r="D33" s="108"/>
      <c r="E33" s="108"/>
      <c r="F33" s="291" t="s">
        <v>823</v>
      </c>
      <c r="G33" s="291"/>
      <c r="H33" s="485">
        <v>32177528</v>
      </c>
      <c r="I33" s="232"/>
      <c r="P33" s="232"/>
      <c r="Q33" s="299"/>
      <c r="R33" s="299"/>
      <c r="S33" s="256"/>
      <c r="T33" s="298"/>
      <c r="U33" s="284"/>
      <c r="V33" s="256"/>
      <c r="W33" s="108"/>
      <c r="X33" s="108"/>
      <c r="Y33" s="108"/>
      <c r="Z33" s="291" t="s">
        <v>823</v>
      </c>
      <c r="AA33" s="291"/>
      <c r="AB33" s="635">
        <v>31400215</v>
      </c>
      <c r="AC33" s="232"/>
      <c r="AJ33" s="232"/>
      <c r="AK33" s="299"/>
      <c r="AL33" s="256"/>
    </row>
    <row r="34" spans="1:41" ht="15.75" hidden="1" outlineLevel="1">
      <c r="A34" s="236" t="s">
        <v>533</v>
      </c>
      <c r="B34" s="108" t="s">
        <v>532</v>
      </c>
      <c r="C34" s="108"/>
      <c r="D34" s="108"/>
      <c r="E34" s="108"/>
      <c r="F34" s="291" t="s">
        <v>531</v>
      </c>
      <c r="G34" s="291"/>
      <c r="H34" s="234">
        <f>IF(H33=0,0,H33/H9)</f>
        <v>4.2617374591583032E-3</v>
      </c>
      <c r="I34" s="234"/>
      <c r="O34" s="293">
        <f>H34</f>
        <v>4.2617374591583032E-3</v>
      </c>
      <c r="P34" s="232"/>
      <c r="Q34" s="231"/>
      <c r="R34" s="231"/>
      <c r="S34" s="256"/>
      <c r="T34" s="297"/>
      <c r="U34" s="284"/>
      <c r="V34" s="256"/>
      <c r="W34" s="108"/>
      <c r="X34" s="108"/>
      <c r="Y34" s="108"/>
      <c r="Z34" s="291" t="s">
        <v>531</v>
      </c>
      <c r="AA34" s="291"/>
      <c r="AB34" s="234">
        <f>IF(AB33=0,0,AB33/AB9)</f>
        <v>4.1916287121034467E-3</v>
      </c>
      <c r="AC34" s="234"/>
      <c r="AI34" s="293">
        <f>AB34</f>
        <v>4.1916287121034467E-3</v>
      </c>
      <c r="AJ34" s="232"/>
      <c r="AK34" s="231"/>
      <c r="AL34" s="256"/>
    </row>
    <row r="35" spans="1:41" hidden="1" outlineLevel="1">
      <c r="A35" s="236"/>
      <c r="B35" s="108"/>
      <c r="C35" s="108"/>
      <c r="D35" s="108"/>
      <c r="E35" s="108"/>
      <c r="F35" s="291"/>
      <c r="G35" s="291"/>
      <c r="H35" s="232"/>
      <c r="I35" s="232"/>
      <c r="O35" s="232"/>
      <c r="P35" s="232"/>
      <c r="U35" s="256"/>
      <c r="W35" s="108"/>
      <c r="X35" s="108"/>
      <c r="Y35" s="108"/>
      <c r="Z35" s="291"/>
      <c r="AA35" s="291"/>
      <c r="AB35" s="232"/>
      <c r="AC35" s="232"/>
      <c r="AI35" s="232"/>
      <c r="AJ35" s="232"/>
    </row>
    <row r="36" spans="1:41" ht="15.75" hidden="1" outlineLevel="1">
      <c r="A36" s="290" t="s">
        <v>530</v>
      </c>
      <c r="B36" s="280" t="s">
        <v>650</v>
      </c>
      <c r="C36" s="280"/>
      <c r="D36" s="280"/>
      <c r="E36" s="280"/>
      <c r="F36" s="288" t="s">
        <v>649</v>
      </c>
      <c r="G36" s="288"/>
      <c r="H36" s="139">
        <f>H26+H30+H34</f>
        <v>1.2649034406742409E-2</v>
      </c>
      <c r="I36" s="139"/>
      <c r="O36" s="139">
        <f>O26+O30+O34</f>
        <v>1.2649034406742409E-2</v>
      </c>
      <c r="P36" s="232"/>
      <c r="U36" s="256"/>
      <c r="W36" s="280"/>
      <c r="X36" s="280"/>
      <c r="Y36" s="280"/>
      <c r="Z36" s="288" t="s">
        <v>649</v>
      </c>
      <c r="AA36" s="288"/>
      <c r="AB36" s="139">
        <f>AB26+AB30+AB34</f>
        <v>1.2730048771621623E-2</v>
      </c>
      <c r="AC36" s="139"/>
      <c r="AI36" s="139">
        <f>AI26+AI30+AI34</f>
        <v>1.2730048771621623E-2</v>
      </c>
      <c r="AJ36" s="232"/>
    </row>
    <row r="37" spans="1:41" hidden="1" outlineLevel="1">
      <c r="A37" s="236"/>
      <c r="B37" s="108"/>
      <c r="C37" s="108"/>
      <c r="D37" s="108"/>
      <c r="E37" s="108"/>
      <c r="F37" s="291"/>
      <c r="G37" s="291"/>
      <c r="H37" s="232"/>
      <c r="I37" s="232"/>
      <c r="O37" s="232"/>
      <c r="P37" s="232"/>
      <c r="Q37" s="232"/>
      <c r="R37" s="232"/>
      <c r="S37" s="256"/>
      <c r="T37" s="296"/>
      <c r="U37" s="256"/>
      <c r="V37" s="256"/>
      <c r="W37" s="108"/>
      <c r="X37" s="108"/>
      <c r="Y37" s="108"/>
      <c r="Z37" s="291"/>
      <c r="AA37" s="291"/>
      <c r="AB37" s="232"/>
      <c r="AC37" s="232"/>
      <c r="AI37" s="232"/>
      <c r="AJ37" s="232"/>
      <c r="AK37" s="232"/>
      <c r="AL37" s="256"/>
    </row>
    <row r="38" spans="1:41" hidden="1" outlineLevel="1">
      <c r="A38" s="236"/>
      <c r="B38" s="232" t="s">
        <v>528</v>
      </c>
      <c r="C38" s="232"/>
      <c r="D38" s="232"/>
      <c r="E38" s="232"/>
      <c r="F38" s="291"/>
      <c r="G38" s="291"/>
      <c r="H38" s="232"/>
      <c r="I38" s="232"/>
      <c r="O38" s="232"/>
      <c r="P38" s="295"/>
      <c r="Q38" s="244"/>
      <c r="R38" s="244"/>
      <c r="U38" s="284"/>
      <c r="W38" s="232"/>
      <c r="X38" s="232"/>
      <c r="Y38" s="232"/>
      <c r="Z38" s="291"/>
      <c r="AA38" s="291"/>
      <c r="AB38" s="232"/>
      <c r="AC38" s="232"/>
      <c r="AI38" s="232"/>
      <c r="AJ38" s="295"/>
      <c r="AK38" s="244"/>
    </row>
    <row r="39" spans="1:41" hidden="1" outlineLevel="1">
      <c r="A39" s="236" t="s">
        <v>527</v>
      </c>
      <c r="B39" s="232" t="s">
        <v>460</v>
      </c>
      <c r="C39" s="232"/>
      <c r="D39" s="232"/>
      <c r="E39" s="232"/>
      <c r="F39" s="291" t="s">
        <v>825</v>
      </c>
      <c r="G39" s="291"/>
      <c r="H39" s="485">
        <v>72274366.154204294</v>
      </c>
      <c r="I39" s="232"/>
      <c r="O39" s="232"/>
      <c r="P39" s="295"/>
      <c r="Q39" s="244"/>
      <c r="R39" s="244"/>
      <c r="U39" s="284"/>
      <c r="W39" s="232"/>
      <c r="X39" s="232"/>
      <c r="Y39" s="232"/>
      <c r="Z39" s="291" t="s">
        <v>825</v>
      </c>
      <c r="AA39" s="291"/>
      <c r="AB39" s="635">
        <v>74089662.327901497</v>
      </c>
      <c r="AC39" s="232"/>
      <c r="AI39" s="232"/>
      <c r="AJ39" s="295"/>
      <c r="AK39" s="244"/>
    </row>
    <row r="40" spans="1:41" ht="15.75" hidden="1" outlineLevel="1">
      <c r="A40" s="236" t="s">
        <v>525</v>
      </c>
      <c r="B40" s="232" t="s">
        <v>524</v>
      </c>
      <c r="C40" s="232"/>
      <c r="D40" s="232"/>
      <c r="E40" s="232"/>
      <c r="F40" s="291" t="s">
        <v>523</v>
      </c>
      <c r="G40" s="291"/>
      <c r="H40" s="234">
        <f>IF(H39=0,0,H39/H11)</f>
        <v>1.3439641610993168E-2</v>
      </c>
      <c r="I40" s="234"/>
      <c r="O40" s="293">
        <f>H40</f>
        <v>1.3439641610993168E-2</v>
      </c>
      <c r="P40" s="295"/>
      <c r="Q40" s="244"/>
      <c r="R40" s="244"/>
      <c r="S40" s="256"/>
      <c r="T40" s="256"/>
      <c r="U40" s="284"/>
      <c r="V40" s="256"/>
      <c r="W40" s="232"/>
      <c r="X40" s="232"/>
      <c r="Y40" s="232"/>
      <c r="Z40" s="291" t="s">
        <v>523</v>
      </c>
      <c r="AA40" s="291"/>
      <c r="AB40" s="234">
        <f>IF(AB39=0,0,AB39/AB11)</f>
        <v>1.3893326160627988E-2</v>
      </c>
      <c r="AC40" s="234"/>
      <c r="AI40" s="293">
        <f>AB40</f>
        <v>1.3893326160627988E-2</v>
      </c>
      <c r="AJ40" s="295"/>
      <c r="AK40" s="244"/>
      <c r="AL40" s="256"/>
    </row>
    <row r="41" spans="1:41" hidden="1" outlineLevel="1">
      <c r="A41" s="236"/>
      <c r="B41" s="232"/>
      <c r="C41" s="232"/>
      <c r="D41" s="232"/>
      <c r="E41" s="232"/>
      <c r="F41" s="291"/>
      <c r="G41" s="291"/>
      <c r="H41" s="232"/>
      <c r="I41" s="232"/>
      <c r="O41" s="232"/>
      <c r="P41" s="232"/>
      <c r="S41" s="255"/>
      <c r="T41" s="256"/>
      <c r="U41" s="255"/>
      <c r="V41" s="255"/>
      <c r="W41" s="232"/>
      <c r="X41" s="232"/>
      <c r="Y41" s="232"/>
      <c r="Z41" s="291"/>
      <c r="AA41" s="291"/>
      <c r="AB41" s="232"/>
      <c r="AC41" s="232"/>
      <c r="AI41" s="232"/>
      <c r="AJ41" s="232"/>
      <c r="AL41" s="255"/>
    </row>
    <row r="42" spans="1:41" hidden="1" outlineLevel="1">
      <c r="A42" s="236"/>
      <c r="B42" s="108" t="s">
        <v>185</v>
      </c>
      <c r="C42" s="108"/>
      <c r="D42" s="108"/>
      <c r="E42" s="108"/>
      <c r="F42" s="286"/>
      <c r="G42" s="286"/>
      <c r="P42" s="232"/>
      <c r="S42" s="256"/>
      <c r="T42" s="256"/>
      <c r="U42" s="256"/>
      <c r="V42" s="256"/>
      <c r="W42" s="108"/>
      <c r="X42" s="108"/>
      <c r="Y42" s="108"/>
      <c r="Z42" s="286"/>
      <c r="AA42" s="286"/>
      <c r="AJ42" s="232"/>
      <c r="AL42" s="256"/>
    </row>
    <row r="43" spans="1:41" hidden="1" outlineLevel="1">
      <c r="A43" s="236" t="s">
        <v>522</v>
      </c>
      <c r="B43" s="108" t="s">
        <v>521</v>
      </c>
      <c r="C43" s="108"/>
      <c r="D43" s="108"/>
      <c r="E43" s="108"/>
      <c r="F43" s="291" t="s">
        <v>827</v>
      </c>
      <c r="G43" s="291"/>
      <c r="H43" s="485">
        <v>344728216.17675555</v>
      </c>
      <c r="I43" s="232"/>
      <c r="O43" s="232"/>
      <c r="P43" s="232"/>
      <c r="S43" s="256"/>
      <c r="T43" s="256"/>
      <c r="U43" s="256"/>
      <c r="V43" s="256"/>
      <c r="W43" s="108"/>
      <c r="X43" s="108"/>
      <c r="Y43" s="108"/>
      <c r="Z43" s="291" t="s">
        <v>827</v>
      </c>
      <c r="AA43" s="291"/>
      <c r="AB43" s="635">
        <v>343262095.34682983</v>
      </c>
      <c r="AC43" s="232"/>
      <c r="AI43" s="232"/>
      <c r="AJ43" s="232"/>
      <c r="AL43" s="256"/>
    </row>
    <row r="44" spans="1:41" ht="15.75" hidden="1" outlineLevel="1">
      <c r="A44" s="236" t="s">
        <v>519</v>
      </c>
      <c r="B44" s="232" t="s">
        <v>518</v>
      </c>
      <c r="C44" s="232"/>
      <c r="D44" s="232"/>
      <c r="E44" s="232"/>
      <c r="F44" s="291" t="s">
        <v>517</v>
      </c>
      <c r="G44" s="291"/>
      <c r="H44" s="147">
        <f>IF(H43=0,0,H43/H11)</f>
        <v>6.4103276516151955E-2</v>
      </c>
      <c r="I44" s="147"/>
      <c r="O44" s="293">
        <f>H44</f>
        <v>6.4103276516151955E-2</v>
      </c>
      <c r="P44" s="232"/>
      <c r="T44" s="292"/>
      <c r="U44" s="284"/>
      <c r="W44" s="232"/>
      <c r="X44" s="232"/>
      <c r="Y44" s="232"/>
      <c r="Z44" s="291" t="s">
        <v>517</v>
      </c>
      <c r="AA44" s="291"/>
      <c r="AB44" s="147">
        <f>IF(AB43=0,0,AB43/AB11)</f>
        <v>6.4368659532115416E-2</v>
      </c>
      <c r="AC44" s="147"/>
      <c r="AI44" s="293">
        <f>AB44</f>
        <v>6.4368659532115416E-2</v>
      </c>
      <c r="AJ44" s="232"/>
    </row>
    <row r="45" spans="1:41" hidden="1" outlineLevel="1">
      <c r="A45" s="236"/>
      <c r="B45" s="108"/>
      <c r="C45" s="108"/>
      <c r="D45" s="108"/>
      <c r="E45" s="108"/>
      <c r="F45" s="291"/>
      <c r="G45" s="291"/>
      <c r="H45" s="232"/>
      <c r="I45" s="232"/>
      <c r="O45" s="232"/>
      <c r="P45" s="232"/>
      <c r="Q45" s="286"/>
      <c r="R45" s="286"/>
      <c r="S45" s="256"/>
      <c r="T45" s="256"/>
      <c r="U45" s="256"/>
      <c r="V45" s="256"/>
      <c r="W45" s="108"/>
      <c r="X45" s="108"/>
      <c r="Y45" s="108"/>
      <c r="Z45" s="291"/>
      <c r="AA45" s="291"/>
      <c r="AB45" s="232"/>
      <c r="AC45" s="232"/>
      <c r="AI45" s="232"/>
      <c r="AJ45" s="232"/>
      <c r="AK45" s="286"/>
      <c r="AL45" s="256"/>
    </row>
    <row r="46" spans="1:41" ht="15.75" hidden="1" outlineLevel="1">
      <c r="A46" s="290" t="s">
        <v>516</v>
      </c>
      <c r="B46" s="280" t="s">
        <v>502</v>
      </c>
      <c r="C46" s="280"/>
      <c r="D46" s="280"/>
      <c r="E46" s="280"/>
      <c r="F46" s="288" t="s">
        <v>515</v>
      </c>
      <c r="G46" s="288"/>
      <c r="H46" s="287"/>
      <c r="I46" s="287"/>
      <c r="O46" s="139">
        <f>O40+O44</f>
        <v>7.7542918127145116E-2</v>
      </c>
      <c r="P46" s="232"/>
      <c r="Q46" s="286"/>
      <c r="R46" s="286"/>
      <c r="S46" s="256"/>
      <c r="T46" s="256"/>
      <c r="U46" s="256"/>
      <c r="V46" s="256"/>
      <c r="W46" s="280"/>
      <c r="X46" s="280"/>
      <c r="Y46" s="280"/>
      <c r="Z46" s="288" t="s">
        <v>515</v>
      </c>
      <c r="AA46" s="288"/>
      <c r="AB46" s="287"/>
      <c r="AC46" s="287"/>
      <c r="AI46" s="139">
        <f>AI40+AI44</f>
        <v>7.8261985692743397E-2</v>
      </c>
      <c r="AJ46" s="232"/>
      <c r="AK46" s="286"/>
      <c r="AL46" s="256"/>
      <c r="AO46" s="251"/>
    </row>
    <row r="47" spans="1:41" collapsed="1">
      <c r="F47" s="108"/>
      <c r="G47" s="108"/>
      <c r="H47" s="108"/>
      <c r="I47" s="108"/>
      <c r="J47" s="108"/>
      <c r="K47" s="108"/>
      <c r="L47" s="108"/>
      <c r="M47" s="108"/>
      <c r="N47" s="108"/>
      <c r="O47" s="108"/>
      <c r="P47" s="108"/>
      <c r="Q47" s="108"/>
      <c r="R47" s="108"/>
      <c r="S47" s="256"/>
      <c r="T47" s="255"/>
      <c r="U47" s="256"/>
      <c r="V47" s="256"/>
      <c r="Z47" s="108"/>
      <c r="AA47" s="108"/>
      <c r="AB47" s="108"/>
      <c r="AC47" s="108"/>
      <c r="AD47" s="108"/>
      <c r="AE47" s="108"/>
      <c r="AF47" s="108"/>
      <c r="AG47" s="108"/>
      <c r="AH47" s="108"/>
      <c r="AI47" s="108"/>
      <c r="AJ47" s="108"/>
      <c r="AK47" s="108"/>
      <c r="AL47" s="256"/>
    </row>
    <row r="48" spans="1:41" ht="18.75">
      <c r="A48" s="487" t="s">
        <v>349</v>
      </c>
      <c r="B48" s="487"/>
      <c r="C48" s="865" t="str">
        <f>A49&amp;" Projected Revenue Requirement Calculation"</f>
        <v>2023 Projected Revenue Requirement Calculation</v>
      </c>
      <c r="D48" s="865"/>
      <c r="E48" s="865"/>
      <c r="F48" s="865"/>
      <c r="G48" s="865"/>
      <c r="H48" s="865"/>
      <c r="I48" s="865"/>
      <c r="J48" s="865"/>
      <c r="K48" s="865"/>
      <c r="L48" s="865"/>
      <c r="M48" s="865"/>
      <c r="N48" s="865"/>
      <c r="O48" s="865"/>
      <c r="P48" s="865"/>
      <c r="Q48" s="865"/>
      <c r="R48" s="865"/>
      <c r="S48" s="256"/>
      <c r="T48" s="866" t="s">
        <v>808</v>
      </c>
      <c r="U48" s="866"/>
      <c r="V48" s="256"/>
      <c r="W48" s="865" t="str">
        <f>A49&amp;" Actual Revenue Requirement"</f>
        <v>2023 Actual Revenue Requirement</v>
      </c>
      <c r="X48" s="865"/>
      <c r="Y48" s="865"/>
      <c r="Z48" s="865"/>
      <c r="AA48" s="865"/>
      <c r="AB48" s="865"/>
      <c r="AC48" s="865"/>
      <c r="AD48" s="865"/>
      <c r="AE48" s="865"/>
      <c r="AF48" s="865"/>
      <c r="AG48" s="865"/>
      <c r="AH48" s="865"/>
      <c r="AI48" s="865"/>
      <c r="AJ48" s="865"/>
      <c r="AK48" s="865"/>
      <c r="AL48" s="256"/>
      <c r="AM48" s="866" t="str">
        <f>A49&amp;" Annual True-up Calculation"</f>
        <v>2023 Annual True-up Calculation</v>
      </c>
      <c r="AN48" s="866"/>
      <c r="AO48" s="866"/>
    </row>
    <row r="49" spans="1:41">
      <c r="A49" s="399">
        <v>2023</v>
      </c>
      <c r="B49" s="233"/>
      <c r="C49" s="233"/>
      <c r="D49" s="233"/>
      <c r="E49" s="488">
        <f>+O21</f>
        <v>4.4066999680511067E-2</v>
      </c>
      <c r="F49" s="108"/>
      <c r="G49" s="488">
        <f>+O36</f>
        <v>1.2649034406742409E-2</v>
      </c>
      <c r="J49" s="108"/>
      <c r="K49" s="488">
        <f>+O46</f>
        <v>7.7542918127145116E-2</v>
      </c>
      <c r="L49" s="108"/>
      <c r="M49" s="108"/>
      <c r="N49" s="108"/>
      <c r="O49" s="108"/>
      <c r="P49" s="232"/>
      <c r="Q49" s="232"/>
      <c r="R49" s="232"/>
      <c r="S49" s="256"/>
      <c r="T49" s="637">
        <v>51797779.890000001</v>
      </c>
      <c r="U49" s="400" t="s">
        <v>852</v>
      </c>
      <c r="V49" s="256"/>
      <c r="W49" s="233"/>
      <c r="X49" s="233"/>
      <c r="Y49" s="634">
        <f>+AI21</f>
        <v>4.4836079325475751E-2</v>
      </c>
      <c r="Z49" s="108"/>
      <c r="AA49" s="634">
        <f>+AI36</f>
        <v>1.2730048771621623E-2</v>
      </c>
      <c r="AD49" s="108"/>
      <c r="AE49" s="634">
        <f>+AI46</f>
        <v>7.8261985692743397E-2</v>
      </c>
      <c r="AF49" s="108"/>
      <c r="AG49" s="108"/>
      <c r="AH49" s="108"/>
      <c r="AI49" s="108"/>
      <c r="AJ49" s="232"/>
      <c r="AK49" s="232"/>
      <c r="AL49" s="256"/>
      <c r="AM49" s="400"/>
      <c r="AN49" s="400"/>
      <c r="AO49" s="400"/>
    </row>
    <row r="50" spans="1:41">
      <c r="A50" s="233"/>
      <c r="B50" s="233"/>
      <c r="C50" s="233"/>
      <c r="D50" s="233"/>
      <c r="E50" s="233"/>
      <c r="F50" s="233"/>
      <c r="G50" s="233"/>
      <c r="H50" s="233"/>
      <c r="I50" s="233"/>
      <c r="J50" s="233"/>
      <c r="K50" s="233"/>
      <c r="L50" s="233"/>
      <c r="M50" s="233"/>
      <c r="N50" s="233"/>
      <c r="O50" s="233"/>
      <c r="P50" s="233"/>
      <c r="Q50" s="233"/>
      <c r="R50" s="233"/>
      <c r="S50" s="256"/>
      <c r="T50" s="514">
        <f>+P65</f>
        <v>2730030.1346250107</v>
      </c>
      <c r="U50" s="400" t="s">
        <v>363</v>
      </c>
      <c r="V50" s="256"/>
      <c r="W50" s="233"/>
      <c r="X50" s="233"/>
      <c r="Y50" s="233"/>
      <c r="Z50" s="233"/>
      <c r="AA50" s="233"/>
      <c r="AB50" s="233"/>
      <c r="AC50" s="233"/>
      <c r="AD50" s="233"/>
      <c r="AE50" s="233"/>
      <c r="AF50" s="108"/>
      <c r="AG50" s="108"/>
      <c r="AH50" s="108"/>
      <c r="AI50" s="108"/>
      <c r="AJ50" s="232"/>
      <c r="AK50" s="232"/>
      <c r="AL50" s="256"/>
      <c r="AM50" s="400"/>
      <c r="AN50" s="403">
        <f>'MM TU Interest'!E29</f>
        <v>5.3610339569697116E-2</v>
      </c>
      <c r="AO50" s="90" t="s">
        <v>870</v>
      </c>
    </row>
    <row r="51" spans="1:41">
      <c r="A51" s="233"/>
      <c r="B51" s="233"/>
      <c r="C51" s="233"/>
      <c r="D51" s="233"/>
      <c r="E51" s="233"/>
      <c r="F51" s="233"/>
      <c r="G51" s="233"/>
      <c r="H51" s="233"/>
      <c r="I51" s="233"/>
      <c r="J51" s="233"/>
      <c r="K51" s="233"/>
      <c r="L51" s="233"/>
      <c r="M51" s="233"/>
      <c r="N51" s="233"/>
      <c r="O51" s="233"/>
      <c r="P51" s="233"/>
      <c r="Q51" s="233"/>
      <c r="R51" s="233"/>
      <c r="S51" s="256"/>
      <c r="T51" s="404">
        <f>SUM(T49:T50)</f>
        <v>54527810.024625011</v>
      </c>
      <c r="U51" s="398"/>
      <c r="V51" s="256"/>
      <c r="W51" s="233"/>
      <c r="X51" s="233"/>
      <c r="Y51" s="233"/>
      <c r="Z51" s="233"/>
      <c r="AA51" s="233"/>
      <c r="AB51" s="233"/>
      <c r="AC51" s="233"/>
      <c r="AD51" s="233"/>
      <c r="AE51" s="233"/>
      <c r="AF51" s="108"/>
      <c r="AG51" s="108"/>
      <c r="AH51" s="108"/>
      <c r="AI51" s="108"/>
      <c r="AJ51" s="232"/>
      <c r="AK51" s="232"/>
      <c r="AL51" s="256"/>
      <c r="AM51" s="400"/>
      <c r="AN51" s="251">
        <f>'MM TU Interest'!E35</f>
        <v>1208686.31</v>
      </c>
      <c r="AO51" s="90" t="s">
        <v>871</v>
      </c>
    </row>
    <row r="52" spans="1:41">
      <c r="A52" s="444" t="s">
        <v>283</v>
      </c>
      <c r="B52" s="489" t="s">
        <v>285</v>
      </c>
      <c r="C52" s="490" t="s">
        <v>831</v>
      </c>
      <c r="D52" s="490" t="s">
        <v>832</v>
      </c>
      <c r="E52" s="490" t="s">
        <v>833</v>
      </c>
      <c r="F52" s="490" t="s">
        <v>834</v>
      </c>
      <c r="G52" s="490" t="s">
        <v>835</v>
      </c>
      <c r="H52" s="490" t="s">
        <v>836</v>
      </c>
      <c r="I52" s="490" t="s">
        <v>837</v>
      </c>
      <c r="J52" s="490" t="s">
        <v>861</v>
      </c>
      <c r="K52" s="490" t="s">
        <v>872</v>
      </c>
      <c r="L52" s="490" t="s">
        <v>873</v>
      </c>
      <c r="M52" s="490" t="s">
        <v>874</v>
      </c>
      <c r="N52" s="490" t="s">
        <v>875</v>
      </c>
      <c r="O52" s="489" t="s">
        <v>287</v>
      </c>
      <c r="P52" s="489" t="s">
        <v>289</v>
      </c>
      <c r="Q52" s="489" t="s">
        <v>290</v>
      </c>
      <c r="R52" s="489" t="s">
        <v>292</v>
      </c>
      <c r="S52" s="256"/>
      <c r="T52" s="446" t="s">
        <v>294</v>
      </c>
      <c r="U52" s="447" t="s">
        <v>296</v>
      </c>
      <c r="V52" s="256"/>
      <c r="W52" s="491" t="s">
        <v>838</v>
      </c>
      <c r="X52" s="491" t="s">
        <v>839</v>
      </c>
      <c r="Y52" s="491" t="s">
        <v>840</v>
      </c>
      <c r="Z52" s="491" t="s">
        <v>841</v>
      </c>
      <c r="AA52" s="491" t="s">
        <v>842</v>
      </c>
      <c r="AB52" s="491" t="s">
        <v>843</v>
      </c>
      <c r="AC52" s="491" t="s">
        <v>844</v>
      </c>
      <c r="AD52" s="490" t="s">
        <v>862</v>
      </c>
      <c r="AE52" s="490" t="s">
        <v>876</v>
      </c>
      <c r="AF52" s="490" t="s">
        <v>877</v>
      </c>
      <c r="AG52" s="490" t="s">
        <v>878</v>
      </c>
      <c r="AH52" s="490" t="s">
        <v>879</v>
      </c>
      <c r="AI52" s="489" t="s">
        <v>298</v>
      </c>
      <c r="AJ52" s="489" t="s">
        <v>300</v>
      </c>
      <c r="AK52" s="489" t="s">
        <v>302</v>
      </c>
      <c r="AL52" s="256"/>
      <c r="AM52" s="446" t="s">
        <v>311</v>
      </c>
      <c r="AN52" s="446" t="s">
        <v>312</v>
      </c>
      <c r="AO52" s="446" t="s">
        <v>314</v>
      </c>
    </row>
    <row r="53" spans="1:41" ht="75">
      <c r="A53" s="492" t="s">
        <v>507</v>
      </c>
      <c r="B53" s="492" t="s">
        <v>508</v>
      </c>
      <c r="C53" s="492" t="s">
        <v>880</v>
      </c>
      <c r="D53" s="492" t="s">
        <v>633</v>
      </c>
      <c r="E53" s="492" t="s">
        <v>632</v>
      </c>
      <c r="F53" s="263" t="s">
        <v>631</v>
      </c>
      <c r="G53" s="263" t="s">
        <v>630</v>
      </c>
      <c r="H53" s="493" t="s">
        <v>629</v>
      </c>
      <c r="I53" s="494" t="s">
        <v>504</v>
      </c>
      <c r="J53" s="263" t="s">
        <v>503</v>
      </c>
      <c r="K53" s="263" t="s">
        <v>502</v>
      </c>
      <c r="L53" s="494" t="s">
        <v>501</v>
      </c>
      <c r="M53" s="263" t="s">
        <v>500</v>
      </c>
      <c r="N53" s="263" t="s">
        <v>567</v>
      </c>
      <c r="O53" s="260" t="s">
        <v>498</v>
      </c>
      <c r="P53" s="261" t="s">
        <v>846</v>
      </c>
      <c r="Q53" s="260" t="s">
        <v>628</v>
      </c>
      <c r="R53" s="452" t="s">
        <v>847</v>
      </c>
      <c r="S53" s="495"/>
      <c r="T53" s="452" t="s">
        <v>848</v>
      </c>
      <c r="U53" s="452" t="s">
        <v>810</v>
      </c>
      <c r="V53" s="495"/>
      <c r="W53" s="492" t="s">
        <v>881</v>
      </c>
      <c r="X53" s="492" t="s">
        <v>633</v>
      </c>
      <c r="Y53" s="492" t="s">
        <v>632</v>
      </c>
      <c r="Z53" s="263" t="s">
        <v>631</v>
      </c>
      <c r="AA53" s="263" t="s">
        <v>630</v>
      </c>
      <c r="AB53" s="493" t="s">
        <v>629</v>
      </c>
      <c r="AC53" s="494" t="s">
        <v>504</v>
      </c>
      <c r="AD53" s="263" t="s">
        <v>503</v>
      </c>
      <c r="AE53" s="263" t="s">
        <v>502</v>
      </c>
      <c r="AF53" s="494" t="s">
        <v>501</v>
      </c>
      <c r="AG53" s="263" t="s">
        <v>500</v>
      </c>
      <c r="AH53" s="263" t="s">
        <v>567</v>
      </c>
      <c r="AI53" s="260" t="s">
        <v>498</v>
      </c>
      <c r="AJ53" s="261" t="s">
        <v>846</v>
      </c>
      <c r="AK53" s="260" t="s">
        <v>628</v>
      </c>
      <c r="AL53" s="495"/>
      <c r="AM53" s="452" t="s">
        <v>850</v>
      </c>
      <c r="AN53" s="452" t="s">
        <v>851</v>
      </c>
      <c r="AO53" s="452" t="str">
        <f>"Total "&amp;J49&amp;" True-up"</f>
        <v>Total  True-up</v>
      </c>
    </row>
    <row r="54" spans="1:41">
      <c r="A54" s="108"/>
      <c r="B54" s="108"/>
      <c r="C54" s="108"/>
      <c r="D54" s="108"/>
      <c r="E54" s="108"/>
      <c r="F54" s="108"/>
      <c r="G54" s="108"/>
      <c r="H54" s="108"/>
      <c r="I54" s="258"/>
      <c r="J54" s="108"/>
      <c r="K54" s="108"/>
      <c r="L54" s="258"/>
      <c r="M54" s="108"/>
      <c r="N54" s="108"/>
      <c r="O54" s="258"/>
      <c r="P54" s="232"/>
      <c r="Q54" s="257"/>
      <c r="R54" s="257"/>
      <c r="S54" s="256"/>
      <c r="T54" s="496"/>
      <c r="U54" s="497"/>
      <c r="V54" s="256"/>
      <c r="W54" s="108"/>
      <c r="X54" s="108"/>
      <c r="Y54" s="108"/>
      <c r="Z54" s="108"/>
      <c r="AA54" s="108"/>
      <c r="AB54" s="108"/>
      <c r="AC54" s="258"/>
      <c r="AD54" s="108"/>
      <c r="AE54" s="108"/>
      <c r="AF54" s="258"/>
      <c r="AG54" s="108"/>
      <c r="AH54" s="108"/>
      <c r="AI54" s="258"/>
      <c r="AJ54" s="232"/>
      <c r="AK54" s="257"/>
      <c r="AL54" s="256"/>
      <c r="AM54" s="498"/>
      <c r="AN54" s="498"/>
      <c r="AO54" s="498"/>
    </row>
    <row r="55" spans="1:41">
      <c r="A55" s="499">
        <v>2844</v>
      </c>
      <c r="B55" s="500" t="s">
        <v>989</v>
      </c>
      <c r="C55" s="501">
        <v>33509843.040000003</v>
      </c>
      <c r="D55" s="501">
        <v>6949301.0095359981</v>
      </c>
      <c r="E55" s="147">
        <f>E$49</f>
        <v>4.4066999680511067E-2</v>
      </c>
      <c r="F55" s="251">
        <f t="shared" ref="F55:F63" si="0">D55*E55</f>
        <v>306234.84536699805</v>
      </c>
      <c r="G55" s="147">
        <f>G$49</f>
        <v>1.2649034406742409E-2</v>
      </c>
      <c r="H55" s="502">
        <f t="shared" ref="H55:H63" si="1">C55*G55</f>
        <v>423867.15757749765</v>
      </c>
      <c r="I55" s="250">
        <f t="shared" ref="I55:I63" si="2">F55+H55</f>
        <v>730102.00294449576</v>
      </c>
      <c r="J55" s="501">
        <v>26560542.030464001</v>
      </c>
      <c r="K55" s="147">
        <f>K$49</f>
        <v>7.7542918127145116E-2</v>
      </c>
      <c r="L55" s="250">
        <f t="shared" ref="L55:L63" si="3">J55*K55</f>
        <v>2059581.9360808667</v>
      </c>
      <c r="M55" s="501">
        <v>700355.71953600005</v>
      </c>
      <c r="N55" s="501">
        <v>0</v>
      </c>
      <c r="O55" s="250">
        <f t="shared" ref="O55:O63" si="4">I55+L55+M55+N55</f>
        <v>3490039.6585613624</v>
      </c>
      <c r="P55" s="501">
        <v>264953.5557979563</v>
      </c>
      <c r="Q55" s="250">
        <f t="shared" ref="Q55:Q63" si="5">O55+P55</f>
        <v>3754993.2143593188</v>
      </c>
      <c r="R55" s="503">
        <f>+O55/$O$65</f>
        <v>6.2317877584334574E-2</v>
      </c>
      <c r="S55" s="91"/>
      <c r="T55" s="250">
        <f>+R55*$T$49</f>
        <v>3227927.706325327</v>
      </c>
      <c r="U55" s="503">
        <f>+T55/T65</f>
        <v>6.2317877584334568E-2</v>
      </c>
      <c r="V55" s="91"/>
      <c r="W55" s="633">
        <v>33509843.040000003</v>
      </c>
      <c r="X55" s="633">
        <v>6948803.0600000108</v>
      </c>
      <c r="Y55" s="147">
        <f>Y$49</f>
        <v>4.4836079325475751E-2</v>
      </c>
      <c r="Z55" s="251">
        <f t="shared" ref="Z55:Z63" si="6">X55*Y55</f>
        <v>311557.08521526912</v>
      </c>
      <c r="AA55" s="147">
        <f>AA$49</f>
        <v>1.2730048771621623E-2</v>
      </c>
      <c r="AB55" s="502">
        <f t="shared" ref="AB55:AB63" si="7">W55*AA55</f>
        <v>426581.93622858543</v>
      </c>
      <c r="AC55" s="250">
        <f t="shared" ref="AC55:AC63" si="8">Z55+AB55</f>
        <v>738139.02144385455</v>
      </c>
      <c r="AD55" s="251">
        <f>W55-X55</f>
        <v>26561039.979999993</v>
      </c>
      <c r="AE55" s="147">
        <f>AE$49</f>
        <v>7.8261985692743397E-2</v>
      </c>
      <c r="AF55" s="250">
        <f t="shared" ref="AF55:AF63" si="9">AD55*AE55</f>
        <v>2078719.7308991449</v>
      </c>
      <c r="AG55" s="633">
        <v>699857.88</v>
      </c>
      <c r="AH55" s="633">
        <v>0</v>
      </c>
      <c r="AI55" s="250">
        <f t="shared" ref="AI55:AI63" si="10">AC55+AF55+AG55+AH55</f>
        <v>3516716.6323429993</v>
      </c>
      <c r="AJ55" s="251">
        <f>P55</f>
        <v>264953.5557979563</v>
      </c>
      <c r="AK55" s="250">
        <f t="shared" ref="AK55:AK63" si="11">AI55+AJ55</f>
        <v>3781670.1881409558</v>
      </c>
      <c r="AL55" s="91"/>
      <c r="AM55" s="250">
        <f>+AI55-T55</f>
        <v>288788.92601767229</v>
      </c>
      <c r="AN55" s="250">
        <f>(AM55/$AM65)*$AN51</f>
        <v>32456.237063535413</v>
      </c>
      <c r="AO55" s="250">
        <f t="shared" ref="AO55:AO63" si="12">+AM55+AN55</f>
        <v>321245.16308120772</v>
      </c>
    </row>
    <row r="56" spans="1:41">
      <c r="A56" s="499">
        <v>3127</v>
      </c>
      <c r="B56" s="500" t="s">
        <v>990</v>
      </c>
      <c r="C56" s="501">
        <v>510615470.75450766</v>
      </c>
      <c r="D56" s="501">
        <v>31529359.784726702</v>
      </c>
      <c r="E56" s="147">
        <f t="shared" ref="E56:E63" si="13">E$49</f>
        <v>4.4066999680511067E-2</v>
      </c>
      <c r="F56" s="251">
        <f t="shared" si="0"/>
        <v>1389404.2875602699</v>
      </c>
      <c r="G56" s="147">
        <f t="shared" ref="G56:G63" si="14">G$49</f>
        <v>1.2649034406742409E-2</v>
      </c>
      <c r="H56" s="502">
        <f t="shared" si="1"/>
        <v>6458792.6581887398</v>
      </c>
      <c r="I56" s="250">
        <f t="shared" si="2"/>
        <v>7848196.94574901</v>
      </c>
      <c r="J56" s="501">
        <v>479086110.96978098</v>
      </c>
      <c r="K56" s="147">
        <f t="shared" ref="K56:K63" si="15">K$49</f>
        <v>7.7542918127145116E-2</v>
      </c>
      <c r="L56" s="250">
        <f t="shared" si="3"/>
        <v>37149735.078782089</v>
      </c>
      <c r="M56" s="501">
        <v>7515855.6911358032</v>
      </c>
      <c r="N56" s="501">
        <v>0</v>
      </c>
      <c r="O56" s="250">
        <f t="shared" si="4"/>
        <v>52513787.715666898</v>
      </c>
      <c r="P56" s="501">
        <v>2465076.5788270542</v>
      </c>
      <c r="Q56" s="250">
        <f t="shared" si="5"/>
        <v>54978864.294493951</v>
      </c>
      <c r="R56" s="503">
        <f t="shared" ref="R56:R63" si="16">+O56/$O$65</f>
        <v>0.9376821224156654</v>
      </c>
      <c r="S56" s="91"/>
      <c r="T56" s="250">
        <f t="shared" ref="T56:T63" si="17">+R56*$T$49</f>
        <v>48569852.183674671</v>
      </c>
      <c r="U56" s="503">
        <f>+T56/T65</f>
        <v>0.9376821224156654</v>
      </c>
      <c r="V56" s="91"/>
      <c r="W56" s="633">
        <v>518977645.2515384</v>
      </c>
      <c r="X56" s="633">
        <v>31374186.316923074</v>
      </c>
      <c r="Y56" s="147">
        <f t="shared" ref="Y56:Y63" si="18">Y$49</f>
        <v>4.4836079325475751E-2</v>
      </c>
      <c r="Z56" s="251">
        <f t="shared" si="6"/>
        <v>1406695.5064778188</v>
      </c>
      <c r="AA56" s="147">
        <f t="shared" ref="AA56:AA63" si="19">AA$49</f>
        <v>1.2730048771621623E-2</v>
      </c>
      <c r="AB56" s="502">
        <f t="shared" si="7"/>
        <v>6606610.7354334285</v>
      </c>
      <c r="AC56" s="250">
        <f t="shared" si="8"/>
        <v>8013306.2419112474</v>
      </c>
      <c r="AD56" s="251">
        <f t="shared" ref="AD56:AD63" si="20">W56-X56</f>
        <v>487603458.93461531</v>
      </c>
      <c r="AE56" s="147">
        <f t="shared" ref="AE56:AE63" si="21">AE$49</f>
        <v>7.8261985692743397E-2</v>
      </c>
      <c r="AF56" s="250">
        <f t="shared" si="9"/>
        <v>38160814.926873058</v>
      </c>
      <c r="AG56" s="633">
        <v>6939802.21</v>
      </c>
      <c r="AH56" s="633">
        <v>0</v>
      </c>
      <c r="AI56" s="250">
        <f t="shared" si="10"/>
        <v>53113923.378784306</v>
      </c>
      <c r="AJ56" s="251">
        <f t="shared" ref="AJ56:AJ63" si="22">P56</f>
        <v>2465076.5788270542</v>
      </c>
      <c r="AK56" s="250">
        <f t="shared" si="11"/>
        <v>55578999.95761136</v>
      </c>
      <c r="AL56" s="91"/>
      <c r="AM56" s="250">
        <f t="shared" ref="AM56:AM63" si="23">+AI56-T56</f>
        <v>4544071.1951096356</v>
      </c>
      <c r="AN56" s="250">
        <f>(AM56/$AM65)*$AN51</f>
        <v>510696.35520939552</v>
      </c>
      <c r="AO56" s="250">
        <f t="shared" si="12"/>
        <v>5054767.5503190309</v>
      </c>
    </row>
    <row r="57" spans="1:41">
      <c r="A57" s="802">
        <v>23408</v>
      </c>
      <c r="B57" s="500" t="s">
        <v>1228</v>
      </c>
      <c r="C57" s="501">
        <v>0</v>
      </c>
      <c r="D57" s="501">
        <v>0</v>
      </c>
      <c r="E57" s="147">
        <f t="shared" si="13"/>
        <v>4.4066999680511067E-2</v>
      </c>
      <c r="F57" s="251">
        <f t="shared" si="0"/>
        <v>0</v>
      </c>
      <c r="G57" s="147">
        <f t="shared" si="14"/>
        <v>1.2649034406742409E-2</v>
      </c>
      <c r="H57" s="502">
        <f t="shared" si="1"/>
        <v>0</v>
      </c>
      <c r="I57" s="250">
        <f t="shared" si="2"/>
        <v>0</v>
      </c>
      <c r="J57" s="501">
        <v>0</v>
      </c>
      <c r="K57" s="147">
        <f t="shared" si="15"/>
        <v>7.7542918127145116E-2</v>
      </c>
      <c r="L57" s="250">
        <f t="shared" si="3"/>
        <v>0</v>
      </c>
      <c r="M57" s="501">
        <v>0</v>
      </c>
      <c r="N57" s="501">
        <v>0</v>
      </c>
      <c r="O57" s="250">
        <f t="shared" si="4"/>
        <v>0</v>
      </c>
      <c r="P57" s="501">
        <v>0</v>
      </c>
      <c r="Q57" s="250">
        <f t="shared" si="5"/>
        <v>0</v>
      </c>
      <c r="R57" s="503">
        <f t="shared" si="16"/>
        <v>0</v>
      </c>
      <c r="S57" s="91"/>
      <c r="T57" s="250">
        <f t="shared" si="17"/>
        <v>0</v>
      </c>
      <c r="U57" s="503">
        <f>+T57/T65</f>
        <v>0</v>
      </c>
      <c r="V57" s="91"/>
      <c r="W57" s="633">
        <v>0</v>
      </c>
      <c r="X57" s="633">
        <v>0</v>
      </c>
      <c r="Y57" s="147">
        <f t="shared" si="18"/>
        <v>4.4836079325475751E-2</v>
      </c>
      <c r="Z57" s="251">
        <f t="shared" si="6"/>
        <v>0</v>
      </c>
      <c r="AA57" s="147">
        <f t="shared" si="19"/>
        <v>1.2730048771621623E-2</v>
      </c>
      <c r="AB57" s="502">
        <f t="shared" si="7"/>
        <v>0</v>
      </c>
      <c r="AC57" s="250">
        <f t="shared" si="8"/>
        <v>0</v>
      </c>
      <c r="AD57" s="251">
        <f t="shared" si="20"/>
        <v>0</v>
      </c>
      <c r="AE57" s="147">
        <f t="shared" si="21"/>
        <v>7.8261985692743397E-2</v>
      </c>
      <c r="AF57" s="250">
        <f t="shared" si="9"/>
        <v>0</v>
      </c>
      <c r="AG57" s="633">
        <v>0</v>
      </c>
      <c r="AH57" s="633">
        <v>5834999.3799999999</v>
      </c>
      <c r="AI57" s="250">
        <f t="shared" si="10"/>
        <v>5834999.3799999999</v>
      </c>
      <c r="AJ57" s="251">
        <f t="shared" si="22"/>
        <v>0</v>
      </c>
      <c r="AK57" s="250">
        <f t="shared" si="11"/>
        <v>5834999.3799999999</v>
      </c>
      <c r="AL57" s="91"/>
      <c r="AM57" s="250">
        <f t="shared" si="23"/>
        <v>5834999.3799999999</v>
      </c>
      <c r="AN57" s="250">
        <f>(AM57/$AM65)*$AN51</f>
        <v>655780.4198187053</v>
      </c>
      <c r="AO57" s="250">
        <f t="shared" si="12"/>
        <v>6490779.7998187048</v>
      </c>
    </row>
    <row r="58" spans="1:41">
      <c r="A58" s="802">
        <v>23372</v>
      </c>
      <c r="B58" s="500" t="s">
        <v>1098</v>
      </c>
      <c r="C58" s="501">
        <v>0</v>
      </c>
      <c r="D58" s="501">
        <f t="shared" ref="D58:D63" si="24">+C58-J58</f>
        <v>0</v>
      </c>
      <c r="E58" s="147">
        <f t="shared" si="13"/>
        <v>4.4066999680511067E-2</v>
      </c>
      <c r="F58" s="251">
        <f t="shared" si="0"/>
        <v>0</v>
      </c>
      <c r="G58" s="147">
        <f t="shared" si="14"/>
        <v>1.2649034406742409E-2</v>
      </c>
      <c r="H58" s="502">
        <f t="shared" si="1"/>
        <v>0</v>
      </c>
      <c r="I58" s="250">
        <f t="shared" si="2"/>
        <v>0</v>
      </c>
      <c r="J58" s="501">
        <v>0</v>
      </c>
      <c r="K58" s="147">
        <f t="shared" si="15"/>
        <v>7.7542918127145116E-2</v>
      </c>
      <c r="L58" s="250">
        <f t="shared" si="3"/>
        <v>0</v>
      </c>
      <c r="M58" s="501">
        <v>0</v>
      </c>
      <c r="N58" s="501">
        <v>0</v>
      </c>
      <c r="O58" s="250">
        <f t="shared" si="4"/>
        <v>0</v>
      </c>
      <c r="P58" s="501">
        <v>0</v>
      </c>
      <c r="Q58" s="250">
        <f t="shared" si="5"/>
        <v>0</v>
      </c>
      <c r="R58" s="503">
        <f t="shared" si="16"/>
        <v>0</v>
      </c>
      <c r="S58" s="91"/>
      <c r="T58" s="250">
        <f t="shared" si="17"/>
        <v>0</v>
      </c>
      <c r="U58" s="503">
        <f>+T58/T65</f>
        <v>0</v>
      </c>
      <c r="V58" s="91"/>
      <c r="W58" s="633">
        <v>0</v>
      </c>
      <c r="X58" s="633">
        <v>0</v>
      </c>
      <c r="Y58" s="147">
        <f t="shared" si="18"/>
        <v>4.4836079325475751E-2</v>
      </c>
      <c r="Z58" s="251">
        <f t="shared" si="6"/>
        <v>0</v>
      </c>
      <c r="AA58" s="147">
        <f t="shared" si="19"/>
        <v>1.2730048771621623E-2</v>
      </c>
      <c r="AB58" s="502">
        <f t="shared" si="7"/>
        <v>0</v>
      </c>
      <c r="AC58" s="250">
        <f t="shared" si="8"/>
        <v>0</v>
      </c>
      <c r="AD58" s="251">
        <f t="shared" si="20"/>
        <v>0</v>
      </c>
      <c r="AE58" s="147">
        <f t="shared" si="21"/>
        <v>7.8261985692743397E-2</v>
      </c>
      <c r="AF58" s="250">
        <f t="shared" si="9"/>
        <v>0</v>
      </c>
      <c r="AG58" s="633">
        <v>0</v>
      </c>
      <c r="AH58" s="633">
        <v>86782.84</v>
      </c>
      <c r="AI58" s="250">
        <f t="shared" si="10"/>
        <v>86782.84</v>
      </c>
      <c r="AJ58" s="251">
        <f t="shared" si="22"/>
        <v>0</v>
      </c>
      <c r="AK58" s="250">
        <f t="shared" si="11"/>
        <v>86782.84</v>
      </c>
      <c r="AL58" s="91"/>
      <c r="AM58" s="250">
        <f t="shared" si="23"/>
        <v>86782.84</v>
      </c>
      <c r="AN58" s="250">
        <f>(AM58/$AM65)*$AN51</f>
        <v>9753.2979083640494</v>
      </c>
      <c r="AO58" s="250">
        <f t="shared" si="12"/>
        <v>96536.13790836405</v>
      </c>
    </row>
    <row r="59" spans="1:41">
      <c r="A59" s="500"/>
      <c r="B59" s="500"/>
      <c r="C59" s="501">
        <v>0</v>
      </c>
      <c r="D59" s="501">
        <f t="shared" si="24"/>
        <v>0</v>
      </c>
      <c r="E59" s="147">
        <f t="shared" si="13"/>
        <v>4.4066999680511067E-2</v>
      </c>
      <c r="F59" s="251">
        <f t="shared" si="0"/>
        <v>0</v>
      </c>
      <c r="G59" s="147">
        <f t="shared" si="14"/>
        <v>1.2649034406742409E-2</v>
      </c>
      <c r="H59" s="502">
        <f t="shared" si="1"/>
        <v>0</v>
      </c>
      <c r="I59" s="250">
        <f t="shared" si="2"/>
        <v>0</v>
      </c>
      <c r="J59" s="501">
        <v>0</v>
      </c>
      <c r="K59" s="147">
        <f t="shared" si="15"/>
        <v>7.7542918127145116E-2</v>
      </c>
      <c r="L59" s="250">
        <f t="shared" si="3"/>
        <v>0</v>
      </c>
      <c r="M59" s="501">
        <v>0</v>
      </c>
      <c r="N59" s="501">
        <v>0</v>
      </c>
      <c r="O59" s="250">
        <f t="shared" si="4"/>
        <v>0</v>
      </c>
      <c r="P59" s="501">
        <v>0</v>
      </c>
      <c r="Q59" s="250">
        <f t="shared" si="5"/>
        <v>0</v>
      </c>
      <c r="R59" s="503">
        <f t="shared" si="16"/>
        <v>0</v>
      </c>
      <c r="S59" s="91"/>
      <c r="T59" s="250">
        <f t="shared" si="17"/>
        <v>0</v>
      </c>
      <c r="U59" s="503">
        <f>+T59/T65</f>
        <v>0</v>
      </c>
      <c r="V59" s="91"/>
      <c r="W59" s="633">
        <v>0</v>
      </c>
      <c r="X59" s="633">
        <v>0</v>
      </c>
      <c r="Y59" s="147">
        <f t="shared" si="18"/>
        <v>4.4836079325475751E-2</v>
      </c>
      <c r="Z59" s="251">
        <f t="shared" si="6"/>
        <v>0</v>
      </c>
      <c r="AA59" s="147">
        <f t="shared" si="19"/>
        <v>1.2730048771621623E-2</v>
      </c>
      <c r="AB59" s="502">
        <f t="shared" si="7"/>
        <v>0</v>
      </c>
      <c r="AC59" s="250">
        <f t="shared" si="8"/>
        <v>0</v>
      </c>
      <c r="AD59" s="251">
        <f t="shared" si="20"/>
        <v>0</v>
      </c>
      <c r="AE59" s="147">
        <f t="shared" si="21"/>
        <v>7.8261985692743397E-2</v>
      </c>
      <c r="AF59" s="250">
        <f t="shared" si="9"/>
        <v>0</v>
      </c>
      <c r="AG59" s="633">
        <v>0</v>
      </c>
      <c r="AH59" s="633">
        <v>0</v>
      </c>
      <c r="AI59" s="250">
        <f t="shared" si="10"/>
        <v>0</v>
      </c>
      <c r="AJ59" s="251">
        <f t="shared" si="22"/>
        <v>0</v>
      </c>
      <c r="AK59" s="250">
        <f t="shared" si="11"/>
        <v>0</v>
      </c>
      <c r="AL59" s="91"/>
      <c r="AM59" s="250">
        <f t="shared" si="23"/>
        <v>0</v>
      </c>
      <c r="AN59" s="250">
        <f>(AM59/$AM65)*$AN51</f>
        <v>0</v>
      </c>
      <c r="AO59" s="250">
        <f t="shared" si="12"/>
        <v>0</v>
      </c>
    </row>
    <row r="60" spans="1:41">
      <c r="A60" s="500"/>
      <c r="B60" s="500"/>
      <c r="C60" s="501">
        <v>0</v>
      </c>
      <c r="D60" s="501">
        <f t="shared" si="24"/>
        <v>0</v>
      </c>
      <c r="E60" s="147">
        <f t="shared" si="13"/>
        <v>4.4066999680511067E-2</v>
      </c>
      <c r="F60" s="251">
        <f t="shared" si="0"/>
        <v>0</v>
      </c>
      <c r="G60" s="147">
        <f t="shared" si="14"/>
        <v>1.2649034406742409E-2</v>
      </c>
      <c r="H60" s="502">
        <f t="shared" si="1"/>
        <v>0</v>
      </c>
      <c r="I60" s="250">
        <f t="shared" si="2"/>
        <v>0</v>
      </c>
      <c r="J60" s="501">
        <v>0</v>
      </c>
      <c r="K60" s="147">
        <f t="shared" si="15"/>
        <v>7.7542918127145116E-2</v>
      </c>
      <c r="L60" s="250">
        <f t="shared" si="3"/>
        <v>0</v>
      </c>
      <c r="M60" s="501">
        <v>0</v>
      </c>
      <c r="N60" s="501">
        <v>0</v>
      </c>
      <c r="O60" s="250">
        <f t="shared" si="4"/>
        <v>0</v>
      </c>
      <c r="P60" s="501">
        <v>0</v>
      </c>
      <c r="Q60" s="250">
        <f t="shared" si="5"/>
        <v>0</v>
      </c>
      <c r="R60" s="503">
        <f t="shared" si="16"/>
        <v>0</v>
      </c>
      <c r="S60" s="91"/>
      <c r="T60" s="250">
        <f t="shared" si="17"/>
        <v>0</v>
      </c>
      <c r="U60" s="503">
        <f>+T60/T65</f>
        <v>0</v>
      </c>
      <c r="V60" s="91"/>
      <c r="W60" s="633">
        <v>0</v>
      </c>
      <c r="X60" s="633">
        <v>0</v>
      </c>
      <c r="Y60" s="147">
        <f t="shared" si="18"/>
        <v>4.4836079325475751E-2</v>
      </c>
      <c r="Z60" s="251">
        <f t="shared" si="6"/>
        <v>0</v>
      </c>
      <c r="AA60" s="147">
        <f t="shared" si="19"/>
        <v>1.2730048771621623E-2</v>
      </c>
      <c r="AB60" s="502">
        <f t="shared" si="7"/>
        <v>0</v>
      </c>
      <c r="AC60" s="250">
        <f t="shared" si="8"/>
        <v>0</v>
      </c>
      <c r="AD60" s="251">
        <f t="shared" si="20"/>
        <v>0</v>
      </c>
      <c r="AE60" s="147">
        <f t="shared" si="21"/>
        <v>7.8261985692743397E-2</v>
      </c>
      <c r="AF60" s="250">
        <f t="shared" si="9"/>
        <v>0</v>
      </c>
      <c r="AG60" s="633">
        <v>0</v>
      </c>
      <c r="AH60" s="633">
        <v>0</v>
      </c>
      <c r="AI60" s="250">
        <f t="shared" si="10"/>
        <v>0</v>
      </c>
      <c r="AJ60" s="251">
        <f t="shared" si="22"/>
        <v>0</v>
      </c>
      <c r="AK60" s="250">
        <f t="shared" si="11"/>
        <v>0</v>
      </c>
      <c r="AL60" s="91"/>
      <c r="AM60" s="250">
        <f t="shared" si="23"/>
        <v>0</v>
      </c>
      <c r="AN60" s="250">
        <f>(AM60/$AM65)*$AN51</f>
        <v>0</v>
      </c>
      <c r="AO60" s="250">
        <f t="shared" si="12"/>
        <v>0</v>
      </c>
    </row>
    <row r="61" spans="1:41">
      <c r="A61" s="500"/>
      <c r="B61" s="500"/>
      <c r="C61" s="501">
        <v>0</v>
      </c>
      <c r="D61" s="501">
        <f t="shared" si="24"/>
        <v>0</v>
      </c>
      <c r="E61" s="147">
        <f t="shared" si="13"/>
        <v>4.4066999680511067E-2</v>
      </c>
      <c r="F61" s="251">
        <f t="shared" si="0"/>
        <v>0</v>
      </c>
      <c r="G61" s="147">
        <f t="shared" si="14"/>
        <v>1.2649034406742409E-2</v>
      </c>
      <c r="H61" s="502">
        <f t="shared" si="1"/>
        <v>0</v>
      </c>
      <c r="I61" s="250">
        <f t="shared" si="2"/>
        <v>0</v>
      </c>
      <c r="J61" s="501">
        <v>0</v>
      </c>
      <c r="K61" s="147">
        <f t="shared" si="15"/>
        <v>7.7542918127145116E-2</v>
      </c>
      <c r="L61" s="250">
        <f t="shared" si="3"/>
        <v>0</v>
      </c>
      <c r="M61" s="501">
        <v>0</v>
      </c>
      <c r="N61" s="501">
        <v>0</v>
      </c>
      <c r="O61" s="250">
        <f t="shared" si="4"/>
        <v>0</v>
      </c>
      <c r="P61" s="501">
        <v>0</v>
      </c>
      <c r="Q61" s="250">
        <f t="shared" si="5"/>
        <v>0</v>
      </c>
      <c r="R61" s="503">
        <f t="shared" si="16"/>
        <v>0</v>
      </c>
      <c r="S61" s="91"/>
      <c r="T61" s="250">
        <f t="shared" si="17"/>
        <v>0</v>
      </c>
      <c r="U61" s="503">
        <f>+T61/T65</f>
        <v>0</v>
      </c>
      <c r="V61" s="91"/>
      <c r="W61" s="633">
        <v>0</v>
      </c>
      <c r="X61" s="633">
        <v>0</v>
      </c>
      <c r="Y61" s="147">
        <f t="shared" si="18"/>
        <v>4.4836079325475751E-2</v>
      </c>
      <c r="Z61" s="251">
        <f t="shared" si="6"/>
        <v>0</v>
      </c>
      <c r="AA61" s="147">
        <f t="shared" si="19"/>
        <v>1.2730048771621623E-2</v>
      </c>
      <c r="AB61" s="502">
        <f t="shared" si="7"/>
        <v>0</v>
      </c>
      <c r="AC61" s="250">
        <f t="shared" si="8"/>
        <v>0</v>
      </c>
      <c r="AD61" s="251">
        <f t="shared" si="20"/>
        <v>0</v>
      </c>
      <c r="AE61" s="147">
        <f t="shared" si="21"/>
        <v>7.8261985692743397E-2</v>
      </c>
      <c r="AF61" s="250">
        <f t="shared" si="9"/>
        <v>0</v>
      </c>
      <c r="AG61" s="633">
        <v>0</v>
      </c>
      <c r="AH61" s="633">
        <v>0</v>
      </c>
      <c r="AI61" s="250">
        <f t="shared" si="10"/>
        <v>0</v>
      </c>
      <c r="AJ61" s="251">
        <f t="shared" si="22"/>
        <v>0</v>
      </c>
      <c r="AK61" s="250">
        <f t="shared" si="11"/>
        <v>0</v>
      </c>
      <c r="AL61" s="91"/>
      <c r="AM61" s="250">
        <f t="shared" si="23"/>
        <v>0</v>
      </c>
      <c r="AN61" s="250">
        <f>(AM61/$AM65)*$AN51</f>
        <v>0</v>
      </c>
      <c r="AO61" s="250">
        <f t="shared" si="12"/>
        <v>0</v>
      </c>
    </row>
    <row r="62" spans="1:41">
      <c r="A62" s="500"/>
      <c r="B62" s="500"/>
      <c r="C62" s="501">
        <v>0</v>
      </c>
      <c r="D62" s="501">
        <f t="shared" si="24"/>
        <v>0</v>
      </c>
      <c r="E62" s="147">
        <f t="shared" si="13"/>
        <v>4.4066999680511067E-2</v>
      </c>
      <c r="F62" s="251">
        <f t="shared" si="0"/>
        <v>0</v>
      </c>
      <c r="G62" s="147">
        <f t="shared" si="14"/>
        <v>1.2649034406742409E-2</v>
      </c>
      <c r="H62" s="502">
        <f t="shared" si="1"/>
        <v>0</v>
      </c>
      <c r="I62" s="250">
        <f t="shared" si="2"/>
        <v>0</v>
      </c>
      <c r="J62" s="501">
        <v>0</v>
      </c>
      <c r="K62" s="147">
        <f t="shared" si="15"/>
        <v>7.7542918127145116E-2</v>
      </c>
      <c r="L62" s="250">
        <f t="shared" si="3"/>
        <v>0</v>
      </c>
      <c r="M62" s="501">
        <v>0</v>
      </c>
      <c r="N62" s="501">
        <v>0</v>
      </c>
      <c r="O62" s="250">
        <f t="shared" si="4"/>
        <v>0</v>
      </c>
      <c r="P62" s="501">
        <v>0</v>
      </c>
      <c r="Q62" s="250">
        <f t="shared" si="5"/>
        <v>0</v>
      </c>
      <c r="R62" s="503">
        <f t="shared" si="16"/>
        <v>0</v>
      </c>
      <c r="S62" s="91"/>
      <c r="T62" s="250">
        <f t="shared" si="17"/>
        <v>0</v>
      </c>
      <c r="U62" s="503">
        <f>+T62/T65</f>
        <v>0</v>
      </c>
      <c r="V62" s="91"/>
      <c r="W62" s="633">
        <v>0</v>
      </c>
      <c r="X62" s="633">
        <v>0</v>
      </c>
      <c r="Y62" s="147">
        <f t="shared" si="18"/>
        <v>4.4836079325475751E-2</v>
      </c>
      <c r="Z62" s="251">
        <f t="shared" si="6"/>
        <v>0</v>
      </c>
      <c r="AA62" s="147">
        <f t="shared" si="19"/>
        <v>1.2730048771621623E-2</v>
      </c>
      <c r="AB62" s="502">
        <f t="shared" si="7"/>
        <v>0</v>
      </c>
      <c r="AC62" s="250">
        <f t="shared" si="8"/>
        <v>0</v>
      </c>
      <c r="AD62" s="251">
        <f t="shared" si="20"/>
        <v>0</v>
      </c>
      <c r="AE62" s="147">
        <f t="shared" si="21"/>
        <v>7.8261985692743397E-2</v>
      </c>
      <c r="AF62" s="250">
        <f t="shared" si="9"/>
        <v>0</v>
      </c>
      <c r="AG62" s="633">
        <v>0</v>
      </c>
      <c r="AH62" s="633">
        <v>0</v>
      </c>
      <c r="AI62" s="250">
        <f t="shared" si="10"/>
        <v>0</v>
      </c>
      <c r="AJ62" s="251">
        <f t="shared" si="22"/>
        <v>0</v>
      </c>
      <c r="AK62" s="250">
        <f t="shared" si="11"/>
        <v>0</v>
      </c>
      <c r="AL62" s="91"/>
      <c r="AM62" s="250">
        <f t="shared" si="23"/>
        <v>0</v>
      </c>
      <c r="AN62" s="250">
        <f>(AM62/$AM65)*$AN51</f>
        <v>0</v>
      </c>
      <c r="AO62" s="250">
        <f t="shared" si="12"/>
        <v>0</v>
      </c>
    </row>
    <row r="63" spans="1:41">
      <c r="A63" s="500"/>
      <c r="B63" s="504"/>
      <c r="C63" s="501">
        <v>0</v>
      </c>
      <c r="D63" s="501">
        <f t="shared" si="24"/>
        <v>0</v>
      </c>
      <c r="E63" s="147">
        <f t="shared" si="13"/>
        <v>4.4066999680511067E-2</v>
      </c>
      <c r="F63" s="251">
        <f t="shared" si="0"/>
        <v>0</v>
      </c>
      <c r="G63" s="147">
        <f t="shared" si="14"/>
        <v>1.2649034406742409E-2</v>
      </c>
      <c r="H63" s="502">
        <f t="shared" si="1"/>
        <v>0</v>
      </c>
      <c r="I63" s="250">
        <f t="shared" si="2"/>
        <v>0</v>
      </c>
      <c r="J63" s="501">
        <v>0</v>
      </c>
      <c r="K63" s="147">
        <f t="shared" si="15"/>
        <v>7.7542918127145116E-2</v>
      </c>
      <c r="L63" s="250">
        <f t="shared" si="3"/>
        <v>0</v>
      </c>
      <c r="M63" s="501">
        <v>0</v>
      </c>
      <c r="N63" s="501">
        <v>0</v>
      </c>
      <c r="O63" s="250">
        <f t="shared" si="4"/>
        <v>0</v>
      </c>
      <c r="P63" s="501">
        <v>0</v>
      </c>
      <c r="Q63" s="250">
        <f t="shared" si="5"/>
        <v>0</v>
      </c>
      <c r="R63" s="503">
        <f t="shared" si="16"/>
        <v>0</v>
      </c>
      <c r="S63" s="91"/>
      <c r="T63" s="250">
        <f t="shared" si="17"/>
        <v>0</v>
      </c>
      <c r="U63" s="503">
        <f>+T63/T65</f>
        <v>0</v>
      </c>
      <c r="V63" s="91"/>
      <c r="W63" s="633">
        <v>0</v>
      </c>
      <c r="X63" s="633">
        <v>0</v>
      </c>
      <c r="Y63" s="147">
        <f t="shared" si="18"/>
        <v>4.4836079325475751E-2</v>
      </c>
      <c r="Z63" s="251">
        <f t="shared" si="6"/>
        <v>0</v>
      </c>
      <c r="AA63" s="147">
        <f t="shared" si="19"/>
        <v>1.2730048771621623E-2</v>
      </c>
      <c r="AB63" s="502">
        <f t="shared" si="7"/>
        <v>0</v>
      </c>
      <c r="AC63" s="250">
        <f t="shared" si="8"/>
        <v>0</v>
      </c>
      <c r="AD63" s="251">
        <f t="shared" si="20"/>
        <v>0</v>
      </c>
      <c r="AE63" s="147">
        <f t="shared" si="21"/>
        <v>7.8261985692743397E-2</v>
      </c>
      <c r="AF63" s="250">
        <f t="shared" si="9"/>
        <v>0</v>
      </c>
      <c r="AG63" s="633">
        <v>0</v>
      </c>
      <c r="AH63" s="633">
        <v>0</v>
      </c>
      <c r="AI63" s="250">
        <f t="shared" si="10"/>
        <v>0</v>
      </c>
      <c r="AJ63" s="251">
        <f t="shared" si="22"/>
        <v>0</v>
      </c>
      <c r="AK63" s="250">
        <f t="shared" si="11"/>
        <v>0</v>
      </c>
      <c r="AL63" s="91"/>
      <c r="AM63" s="250">
        <f t="shared" si="23"/>
        <v>0</v>
      </c>
      <c r="AN63" s="250">
        <f>(AM63/$AM65)*$AN51</f>
        <v>0</v>
      </c>
      <c r="AO63" s="250">
        <f t="shared" si="12"/>
        <v>0</v>
      </c>
    </row>
    <row r="64" spans="1:41">
      <c r="B64" s="91"/>
      <c r="E64" s="147"/>
      <c r="G64" s="147"/>
      <c r="H64" s="91"/>
      <c r="I64" s="505"/>
      <c r="K64" s="147"/>
      <c r="L64" s="506"/>
      <c r="O64" s="506"/>
      <c r="Q64" s="505"/>
      <c r="R64" s="470"/>
      <c r="S64" s="91"/>
      <c r="T64" s="250"/>
      <c r="U64" s="505"/>
      <c r="V64" s="91"/>
      <c r="Y64" s="147"/>
      <c r="AA64" s="147"/>
      <c r="AB64" s="91"/>
      <c r="AC64" s="505"/>
      <c r="AE64" s="147"/>
      <c r="AF64" s="506"/>
      <c r="AI64" s="506"/>
      <c r="AK64" s="505"/>
      <c r="AL64" s="91"/>
      <c r="AM64" s="250"/>
      <c r="AN64" s="250"/>
      <c r="AO64" s="250"/>
    </row>
    <row r="65" spans="1:41">
      <c r="A65" s="481"/>
      <c r="B65" s="481" t="s">
        <v>616</v>
      </c>
      <c r="C65" s="512">
        <f>SUM(C55:C64)</f>
        <v>544125313.79450762</v>
      </c>
      <c r="D65" s="512">
        <f>SUM(D55:D64)</f>
        <v>38478660.7942627</v>
      </c>
      <c r="E65" s="512"/>
      <c r="F65" s="512">
        <f>SUM(F55:F64)</f>
        <v>1695639.132927268</v>
      </c>
      <c r="G65" s="512"/>
      <c r="H65" s="512">
        <f>SUM(H55:H64)</f>
        <v>6882659.8157662377</v>
      </c>
      <c r="I65" s="512">
        <f>SUM(I55:I64)</f>
        <v>8578298.9486935064</v>
      </c>
      <c r="J65" s="512">
        <f>SUM(J55:J64)</f>
        <v>505646653.00024498</v>
      </c>
      <c r="K65" s="512"/>
      <c r="L65" s="512">
        <f t="shared" ref="L65:R65" si="25">SUM(L55:L64)</f>
        <v>39209317.014862955</v>
      </c>
      <c r="M65" s="512">
        <f t="shared" si="25"/>
        <v>8216211.4106718032</v>
      </c>
      <c r="N65" s="512">
        <f t="shared" si="25"/>
        <v>0</v>
      </c>
      <c r="O65" s="512">
        <f t="shared" si="25"/>
        <v>56003827.374228261</v>
      </c>
      <c r="P65" s="512">
        <f t="shared" si="25"/>
        <v>2730030.1346250107</v>
      </c>
      <c r="Q65" s="512">
        <f t="shared" si="25"/>
        <v>58733857.508853272</v>
      </c>
      <c r="R65" s="513">
        <f t="shared" si="25"/>
        <v>1</v>
      </c>
      <c r="S65" s="91"/>
      <c r="T65" s="512">
        <f>SUM(T55:T64)</f>
        <v>51797779.890000001</v>
      </c>
      <c r="U65" s="513">
        <f>SUM(U55:U64)</f>
        <v>1</v>
      </c>
      <c r="V65" s="91"/>
      <c r="W65" s="512">
        <f>SUM(W55:W64)</f>
        <v>552487488.29153836</v>
      </c>
      <c r="X65" s="512">
        <f>SUM(X55:X64)</f>
        <v>38322989.376923084</v>
      </c>
      <c r="Y65" s="512"/>
      <c r="Z65" s="512">
        <f>SUM(Z55:Z64)</f>
        <v>1718252.5916930879</v>
      </c>
      <c r="AA65" s="512"/>
      <c r="AB65" s="512">
        <f>SUM(AB55:AB64)</f>
        <v>7033192.671662014</v>
      </c>
      <c r="AC65" s="512">
        <f>SUM(AC55:AC64)</f>
        <v>8751445.2633551024</v>
      </c>
      <c r="AD65" s="512">
        <f>SUM(AD55:AD64)</f>
        <v>514164498.91461533</v>
      </c>
      <c r="AE65" s="512"/>
      <c r="AF65" s="512">
        <f t="shared" ref="AF65:AK65" si="26">SUM(AF55:AF64)</f>
        <v>40239534.657772206</v>
      </c>
      <c r="AG65" s="512">
        <f t="shared" si="26"/>
        <v>7639660.0899999999</v>
      </c>
      <c r="AH65" s="512">
        <f t="shared" si="26"/>
        <v>5921782.2199999997</v>
      </c>
      <c r="AI65" s="512">
        <f t="shared" si="26"/>
        <v>62552422.231127314</v>
      </c>
      <c r="AJ65" s="512">
        <f t="shared" si="26"/>
        <v>2730030.1346250107</v>
      </c>
      <c r="AK65" s="512">
        <f t="shared" si="26"/>
        <v>65282452.365752324</v>
      </c>
      <c r="AL65" s="91"/>
      <c r="AM65" s="512">
        <f>SUM(AM55:AM64)</f>
        <v>10754642.341127306</v>
      </c>
      <c r="AN65" s="512">
        <f>SUM(AN55:AN64)</f>
        <v>1208686.3100000003</v>
      </c>
      <c r="AO65" s="512">
        <f>SUM(AO55:AO64)</f>
        <v>11963328.651127307</v>
      </c>
    </row>
    <row r="66" spans="1:41">
      <c r="A66" s="91"/>
      <c r="B66" s="91"/>
      <c r="C66" s="91"/>
      <c r="D66" s="91"/>
      <c r="E66" s="91"/>
      <c r="F66" s="91"/>
      <c r="G66" s="91"/>
      <c r="H66" s="91"/>
      <c r="I66" s="91"/>
      <c r="J66" s="91"/>
      <c r="K66" s="91"/>
      <c r="L66" s="91"/>
      <c r="M66" s="91"/>
      <c r="N66" s="91"/>
      <c r="O66" s="91"/>
      <c r="P66" s="91"/>
      <c r="Q66" s="91"/>
      <c r="R66" s="91"/>
      <c r="S66" s="91"/>
      <c r="T66" s="91"/>
      <c r="U66" s="91"/>
      <c r="V66" s="91"/>
      <c r="W66" s="91"/>
      <c r="X66" s="91"/>
      <c r="AL66" s="91"/>
    </row>
    <row r="67" spans="1:41" ht="15.75">
      <c r="A67" s="507" t="s">
        <v>405</v>
      </c>
      <c r="B67" s="91"/>
      <c r="C67" s="91"/>
      <c r="D67" s="91"/>
      <c r="E67" s="91"/>
      <c r="F67" s="91"/>
      <c r="G67" s="91"/>
      <c r="H67" s="91"/>
      <c r="I67" s="91"/>
      <c r="J67" s="91"/>
      <c r="K67" s="91"/>
      <c r="L67" s="91"/>
      <c r="M67" s="91"/>
      <c r="N67" s="91"/>
      <c r="O67" s="91"/>
      <c r="P67" s="91"/>
      <c r="Q67" s="91"/>
      <c r="R67" s="91"/>
      <c r="S67" s="91"/>
      <c r="T67" s="91"/>
      <c r="U67" s="91"/>
      <c r="V67" s="91"/>
      <c r="W67" s="91"/>
      <c r="X67" s="91"/>
      <c r="AL67" s="91"/>
    </row>
    <row r="68" spans="1:41" ht="15.75">
      <c r="A68" s="508" t="s">
        <v>853</v>
      </c>
      <c r="C68" s="509"/>
      <c r="D68" s="509"/>
      <c r="E68" s="509"/>
      <c r="F68" s="509"/>
      <c r="G68" s="509"/>
      <c r="H68" s="509"/>
      <c r="I68" s="509"/>
      <c r="J68" s="509"/>
      <c r="K68" s="509"/>
      <c r="L68" s="509"/>
      <c r="M68" s="509"/>
      <c r="N68" s="509"/>
      <c r="O68" s="509"/>
      <c r="P68" s="509"/>
      <c r="Q68" s="509"/>
      <c r="R68" s="509"/>
      <c r="S68" s="91"/>
      <c r="T68" s="91"/>
      <c r="U68" s="91"/>
      <c r="V68" s="91"/>
      <c r="W68" s="91"/>
      <c r="X68" s="91"/>
      <c r="AL68" s="91"/>
    </row>
    <row r="69" spans="1:41" ht="15.75">
      <c r="A69" s="508" t="s">
        <v>854</v>
      </c>
      <c r="C69" s="240"/>
      <c r="D69" s="240"/>
      <c r="E69" s="240"/>
      <c r="F69" s="240"/>
      <c r="G69" s="240"/>
      <c r="H69" s="240"/>
      <c r="I69" s="240"/>
      <c r="J69" s="240"/>
      <c r="K69" s="240"/>
      <c r="L69" s="240"/>
      <c r="M69" s="240"/>
      <c r="N69" s="240"/>
      <c r="O69" s="240"/>
      <c r="P69" s="240"/>
      <c r="Q69" s="240"/>
      <c r="R69" s="240"/>
      <c r="S69" s="91"/>
      <c r="T69" s="91"/>
      <c r="U69" s="91"/>
      <c r="V69" s="91"/>
      <c r="W69" s="91"/>
      <c r="X69" s="91"/>
      <c r="AK69" s="510"/>
      <c r="AL69" s="91"/>
      <c r="AM69" s="292"/>
      <c r="AN69" s="292"/>
      <c r="AO69" s="292"/>
    </row>
    <row r="70" spans="1:41" ht="15.75">
      <c r="A70" s="508" t="s">
        <v>855</v>
      </c>
      <c r="C70" s="509"/>
      <c r="D70" s="509"/>
      <c r="E70" s="509"/>
      <c r="F70" s="509"/>
      <c r="G70" s="509"/>
      <c r="H70" s="509"/>
      <c r="I70" s="509"/>
      <c r="J70" s="509"/>
      <c r="K70" s="509"/>
      <c r="L70" s="509"/>
      <c r="M70" s="509"/>
      <c r="N70" s="509"/>
      <c r="O70" s="509"/>
      <c r="P70" s="509"/>
      <c r="Q70" s="509"/>
      <c r="R70" s="509"/>
      <c r="S70" s="91"/>
      <c r="T70" s="91"/>
      <c r="U70" s="91"/>
      <c r="V70" s="91"/>
      <c r="W70" s="91"/>
      <c r="X70" s="91"/>
      <c r="AK70" s="510"/>
      <c r="AL70" s="91"/>
      <c r="AM70" s="292"/>
      <c r="AN70" s="292"/>
      <c r="AO70" s="292"/>
    </row>
    <row r="71" spans="1:41" ht="15.75">
      <c r="A71" s="508" t="s">
        <v>856</v>
      </c>
      <c r="C71" s="511"/>
      <c r="D71" s="511"/>
      <c r="E71" s="511"/>
      <c r="F71" s="511"/>
      <c r="G71" s="511"/>
      <c r="H71" s="511"/>
      <c r="I71" s="511"/>
      <c r="J71" s="511"/>
      <c r="K71" s="511"/>
      <c r="L71" s="511"/>
      <c r="M71" s="511"/>
      <c r="N71" s="511"/>
      <c r="O71" s="511"/>
      <c r="P71" s="511"/>
      <c r="Q71" s="511"/>
      <c r="R71" s="511"/>
      <c r="S71" s="91"/>
      <c r="T71" s="91"/>
      <c r="U71" s="91"/>
      <c r="V71" s="91"/>
      <c r="W71" s="91"/>
      <c r="X71" s="91"/>
      <c r="AK71" s="510"/>
      <c r="AL71" s="91"/>
      <c r="AM71" s="292"/>
      <c r="AN71" s="292"/>
      <c r="AO71" s="292"/>
    </row>
    <row r="72" spans="1:41" ht="15.75">
      <c r="A72" s="508" t="s">
        <v>857</v>
      </c>
      <c r="C72" s="394"/>
      <c r="D72" s="394"/>
      <c r="E72" s="394"/>
      <c r="F72" s="394"/>
      <c r="G72" s="394"/>
      <c r="H72" s="394"/>
      <c r="I72" s="394"/>
      <c r="J72" s="394"/>
      <c r="K72" s="394"/>
      <c r="L72" s="394"/>
      <c r="M72" s="394"/>
      <c r="N72" s="394"/>
      <c r="O72" s="394"/>
      <c r="P72" s="394"/>
      <c r="Q72" s="394"/>
      <c r="R72" s="394"/>
      <c r="S72" s="91"/>
      <c r="T72" s="91"/>
      <c r="U72" s="91"/>
      <c r="V72" s="91"/>
      <c r="W72" s="91"/>
      <c r="X72" s="91"/>
      <c r="AL72" s="91"/>
    </row>
    <row r="73" spans="1:41" ht="15.75">
      <c r="A73" s="508" t="s">
        <v>812</v>
      </c>
      <c r="C73" s="511"/>
      <c r="D73" s="511"/>
      <c r="E73" s="511"/>
      <c r="F73" s="511"/>
      <c r="G73" s="511"/>
      <c r="H73" s="511"/>
      <c r="I73" s="511"/>
      <c r="J73" s="511"/>
      <c r="K73" s="511"/>
      <c r="L73" s="511"/>
      <c r="M73" s="511"/>
      <c r="N73" s="511"/>
      <c r="O73" s="511"/>
      <c r="P73" s="511"/>
      <c r="Q73" s="511"/>
      <c r="R73" s="511"/>
      <c r="S73" s="91"/>
      <c r="T73" s="91"/>
      <c r="U73" s="91"/>
      <c r="V73" s="91"/>
      <c r="W73" s="91"/>
      <c r="X73" s="91"/>
      <c r="AL73" s="91"/>
    </row>
    <row r="74" spans="1:41">
      <c r="S74" s="91"/>
      <c r="T74" s="91"/>
      <c r="U74" s="91"/>
      <c r="V74" s="91"/>
      <c r="W74" s="91"/>
      <c r="X74" s="91"/>
      <c r="AL74" s="91"/>
    </row>
  </sheetData>
  <mergeCells count="4">
    <mergeCell ref="C48:R48"/>
    <mergeCell ref="T48:U48"/>
    <mergeCell ref="W48:AK48"/>
    <mergeCell ref="AM48:AO48"/>
  </mergeCells>
  <pageMargins left="0.25" right="0.25" top="0.75" bottom="0.75" header="0.3" footer="0.3"/>
  <pageSetup scale="4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E37"/>
  <sheetViews>
    <sheetView showGridLines="0" zoomScaleNormal="100" zoomScaleSheetLayoutView="100" workbookViewId="0">
      <pane xSplit="1" ySplit="5" topLeftCell="B6" activePane="bottomRight" state="frozen"/>
      <selection activeCell="B3" sqref="B3"/>
      <selection pane="topRight" activeCell="B3" sqref="B3"/>
      <selection pane="bottomLeft" activeCell="B3" sqref="B3"/>
      <selection pane="bottomRight" activeCell="E37" sqref="E37"/>
    </sheetView>
  </sheetViews>
  <sheetFormatPr defaultRowHeight="15"/>
  <cols>
    <col min="1" max="1" width="9.140625" style="519"/>
    <col min="2" max="2" width="34.140625" style="523" customWidth="1"/>
    <col min="3" max="5" width="15.5703125" style="523" customWidth="1"/>
    <col min="6" max="7" width="9.140625" style="523"/>
    <col min="8" max="8" width="15.28515625" style="523" bestFit="1" customWidth="1"/>
    <col min="9" max="16384" width="9.140625" style="523"/>
  </cols>
  <sheetData>
    <row r="2" spans="2:5">
      <c r="B2" s="522" t="s">
        <v>1242</v>
      </c>
      <c r="C2" s="521"/>
      <c r="D2" s="521"/>
      <c r="E2" s="519"/>
    </row>
    <row r="3" spans="2:5">
      <c r="B3" s="515" t="s">
        <v>1234</v>
      </c>
      <c r="C3" s="521"/>
      <c r="D3" s="521"/>
      <c r="E3" s="519"/>
    </row>
    <row r="4" spans="2:5">
      <c r="B4" s="521" t="s">
        <v>885</v>
      </c>
      <c r="C4" s="521"/>
      <c r="D4" s="521"/>
      <c r="E4" s="519"/>
    </row>
    <row r="5" spans="2:5" ht="30">
      <c r="B5" s="524" t="str">
        <f>IF($E$32&lt;0,"Applicable Annual Quarter","Month")</f>
        <v>Month</v>
      </c>
      <c r="C5" s="524" t="str">
        <f>IF($E$32&lt;0,"","Debt Amount")</f>
        <v>Debt Amount</v>
      </c>
      <c r="D5" s="524" t="str">
        <f>IF($E$32&lt;0,"Annual Rate","Monthly Effective Rate")</f>
        <v>Monthly Effective Rate</v>
      </c>
      <c r="E5" s="524" t="str">
        <f>IF($E$32&lt;0,"Monthly Rate","Weighted Effective Rate")</f>
        <v>Weighted Effective Rate</v>
      </c>
    </row>
    <row r="6" spans="2:5">
      <c r="B6" s="519"/>
      <c r="C6" s="519"/>
      <c r="D6" s="525"/>
      <c r="E6" s="519"/>
    </row>
    <row r="7" spans="2:5">
      <c r="B7" s="526" t="s">
        <v>1243</v>
      </c>
      <c r="C7" s="527">
        <v>213634709.69999999</v>
      </c>
      <c r="D7" s="528">
        <v>4.5762733999999999E-2</v>
      </c>
      <c r="E7" s="529">
        <f t="shared" ref="E7:E13" si="0">IF($E$32&lt;0,ROUND(D7/12,4),$C7/SUM($C$7:$C$27)*$D7)</f>
        <v>2.4409745678960295E-3</v>
      </c>
    </row>
    <row r="8" spans="2:5">
      <c r="B8" s="526" t="s">
        <v>1244</v>
      </c>
      <c r="C8" s="527">
        <v>221036428.59999999</v>
      </c>
      <c r="D8" s="528">
        <v>4.8014146000000001E-2</v>
      </c>
      <c r="E8" s="529">
        <f t="shared" si="0"/>
        <v>2.6497966134573724E-3</v>
      </c>
    </row>
    <row r="9" spans="2:5">
      <c r="B9" s="526" t="s">
        <v>1245</v>
      </c>
      <c r="C9" s="527">
        <v>232780645.19999999</v>
      </c>
      <c r="D9" s="528">
        <v>4.9169504000000003E-2</v>
      </c>
      <c r="E9" s="529">
        <f>IF($E$32&lt;0,ROUND(D9/12,4),$C9/SUM($C$7:$C$27)*$D9)</f>
        <v>2.8577364359676167E-3</v>
      </c>
    </row>
    <row r="10" spans="2:5">
      <c r="B10" s="526" t="s">
        <v>1246</v>
      </c>
      <c r="C10" s="527">
        <v>230782400</v>
      </c>
      <c r="D10" s="528">
        <v>5.1088578000000003E-2</v>
      </c>
      <c r="E10" s="529">
        <f t="shared" si="0"/>
        <v>2.9437842493385442E-3</v>
      </c>
    </row>
    <row r="11" spans="2:5">
      <c r="B11" s="526" t="s">
        <v>1247</v>
      </c>
      <c r="C11" s="527">
        <v>214517741.90000001</v>
      </c>
      <c r="D11" s="528">
        <v>5.2652867999999999E-2</v>
      </c>
      <c r="E11" s="529">
        <f t="shared" si="0"/>
        <v>2.8201014124402315E-3</v>
      </c>
    </row>
    <row r="12" spans="2:5">
      <c r="B12" s="526" t="s">
        <v>1248</v>
      </c>
      <c r="C12" s="527">
        <v>196167033.30000001</v>
      </c>
      <c r="D12" s="528">
        <v>5.3250637000000003E-2</v>
      </c>
      <c r="E12" s="529">
        <f t="shared" si="0"/>
        <v>2.6081364496359015E-3</v>
      </c>
    </row>
    <row r="13" spans="2:5">
      <c r="B13" s="526" t="s">
        <v>1249</v>
      </c>
      <c r="C13" s="527">
        <v>142637516.09999999</v>
      </c>
      <c r="D13" s="528">
        <v>5.3531626999999998E-2</v>
      </c>
      <c r="E13" s="529">
        <f t="shared" si="0"/>
        <v>1.9064423974911658E-3</v>
      </c>
    </row>
    <row r="14" spans="2:5">
      <c r="B14" s="526" t="s">
        <v>1250</v>
      </c>
      <c r="C14" s="527">
        <v>122762709.7</v>
      </c>
      <c r="D14" s="528">
        <v>5.5547298000000002E-2</v>
      </c>
      <c r="E14" s="529">
        <f t="shared" ref="E14:E27" si="1">IF($E$32&lt;0,"",$C14/SUM($C$7:$C$27)*$D14)</f>
        <v>1.7025853076337374E-3</v>
      </c>
    </row>
    <row r="15" spans="2:5">
      <c r="B15" s="526" t="s">
        <v>1251</v>
      </c>
      <c r="C15" s="527">
        <v>119434266.7</v>
      </c>
      <c r="D15" s="528">
        <v>5.5554422999999999E-2</v>
      </c>
      <c r="E15" s="529">
        <f t="shared" si="1"/>
        <v>1.656635890015923E-3</v>
      </c>
    </row>
    <row r="16" spans="2:5" s="519" customFormat="1">
      <c r="B16" s="526" t="s">
        <v>1252</v>
      </c>
      <c r="C16" s="527">
        <v>119240548.40000001</v>
      </c>
      <c r="D16" s="528">
        <v>5.5578453999999999E-2</v>
      </c>
      <c r="E16" s="529">
        <f t="shared" si="1"/>
        <v>1.6546643266089369E-3</v>
      </c>
    </row>
    <row r="17" spans="2:5" s="519" customFormat="1">
      <c r="B17" s="526" t="s">
        <v>1253</v>
      </c>
      <c r="C17" s="527">
        <v>149154566.69999999</v>
      </c>
      <c r="D17" s="528">
        <v>5.5584923000000001E-2</v>
      </c>
      <c r="E17" s="529">
        <f t="shared" si="1"/>
        <v>2.0700128447332859E-3</v>
      </c>
    </row>
    <row r="18" spans="2:5" s="519" customFormat="1">
      <c r="B18" s="526" t="s">
        <v>1254</v>
      </c>
      <c r="C18" s="527">
        <v>175242806.5</v>
      </c>
      <c r="D18" s="528">
        <v>5.5592958999999997E-2</v>
      </c>
      <c r="E18" s="529">
        <f t="shared" si="1"/>
        <v>2.4324250505465897E-3</v>
      </c>
    </row>
    <row r="19" spans="2:5" s="519" customFormat="1">
      <c r="B19" s="526" t="s">
        <v>1255</v>
      </c>
      <c r="C19" s="527">
        <v>206614032.30000001</v>
      </c>
      <c r="D19" s="528">
        <v>5.5574941000000003E-2</v>
      </c>
      <c r="E19" s="529">
        <f t="shared" si="1"/>
        <v>2.8669379994942139E-3</v>
      </c>
    </row>
    <row r="20" spans="2:5" s="519" customFormat="1">
      <c r="B20" s="526" t="s">
        <v>1256</v>
      </c>
      <c r="C20" s="527">
        <v>253677103.40000001</v>
      </c>
      <c r="D20" s="528">
        <v>5.5566606999999997E-2</v>
      </c>
      <c r="E20" s="529">
        <f t="shared" si="1"/>
        <v>3.5194485925949003E-3</v>
      </c>
    </row>
    <row r="21" spans="2:5" s="519" customFormat="1">
      <c r="B21" s="526" t="s">
        <v>1257</v>
      </c>
      <c r="C21" s="527">
        <v>280921838.69999999</v>
      </c>
      <c r="D21" s="528">
        <v>5.5572341999999997E-2</v>
      </c>
      <c r="E21" s="529">
        <f t="shared" si="1"/>
        <v>3.8978370485786354E-3</v>
      </c>
    </row>
    <row r="22" spans="2:5" s="519" customFormat="1">
      <c r="B22" s="526" t="s">
        <v>1258</v>
      </c>
      <c r="C22" s="527">
        <v>264113400</v>
      </c>
      <c r="D22" s="528">
        <v>5.5572570000000002E-2</v>
      </c>
      <c r="E22" s="529">
        <f t="shared" si="1"/>
        <v>3.6646322122297365E-3</v>
      </c>
    </row>
    <row r="23" spans="2:5" s="519" customFormat="1">
      <c r="B23" s="526" t="s">
        <v>1259</v>
      </c>
      <c r="C23" s="527">
        <v>201829741.90000001</v>
      </c>
      <c r="D23" s="528">
        <v>5.5561534000000003E-2</v>
      </c>
      <c r="E23" s="529">
        <f t="shared" si="1"/>
        <v>2.7998764627773344E-3</v>
      </c>
    </row>
    <row r="24" spans="2:5" s="519" customFormat="1">
      <c r="B24" s="526" t="s">
        <v>1260</v>
      </c>
      <c r="C24" s="527">
        <v>230908366.69999999</v>
      </c>
      <c r="D24" s="528">
        <v>5.5577000000000001E-2</v>
      </c>
      <c r="E24" s="529">
        <f t="shared" si="1"/>
        <v>3.2041603854709388E-3</v>
      </c>
    </row>
    <row r="25" spans="2:5" s="519" customFormat="1">
      <c r="B25" s="526" t="s">
        <v>1261</v>
      </c>
      <c r="C25" s="527">
        <v>161029225.80645153</v>
      </c>
      <c r="D25" s="528">
        <v>5.5573999999999998E-2</v>
      </c>
      <c r="E25" s="529">
        <f t="shared" si="1"/>
        <v>2.2343738441743645E-3</v>
      </c>
    </row>
    <row r="26" spans="2:5" s="519" customFormat="1">
      <c r="B26" s="526" t="s">
        <v>1262</v>
      </c>
      <c r="C26" s="527">
        <v>137213870.96774188</v>
      </c>
      <c r="D26" s="528">
        <v>5.5544999999999997E-2</v>
      </c>
      <c r="E26" s="529">
        <f t="shared" si="1"/>
        <v>1.9029284744475617E-3</v>
      </c>
    </row>
    <row r="27" spans="2:5" s="519" customFormat="1">
      <c r="B27" s="526" t="s">
        <v>1263</v>
      </c>
      <c r="C27" s="527">
        <v>131467066.66666673</v>
      </c>
      <c r="D27" s="528">
        <v>5.4132E-2</v>
      </c>
      <c r="E27" s="529">
        <f t="shared" si="1"/>
        <v>1.7768490041640971E-3</v>
      </c>
    </row>
    <row r="28" spans="2:5" s="519" customFormat="1">
      <c r="B28" s="526"/>
      <c r="C28" s="527"/>
      <c r="D28" s="530"/>
    </row>
    <row r="29" spans="2:5" s="519" customFormat="1">
      <c r="B29" s="520"/>
      <c r="C29" s="531" t="str">
        <f>IF($E$32&lt;0,"Average FERC Rate","Average ST Debt Rate")</f>
        <v>Average ST Debt Rate</v>
      </c>
      <c r="D29" s="532"/>
      <c r="E29" s="540">
        <f>IF(E32&lt;0,AVERAGE(E7:E28)*12,SUM(E7:E28))</f>
        <v>5.3610339569697116E-2</v>
      </c>
    </row>
    <row r="30" spans="2:5" s="519" customFormat="1">
      <c r="B30" s="520"/>
      <c r="C30" s="531"/>
      <c r="D30" s="532"/>
      <c r="E30" s="532"/>
    </row>
    <row r="31" spans="2:5" s="519" customFormat="1">
      <c r="B31" s="520"/>
      <c r="C31" s="531"/>
      <c r="D31" s="532"/>
      <c r="E31" s="532"/>
    </row>
    <row r="32" spans="2:5" s="519" customFormat="1">
      <c r="D32" s="531" t="str">
        <f>IF(E32&lt;0,"Over Collected Amount","Under Collected Amount")</f>
        <v>Under Collected Amount</v>
      </c>
      <c r="E32" s="533">
        <f>'MM True-up Template'!AM65</f>
        <v>10754642.341127306</v>
      </c>
    </row>
    <row r="33" spans="4:5" s="519" customFormat="1">
      <c r="D33" s="531"/>
      <c r="E33" s="533"/>
    </row>
    <row r="34" spans="4:5" s="519" customFormat="1">
      <c r="D34" s="531" t="s">
        <v>883</v>
      </c>
      <c r="E34" s="519">
        <v>2</v>
      </c>
    </row>
    <row r="35" spans="4:5" s="519" customFormat="1">
      <c r="D35" s="531" t="s">
        <v>882</v>
      </c>
      <c r="E35" s="534">
        <f>ROUND(IF(E32&lt;0,-FV(E29/4,E34*4,0,E32)-E32,FV(E29/4,E34*4,0,-E32)-E32),2)</f>
        <v>1208686.31</v>
      </c>
    </row>
    <row r="36" spans="4:5" s="519" customFormat="1"/>
    <row r="37" spans="4:5" s="519" customFormat="1" ht="15.75" thickBot="1">
      <c r="E37" s="536">
        <f>E32+E35</f>
        <v>11963328.651127307</v>
      </c>
    </row>
  </sheetData>
  <pageMargins left="0.7" right="0.7" top="0.75" bottom="0.75" header="0.3" footer="0.3"/>
  <pageSetup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B1:I49"/>
  <sheetViews>
    <sheetView showGridLines="0" zoomScaleNormal="100" zoomScaleSheetLayoutView="100" workbookViewId="0">
      <pane xSplit="2" ySplit="6" topLeftCell="C7" activePane="bottomRight" state="frozen"/>
      <selection activeCell="C6" sqref="C6"/>
      <selection pane="topRight" activeCell="C6" sqref="C6"/>
      <selection pane="bottomLeft" activeCell="C6" sqref="C6"/>
      <selection pane="bottomRight" activeCell="F19" sqref="F19"/>
    </sheetView>
  </sheetViews>
  <sheetFormatPr defaultColWidth="11.42578125" defaultRowHeight="12.75"/>
  <cols>
    <col min="1" max="1" width="11.42578125" style="28"/>
    <col min="2" max="2" width="16.7109375" style="28" customWidth="1"/>
    <col min="3" max="9" width="23.5703125" style="28" customWidth="1"/>
    <col min="10" max="10" width="4.5703125" style="28" customWidth="1"/>
    <col min="11" max="16384" width="11.42578125" style="28"/>
  </cols>
  <sheetData>
    <row r="1" spans="2:9" s="60" customFormat="1" ht="15">
      <c r="B1" s="638"/>
      <c r="C1" s="564"/>
      <c r="D1" s="564"/>
      <c r="E1" s="564"/>
      <c r="F1" s="638"/>
      <c r="G1" s="638"/>
      <c r="H1" s="638"/>
      <c r="I1" s="639"/>
    </row>
    <row r="2" spans="2:9">
      <c r="B2" s="27" t="s">
        <v>351</v>
      </c>
      <c r="C2" s="640"/>
      <c r="D2" s="640"/>
      <c r="E2" s="640"/>
      <c r="F2" s="640"/>
      <c r="G2" s="640"/>
      <c r="H2" s="640"/>
      <c r="I2" s="640"/>
    </row>
    <row r="3" spans="2:9">
      <c r="B3" s="27" t="s">
        <v>1231</v>
      </c>
      <c r="C3" s="640"/>
      <c r="D3" s="640"/>
      <c r="E3" s="640"/>
      <c r="F3" s="640"/>
      <c r="G3" s="640"/>
      <c r="H3" s="640"/>
      <c r="I3" s="640"/>
    </row>
    <row r="4" spans="2:9">
      <c r="B4" s="27" t="s">
        <v>352</v>
      </c>
      <c r="C4" s="640"/>
      <c r="D4" s="640"/>
      <c r="E4" s="640"/>
      <c r="F4" s="640"/>
      <c r="G4" s="640"/>
      <c r="H4" s="640"/>
      <c r="I4" s="640"/>
    </row>
    <row r="5" spans="2:9">
      <c r="B5" s="640"/>
      <c r="C5" s="640"/>
      <c r="D5" s="640"/>
      <c r="E5" s="640"/>
      <c r="F5" s="640"/>
      <c r="G5" s="640"/>
      <c r="H5" s="640"/>
      <c r="I5" s="640"/>
    </row>
    <row r="6" spans="2:9" ht="25.5" customHeight="1">
      <c r="B6" s="642"/>
      <c r="C6" s="35" t="s">
        <v>340</v>
      </c>
      <c r="D6" s="35"/>
      <c r="E6" s="35"/>
      <c r="F6" s="35"/>
      <c r="G6" s="35"/>
      <c r="H6" s="642"/>
      <c r="I6" s="642"/>
    </row>
    <row r="7" spans="2:9" s="31" customFormat="1" ht="38.25">
      <c r="B7" s="29" t="s">
        <v>350</v>
      </c>
      <c r="C7" s="30" t="s">
        <v>341</v>
      </c>
      <c r="D7" s="30" t="s">
        <v>342</v>
      </c>
      <c r="E7" s="29" t="s">
        <v>343</v>
      </c>
      <c r="F7" s="30" t="s">
        <v>344</v>
      </c>
      <c r="G7" s="30" t="s">
        <v>345</v>
      </c>
      <c r="H7" s="30" t="s">
        <v>347</v>
      </c>
      <c r="I7" s="30" t="s">
        <v>348</v>
      </c>
    </row>
    <row r="8" spans="2:9" s="33" customFormat="1">
      <c r="B8" s="643" t="s">
        <v>353</v>
      </c>
      <c r="C8" s="644"/>
      <c r="D8" s="644" t="s">
        <v>78</v>
      </c>
      <c r="E8" s="645" t="s">
        <v>81</v>
      </c>
      <c r="F8" s="644">
        <v>4</v>
      </c>
      <c r="G8" s="644">
        <v>25</v>
      </c>
      <c r="H8" s="644">
        <v>27</v>
      </c>
      <c r="I8" s="644">
        <v>28</v>
      </c>
    </row>
    <row r="9" spans="2:9" s="31" customFormat="1">
      <c r="B9" s="686">
        <v>45627</v>
      </c>
      <c r="C9" s="646">
        <v>8282873164.5849705</v>
      </c>
      <c r="D9" s="709">
        <v>7872432163.1788082</v>
      </c>
      <c r="E9" s="646">
        <v>405234301.45951104</v>
      </c>
      <c r="F9" s="646">
        <v>396588781.40616214</v>
      </c>
      <c r="G9" s="646">
        <v>13852220</v>
      </c>
      <c r="H9" s="646">
        <v>24595032.109999999</v>
      </c>
      <c r="I9" s="646">
        <v>17481739.7872</v>
      </c>
    </row>
    <row r="10" spans="2:9">
      <c r="B10" s="681">
        <v>45658</v>
      </c>
      <c r="C10" s="646">
        <v>8299643833.6540022</v>
      </c>
      <c r="D10" s="709">
        <v>7884259491.4102287</v>
      </c>
      <c r="E10" s="646">
        <v>451184701.35859025</v>
      </c>
      <c r="F10" s="646">
        <v>401532122.2437737</v>
      </c>
      <c r="G10" s="646">
        <v>13852220</v>
      </c>
      <c r="H10" s="646">
        <v>25366032.109999999</v>
      </c>
      <c r="I10" s="646">
        <v>16526412.82936509</v>
      </c>
    </row>
    <row r="11" spans="2:9">
      <c r="B11" s="682">
        <v>45689</v>
      </c>
      <c r="C11" s="646">
        <v>8402086238.5840454</v>
      </c>
      <c r="D11" s="709">
        <v>7983303184.1702719</v>
      </c>
      <c r="E11" s="646">
        <v>443363579.05096132</v>
      </c>
      <c r="F11" s="646">
        <v>404930834.41377378</v>
      </c>
      <c r="G11" s="646">
        <v>13852220</v>
      </c>
      <c r="H11" s="646">
        <v>26888032.109999999</v>
      </c>
      <c r="I11" s="646">
        <v>20309046.674348295</v>
      </c>
    </row>
    <row r="12" spans="2:9">
      <c r="B12" s="682">
        <v>45717</v>
      </c>
      <c r="C12" s="646">
        <v>8505884122.1141062</v>
      </c>
      <c r="D12" s="709">
        <v>8088130928.0924845</v>
      </c>
      <c r="E12" s="646">
        <v>387459033.19470304</v>
      </c>
      <c r="F12" s="646">
        <v>403900974.02162206</v>
      </c>
      <c r="G12" s="646">
        <v>13852220</v>
      </c>
      <c r="H12" s="646">
        <v>28543032.109999999</v>
      </c>
      <c r="I12" s="646">
        <v>19571290.965740517</v>
      </c>
    </row>
    <row r="13" spans="2:9">
      <c r="B13" s="682">
        <v>45748</v>
      </c>
      <c r="C13" s="646">
        <v>8516296690.226738</v>
      </c>
      <c r="D13" s="709">
        <v>8090135880.2451553</v>
      </c>
      <c r="E13" s="646">
        <v>437934555.97136974</v>
      </c>
      <c r="F13" s="646">
        <v>412308589.98158216</v>
      </c>
      <c r="G13" s="646">
        <v>13852220</v>
      </c>
      <c r="H13" s="646">
        <v>30423032.109999999</v>
      </c>
      <c r="I13" s="646">
        <v>18497162.024069916</v>
      </c>
    </row>
    <row r="14" spans="2:9">
      <c r="B14" s="682">
        <v>45778</v>
      </c>
      <c r="C14" s="646">
        <v>8543598853.9484558</v>
      </c>
      <c r="D14" s="709">
        <v>8104611933.2740231</v>
      </c>
      <c r="E14" s="646">
        <v>471007518.46803647</v>
      </c>
      <c r="F14" s="646">
        <v>425134700.67443264</v>
      </c>
      <c r="G14" s="646">
        <v>13852220</v>
      </c>
      <c r="H14" s="646">
        <v>32661032.109999999</v>
      </c>
      <c r="I14" s="646">
        <v>21992864.642494738</v>
      </c>
    </row>
    <row r="15" spans="2:9">
      <c r="B15" s="682">
        <v>45809</v>
      </c>
      <c r="C15" s="646">
        <v>8619899628.8274441</v>
      </c>
      <c r="D15" s="709">
        <v>8176052856.4982042</v>
      </c>
      <c r="E15" s="646">
        <v>460057067.07777917</v>
      </c>
      <c r="F15" s="646">
        <v>428894552.3292402</v>
      </c>
      <c r="G15" s="646">
        <v>14952220</v>
      </c>
      <c r="H15" s="646">
        <v>33239032.109999999</v>
      </c>
      <c r="I15" s="646">
        <v>26488496.437610254</v>
      </c>
    </row>
    <row r="16" spans="2:9">
      <c r="B16" s="682">
        <v>45839</v>
      </c>
      <c r="C16" s="646">
        <v>8644422043.3157883</v>
      </c>
      <c r="D16" s="709">
        <v>8197424539.8065481</v>
      </c>
      <c r="E16" s="646">
        <v>483815724.3406077</v>
      </c>
      <c r="F16" s="646">
        <v>432045283.50924027</v>
      </c>
      <c r="G16" s="646">
        <v>14952220</v>
      </c>
      <c r="H16" s="646">
        <v>33239032.109999999</v>
      </c>
      <c r="I16" s="646">
        <v>22224217.284572523</v>
      </c>
    </row>
    <row r="17" spans="2:9">
      <c r="B17" s="682">
        <v>45870</v>
      </c>
      <c r="C17" s="646">
        <v>8650547558.6945534</v>
      </c>
      <c r="D17" s="709">
        <v>8200438038.0153131</v>
      </c>
      <c r="E17" s="646">
        <v>525226273.08970916</v>
      </c>
      <c r="F17" s="646">
        <v>435157300.67924023</v>
      </c>
      <c r="G17" s="646">
        <v>14952220</v>
      </c>
      <c r="H17" s="646">
        <v>33239032.109999999</v>
      </c>
      <c r="I17" s="646">
        <v>20579892.786081567</v>
      </c>
    </row>
    <row r="18" spans="2:9">
      <c r="B18" s="682">
        <v>45901</v>
      </c>
      <c r="C18" s="646">
        <v>8662240236.6008625</v>
      </c>
      <c r="D18" s="709">
        <v>8209540372.6216221</v>
      </c>
      <c r="E18" s="646">
        <v>589092994.69639039</v>
      </c>
      <c r="F18" s="646">
        <v>437747643.9792403</v>
      </c>
      <c r="G18" s="646">
        <v>14952220</v>
      </c>
      <c r="H18" s="646">
        <v>33239032.109999999</v>
      </c>
      <c r="I18" s="646">
        <v>19455570.510546789</v>
      </c>
    </row>
    <row r="19" spans="2:9">
      <c r="B19" s="682">
        <v>45931</v>
      </c>
      <c r="C19" s="646">
        <v>8766849100.7709084</v>
      </c>
      <c r="D19" s="709">
        <v>8292482954.527667</v>
      </c>
      <c r="E19" s="646">
        <v>564519544.81141973</v>
      </c>
      <c r="F19" s="646">
        <v>459413926.24324107</v>
      </c>
      <c r="G19" s="646">
        <v>14952220</v>
      </c>
      <c r="H19" s="646">
        <v>33930032.109999999</v>
      </c>
      <c r="I19" s="646">
        <v>18294620.235384032</v>
      </c>
    </row>
    <row r="20" spans="2:9">
      <c r="B20" s="682">
        <v>45962</v>
      </c>
      <c r="C20" s="646">
        <v>8794688036.8602028</v>
      </c>
      <c r="D20" s="709">
        <v>8308849444.3572779</v>
      </c>
      <c r="E20" s="646">
        <v>607106046.69024777</v>
      </c>
      <c r="F20" s="646">
        <v>470886372.50292516</v>
      </c>
      <c r="G20" s="646">
        <v>14952220</v>
      </c>
      <c r="H20" s="646">
        <v>33930032.109999999</v>
      </c>
      <c r="I20" s="646">
        <v>19361659.863579601</v>
      </c>
    </row>
    <row r="21" spans="2:9">
      <c r="B21" s="681">
        <v>45992</v>
      </c>
      <c r="C21" s="646">
        <v>9002723362.4065208</v>
      </c>
      <c r="D21" s="709">
        <v>8519786148.0135956</v>
      </c>
      <c r="E21" s="646">
        <v>482307415.37991893</v>
      </c>
      <c r="F21" s="646">
        <v>467984994.39292514</v>
      </c>
      <c r="G21" s="646">
        <v>14952220</v>
      </c>
      <c r="H21" s="646">
        <v>41189532.109999999</v>
      </c>
      <c r="I21" s="646">
        <v>17968812.348556764</v>
      </c>
    </row>
    <row r="22" spans="2:9" ht="13.5" thickBot="1">
      <c r="B22" s="641" t="s">
        <v>354</v>
      </c>
      <c r="C22" s="710">
        <f t="shared" ref="C22:I22" si="0">SUM(C9:C21)/13</f>
        <v>8591673297.7375832</v>
      </c>
      <c r="D22" s="710">
        <f t="shared" si="0"/>
        <v>8148265225.7085552</v>
      </c>
      <c r="E22" s="710">
        <f t="shared" si="0"/>
        <v>485254519.66071117</v>
      </c>
      <c r="F22" s="647">
        <f t="shared" si="0"/>
        <v>428963544.33672303</v>
      </c>
      <c r="G22" s="647">
        <f t="shared" si="0"/>
        <v>14444527.692307692</v>
      </c>
      <c r="H22" s="647">
        <f t="shared" si="0"/>
        <v>31575532.110000011</v>
      </c>
      <c r="I22" s="647">
        <f t="shared" si="0"/>
        <v>19903983.568426933</v>
      </c>
    </row>
    <row r="23" spans="2:9" ht="15.75" thickTop="1">
      <c r="B23" s="640"/>
      <c r="C23" s="648"/>
      <c r="D23" s="34"/>
      <c r="E23" s="676"/>
      <c r="F23" s="34"/>
      <c r="G23" s="34"/>
      <c r="H23" s="648"/>
      <c r="I23" s="648"/>
    </row>
    <row r="24" spans="2:9" ht="15">
      <c r="B24" s="640"/>
      <c r="C24" s="648"/>
      <c r="D24" s="34"/>
      <c r="E24" s="648"/>
      <c r="F24" s="34"/>
      <c r="G24" s="34"/>
      <c r="H24" s="648"/>
      <c r="I24" s="648"/>
    </row>
    <row r="25" spans="2:9" ht="25.5" customHeight="1">
      <c r="B25" s="35" t="s">
        <v>355</v>
      </c>
      <c r="C25" s="36"/>
      <c r="D25" s="36"/>
      <c r="E25" s="36"/>
      <c r="F25" s="36"/>
      <c r="G25" s="34"/>
      <c r="H25" s="648"/>
      <c r="I25" s="648"/>
    </row>
    <row r="26" spans="2:9" ht="38.25">
      <c r="B26" s="29" t="s">
        <v>350</v>
      </c>
      <c r="C26" s="30" t="s">
        <v>341</v>
      </c>
      <c r="D26" s="30" t="s">
        <v>342</v>
      </c>
      <c r="E26" s="29" t="s">
        <v>343</v>
      </c>
      <c r="F26" s="30" t="s">
        <v>344</v>
      </c>
      <c r="G26" s="30" t="s">
        <v>1057</v>
      </c>
      <c r="H26" s="640"/>
      <c r="I26" s="640"/>
    </row>
    <row r="27" spans="2:9">
      <c r="B27" s="643" t="s">
        <v>353</v>
      </c>
      <c r="C27" s="644"/>
      <c r="D27" s="644" t="s">
        <v>95</v>
      </c>
      <c r="E27" s="645" t="s">
        <v>97</v>
      </c>
      <c r="F27" s="644">
        <v>10</v>
      </c>
      <c r="G27" s="644" t="s">
        <v>1053</v>
      </c>
      <c r="H27" s="640"/>
      <c r="I27" s="640"/>
    </row>
    <row r="28" spans="2:9" ht="15">
      <c r="B28" s="686">
        <v>45627</v>
      </c>
      <c r="C28" s="646">
        <v>-2489927672.8988771</v>
      </c>
      <c r="D28" s="711">
        <v>-2356877920.2446795</v>
      </c>
      <c r="E28" s="34"/>
      <c r="F28" s="646">
        <v>-110013580.87919761</v>
      </c>
      <c r="G28" s="646">
        <v>-23036171.774999999</v>
      </c>
      <c r="H28" s="640"/>
      <c r="I28" s="640"/>
    </row>
    <row r="29" spans="2:9" ht="15">
      <c r="B29" s="681">
        <v>45658</v>
      </c>
      <c r="C29" s="646">
        <v>-2507786926.8894176</v>
      </c>
      <c r="D29" s="711">
        <v>-2371978682.2121229</v>
      </c>
      <c r="E29" s="34"/>
      <c r="F29" s="646">
        <v>-112810147.2147945</v>
      </c>
      <c r="G29" s="646">
        <v>-22998097.462499999</v>
      </c>
      <c r="H29" s="640"/>
      <c r="I29" s="640"/>
    </row>
    <row r="30" spans="2:9" ht="15">
      <c r="B30" s="682">
        <v>45689</v>
      </c>
      <c r="C30" s="646">
        <v>-2526119180.2415199</v>
      </c>
      <c r="D30" s="711">
        <v>-2387537490.7762556</v>
      </c>
      <c r="E30" s="34"/>
      <c r="F30" s="646">
        <v>-115621666.31526423</v>
      </c>
      <c r="G30" s="646">
        <v>-22960023.149999999</v>
      </c>
      <c r="H30" s="640"/>
      <c r="I30" s="640"/>
    </row>
    <row r="31" spans="2:9" ht="15">
      <c r="B31" s="682">
        <v>45717</v>
      </c>
      <c r="C31" s="646">
        <v>-2539786935.0864305</v>
      </c>
      <c r="D31" s="711">
        <v>-2403182773.7081032</v>
      </c>
      <c r="E31" s="34"/>
      <c r="F31" s="646">
        <v>-113682212.54082733</v>
      </c>
      <c r="G31" s="646">
        <v>-22921948.837499999</v>
      </c>
      <c r="H31" s="640"/>
      <c r="I31" s="640"/>
    </row>
    <row r="32" spans="2:9" ht="15">
      <c r="B32" s="682">
        <v>45748</v>
      </c>
      <c r="C32" s="646">
        <v>-2558145471.6649871</v>
      </c>
      <c r="D32" s="711">
        <v>-2418654263.3547468</v>
      </c>
      <c r="E32" s="34"/>
      <c r="F32" s="646">
        <v>-116607333.78524017</v>
      </c>
      <c r="G32" s="646">
        <v>-22883874.524999999</v>
      </c>
      <c r="H32" s="640"/>
      <c r="I32" s="640"/>
    </row>
    <row r="33" spans="2:9" ht="15">
      <c r="B33" s="682">
        <v>45778</v>
      </c>
      <c r="C33" s="646">
        <v>-2576726313.4811921</v>
      </c>
      <c r="D33" s="711">
        <v>-2434229938.7342768</v>
      </c>
      <c r="E33" s="34"/>
      <c r="F33" s="646">
        <v>-119650574.53441505</v>
      </c>
      <c r="G33" s="646">
        <v>-22845800.212499999</v>
      </c>
      <c r="H33" s="640"/>
      <c r="I33" s="640"/>
    </row>
    <row r="34" spans="2:9" ht="15">
      <c r="B34" s="682">
        <v>45809</v>
      </c>
      <c r="C34" s="646">
        <v>-2593754913.686357</v>
      </c>
      <c r="D34" s="711">
        <v>-2449341507.0072455</v>
      </c>
      <c r="E34" s="34"/>
      <c r="F34" s="646">
        <v>-121605680.77911137</v>
      </c>
      <c r="G34" s="646">
        <v>-22807725.899999999</v>
      </c>
      <c r="H34" s="640"/>
      <c r="I34" s="640"/>
    </row>
    <row r="35" spans="2:9" ht="15">
      <c r="B35" s="682">
        <v>45839</v>
      </c>
      <c r="C35" s="646">
        <v>-2612568602.7472601</v>
      </c>
      <c r="D35" s="711">
        <v>-2464604485.7512789</v>
      </c>
      <c r="E35" s="34"/>
      <c r="F35" s="646">
        <v>-125194465.40848133</v>
      </c>
      <c r="G35" s="646">
        <v>-22769651.587499999</v>
      </c>
      <c r="H35" s="640"/>
      <c r="I35" s="640"/>
    </row>
    <row r="36" spans="2:9" ht="15">
      <c r="B36" s="682">
        <v>45870</v>
      </c>
      <c r="C36" s="646">
        <v>-2631601563.5569696</v>
      </c>
      <c r="D36" s="711">
        <v>-2479553611.0110569</v>
      </c>
      <c r="E36" s="34"/>
      <c r="F36" s="646">
        <v>-129316375.27091247</v>
      </c>
      <c r="G36" s="646">
        <v>-22731577.274999999</v>
      </c>
      <c r="H36" s="640"/>
      <c r="I36" s="640"/>
    </row>
    <row r="37" spans="2:9" ht="15">
      <c r="B37" s="682">
        <v>45901</v>
      </c>
      <c r="C37" s="646">
        <v>-2650185895.9734359</v>
      </c>
      <c r="D37" s="711">
        <v>-2494263576.3436236</v>
      </c>
      <c r="E37" s="34"/>
      <c r="F37" s="646">
        <v>-133228816.66731203</v>
      </c>
      <c r="G37" s="646">
        <v>-22693502.962499999</v>
      </c>
      <c r="H37" s="640"/>
      <c r="I37" s="640"/>
    </row>
    <row r="38" spans="2:9" ht="15">
      <c r="B38" s="682">
        <v>45931</v>
      </c>
      <c r="C38" s="646">
        <v>-2669234947.5584078</v>
      </c>
      <c r="D38" s="711">
        <v>-2508907815.849422</v>
      </c>
      <c r="E38" s="34"/>
      <c r="F38" s="646">
        <v>-137671703.05898574</v>
      </c>
      <c r="G38" s="646">
        <v>-22655428.649999999</v>
      </c>
      <c r="H38" s="640"/>
      <c r="I38" s="640"/>
    </row>
    <row r="39" spans="2:9" ht="15">
      <c r="B39" s="682">
        <v>45962</v>
      </c>
      <c r="C39" s="646">
        <v>-2688803377.0046492</v>
      </c>
      <c r="D39" s="711">
        <v>-2523861850.878931</v>
      </c>
      <c r="E39" s="34"/>
      <c r="F39" s="646">
        <v>-142324171.78821805</v>
      </c>
      <c r="G39" s="646">
        <v>-22617354.337499999</v>
      </c>
      <c r="H39" s="640"/>
      <c r="I39" s="640"/>
    </row>
    <row r="40" spans="2:9" ht="15">
      <c r="B40" s="681">
        <v>45992</v>
      </c>
      <c r="C40" s="646">
        <v>-2701239389.0379925</v>
      </c>
      <c r="D40" s="711">
        <v>-2538779630.1102495</v>
      </c>
      <c r="E40" s="34"/>
      <c r="F40" s="646">
        <v>-139880478.9027428</v>
      </c>
      <c r="G40" s="646">
        <v>-22579280.024999999</v>
      </c>
      <c r="H40" s="640"/>
      <c r="I40" s="640"/>
    </row>
    <row r="41" spans="2:9" ht="13.5" thickBot="1">
      <c r="B41" s="641" t="s">
        <v>354</v>
      </c>
      <c r="C41" s="647">
        <f>SUM(C28:C40)/13</f>
        <v>-2595837014.6021147</v>
      </c>
      <c r="D41" s="712">
        <f>SUM(D28:D40)/13</f>
        <v>-2448597965.0755377</v>
      </c>
      <c r="E41" s="647">
        <f>SUM(E28:E40)/13</f>
        <v>0</v>
      </c>
      <c r="F41" s="647">
        <f>SUM(F28:F40)/13</f>
        <v>-124431323.62657712</v>
      </c>
      <c r="G41" s="647">
        <f>SUM(G28:G40)/13</f>
        <v>-22807725.899999999</v>
      </c>
      <c r="H41" s="640"/>
      <c r="I41" s="640"/>
    </row>
    <row r="42" spans="2:9" ht="15.75" thickTop="1">
      <c r="B42" s="640"/>
      <c r="C42" s="640"/>
      <c r="D42" s="34"/>
      <c r="E42" s="676"/>
      <c r="F42" s="34"/>
      <c r="G42" s="34"/>
      <c r="H42" s="34"/>
      <c r="I42" s="34"/>
    </row>
    <row r="43" spans="2:9" ht="15">
      <c r="B43" s="27"/>
      <c r="C43" s="640"/>
      <c r="D43" s="34"/>
      <c r="E43" s="34"/>
      <c r="F43" s="34"/>
      <c r="G43" s="34"/>
      <c r="H43" s="34"/>
      <c r="I43" s="34"/>
    </row>
    <row r="44" spans="2:9" ht="25.5" customHeight="1">
      <c r="B44" s="35" t="s">
        <v>356</v>
      </c>
      <c r="C44" s="36"/>
      <c r="D44" s="36"/>
      <c r="E44" s="36"/>
      <c r="F44" s="36"/>
      <c r="G44" s="20"/>
      <c r="H44" s="34"/>
      <c r="I44" s="34"/>
    </row>
    <row r="45" spans="2:9" ht="38.25">
      <c r="B45" s="29" t="s">
        <v>350</v>
      </c>
      <c r="C45" s="30" t="s">
        <v>341</v>
      </c>
      <c r="D45" s="30" t="s">
        <v>342</v>
      </c>
      <c r="E45" s="29" t="s">
        <v>343</v>
      </c>
      <c r="F45" s="30" t="s">
        <v>344</v>
      </c>
      <c r="G45" s="649"/>
      <c r="H45" s="34"/>
      <c r="I45" s="34"/>
    </row>
    <row r="46" spans="2:9" ht="15">
      <c r="B46" s="645" t="s">
        <v>353</v>
      </c>
      <c r="C46" s="644"/>
      <c r="D46" s="644" t="s">
        <v>95</v>
      </c>
      <c r="E46" s="645" t="s">
        <v>97</v>
      </c>
      <c r="F46" s="644">
        <v>10</v>
      </c>
      <c r="G46" s="649"/>
      <c r="H46" s="34"/>
      <c r="I46" s="34"/>
    </row>
    <row r="47" spans="2:9" ht="15.75" thickBot="1">
      <c r="B47" s="641" t="s">
        <v>354</v>
      </c>
      <c r="C47" s="647">
        <v>5995836283.1354685</v>
      </c>
      <c r="D47" s="647">
        <v>5676859534.7330179</v>
      </c>
      <c r="E47" s="647">
        <v>485254519.66071117</v>
      </c>
      <c r="F47" s="647">
        <v>304532220.71014589</v>
      </c>
      <c r="G47" s="649"/>
      <c r="H47" s="34"/>
      <c r="I47" s="34"/>
    </row>
    <row r="48" spans="2:9" ht="15.75" thickTop="1">
      <c r="B48" s="640"/>
      <c r="C48" s="646"/>
      <c r="D48" s="649"/>
      <c r="E48" s="675"/>
      <c r="F48" s="649"/>
      <c r="G48" s="649"/>
      <c r="H48" s="34"/>
      <c r="I48" s="34"/>
    </row>
    <row r="49" spans="2:9" ht="15">
      <c r="B49" s="640"/>
      <c r="C49" s="646"/>
      <c r="D49" s="649"/>
      <c r="E49" s="646"/>
      <c r="F49" s="649"/>
      <c r="G49" s="649"/>
      <c r="H49" s="34"/>
      <c r="I49" s="34"/>
    </row>
  </sheetData>
  <pageMargins left="0.7" right="0.7" top="0.75" bottom="0.75" header="0.3" footer="0.3"/>
  <pageSetup scale="65" orientation="landscape" r:id="rId1"/>
  <headerFooter>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pageSetUpPr fitToPage="1"/>
  </sheetPr>
  <dimension ref="B1:F39"/>
  <sheetViews>
    <sheetView showGridLines="0" zoomScaleNormal="100" zoomScaleSheetLayoutView="100" workbookViewId="0">
      <pane ySplit="3" topLeftCell="A4" activePane="bottomLeft" state="frozen"/>
      <selection activeCell="D121" sqref="D121"/>
      <selection pane="bottomLeft" activeCell="B3" sqref="B3"/>
    </sheetView>
  </sheetViews>
  <sheetFormatPr defaultRowHeight="12.75"/>
  <cols>
    <col min="1" max="1" width="9.140625" style="164"/>
    <col min="2" max="3" width="12.28515625" style="164" customWidth="1"/>
    <col min="4" max="4" width="16.140625" style="164" bestFit="1" customWidth="1"/>
    <col min="5" max="5" width="41.28515625" style="164" customWidth="1"/>
    <col min="6" max="6" width="70.28515625" style="164" customWidth="1"/>
    <col min="7" max="7" width="9.42578125" style="164" customWidth="1"/>
    <col min="8" max="16384" width="9.140625" style="164"/>
  </cols>
  <sheetData>
    <row r="1" spans="2:6">
      <c r="B1" s="230" t="s">
        <v>683</v>
      </c>
      <c r="C1" s="230"/>
    </row>
    <row r="3" spans="2:6" ht="25.5">
      <c r="B3" s="228" t="s">
        <v>583</v>
      </c>
      <c r="C3" s="821" t="s">
        <v>1179</v>
      </c>
      <c r="D3" s="229" t="s">
        <v>607</v>
      </c>
      <c r="E3" s="229" t="s">
        <v>606</v>
      </c>
      <c r="F3" s="228" t="s">
        <v>605</v>
      </c>
    </row>
    <row r="4" spans="2:6" ht="25.5">
      <c r="B4" s="224">
        <v>2844</v>
      </c>
      <c r="C4" s="224" t="s">
        <v>1185</v>
      </c>
      <c r="D4" s="225">
        <v>41469</v>
      </c>
      <c r="E4" s="226">
        <v>4998</v>
      </c>
      <c r="F4" s="227" t="s">
        <v>1226</v>
      </c>
    </row>
    <row r="5" spans="2:6" ht="25.5">
      <c r="B5" s="224">
        <v>3127</v>
      </c>
      <c r="C5" s="224" t="s">
        <v>1185</v>
      </c>
      <c r="D5" s="225">
        <v>43371</v>
      </c>
      <c r="E5" s="226" t="s">
        <v>956</v>
      </c>
      <c r="F5" s="227" t="s">
        <v>1227</v>
      </c>
    </row>
    <row r="6" spans="2:6" ht="38.25">
      <c r="B6" s="336">
        <v>23408</v>
      </c>
      <c r="C6" s="224" t="s">
        <v>1192</v>
      </c>
      <c r="D6" s="225">
        <v>44799</v>
      </c>
      <c r="E6" s="226" t="s">
        <v>1128</v>
      </c>
      <c r="F6" s="221" t="s">
        <v>1129</v>
      </c>
    </row>
    <row r="7" spans="2:6" ht="38.25">
      <c r="B7" s="336">
        <v>23372</v>
      </c>
      <c r="C7" s="224" t="s">
        <v>1192</v>
      </c>
      <c r="D7" s="225">
        <v>44799</v>
      </c>
      <c r="E7" s="226" t="s">
        <v>1130</v>
      </c>
      <c r="F7" s="227" t="s">
        <v>1131</v>
      </c>
    </row>
    <row r="8" spans="2:6">
      <c r="B8" s="336"/>
      <c r="C8" s="224"/>
      <c r="D8" s="225"/>
      <c r="E8" s="226"/>
      <c r="F8" s="227"/>
    </row>
    <row r="9" spans="2:6">
      <c r="B9" s="336"/>
      <c r="C9" s="224"/>
      <c r="D9" s="225"/>
      <c r="E9" s="226"/>
      <c r="F9" s="227"/>
    </row>
    <row r="10" spans="2:6">
      <c r="B10" s="336"/>
      <c r="C10" s="224"/>
      <c r="D10" s="225"/>
      <c r="E10" s="226"/>
      <c r="F10" s="227"/>
    </row>
    <row r="11" spans="2:6">
      <c r="B11" s="336"/>
      <c r="C11" s="224"/>
      <c r="D11" s="225"/>
      <c r="E11" s="226"/>
      <c r="F11" s="227"/>
    </row>
    <row r="12" spans="2:6">
      <c r="B12" s="336"/>
      <c r="C12" s="224"/>
      <c r="D12" s="225"/>
      <c r="E12" s="226"/>
      <c r="F12" s="227"/>
    </row>
    <row r="13" spans="2:6">
      <c r="B13" s="336"/>
      <c r="C13" s="224"/>
      <c r="D13" s="225"/>
      <c r="E13" s="226"/>
      <c r="F13" s="227"/>
    </row>
    <row r="14" spans="2:6">
      <c r="B14" s="336"/>
      <c r="C14" s="224"/>
      <c r="D14" s="225"/>
      <c r="E14" s="226"/>
      <c r="F14" s="227"/>
    </row>
    <row r="15" spans="2:6">
      <c r="B15" s="336"/>
      <c r="C15" s="224"/>
      <c r="D15" s="225"/>
      <c r="E15" s="226"/>
      <c r="F15" s="227"/>
    </row>
    <row r="16" spans="2:6">
      <c r="B16" s="336"/>
      <c r="C16" s="820"/>
      <c r="D16" s="336"/>
      <c r="E16" s="222"/>
      <c r="F16" s="221"/>
    </row>
    <row r="17" spans="2:6">
      <c r="B17" s="336"/>
      <c r="C17" s="820"/>
      <c r="D17" s="336"/>
      <c r="E17" s="222"/>
      <c r="F17" s="221"/>
    </row>
    <row r="18" spans="2:6">
      <c r="B18" s="336"/>
      <c r="C18" s="820"/>
      <c r="D18" s="336"/>
      <c r="E18" s="222"/>
      <c r="F18" s="221"/>
    </row>
    <row r="19" spans="2:6">
      <c r="B19" s="336"/>
      <c r="C19" s="820"/>
      <c r="D19" s="336"/>
      <c r="E19" s="222"/>
      <c r="F19" s="221"/>
    </row>
    <row r="20" spans="2:6">
      <c r="B20" s="336"/>
      <c r="C20" s="820"/>
      <c r="D20" s="336"/>
      <c r="E20" s="222"/>
      <c r="F20" s="221"/>
    </row>
    <row r="21" spans="2:6">
      <c r="B21" s="336"/>
      <c r="C21" s="820"/>
      <c r="D21" s="336"/>
      <c r="E21" s="222"/>
      <c r="F21" s="221"/>
    </row>
    <row r="22" spans="2:6">
      <c r="B22" s="336"/>
      <c r="C22" s="820"/>
      <c r="D22" s="336"/>
      <c r="E22" s="222"/>
      <c r="F22" s="221"/>
    </row>
    <row r="23" spans="2:6">
      <c r="B23" s="336"/>
      <c r="C23" s="820"/>
      <c r="D23" s="336"/>
      <c r="E23" s="222"/>
      <c r="F23" s="221"/>
    </row>
    <row r="24" spans="2:6">
      <c r="B24" s="336"/>
      <c r="C24" s="820"/>
      <c r="D24" s="336"/>
      <c r="E24" s="222"/>
      <c r="F24" s="221"/>
    </row>
    <row r="25" spans="2:6">
      <c r="B25" s="336"/>
      <c r="C25" s="820"/>
      <c r="D25" s="336"/>
      <c r="E25" s="222"/>
      <c r="F25" s="221"/>
    </row>
    <row r="26" spans="2:6">
      <c r="B26" s="336"/>
      <c r="C26" s="820"/>
      <c r="D26" s="336"/>
      <c r="E26" s="222"/>
      <c r="F26" s="221"/>
    </row>
    <row r="27" spans="2:6">
      <c r="B27" s="336"/>
      <c r="C27" s="820"/>
      <c r="D27" s="336"/>
      <c r="E27" s="222"/>
      <c r="F27" s="221"/>
    </row>
    <row r="28" spans="2:6">
      <c r="B28" s="336"/>
      <c r="C28" s="820"/>
      <c r="D28" s="336"/>
      <c r="E28" s="222"/>
      <c r="F28" s="221"/>
    </row>
    <row r="29" spans="2:6">
      <c r="B29" s="336"/>
      <c r="C29" s="820"/>
      <c r="D29" s="336"/>
      <c r="E29" s="222"/>
      <c r="F29" s="221"/>
    </row>
    <row r="30" spans="2:6">
      <c r="B30" s="336"/>
      <c r="C30" s="820"/>
      <c r="D30" s="336"/>
      <c r="E30" s="222"/>
      <c r="F30" s="221"/>
    </row>
    <row r="31" spans="2:6">
      <c r="B31" s="336"/>
      <c r="C31" s="820"/>
      <c r="D31" s="336"/>
      <c r="E31" s="222"/>
      <c r="F31" s="221"/>
    </row>
    <row r="32" spans="2:6">
      <c r="B32" s="336"/>
      <c r="C32" s="820"/>
      <c r="D32" s="336"/>
      <c r="E32" s="222"/>
      <c r="F32" s="221"/>
    </row>
    <row r="33" spans="2:6">
      <c r="B33" s="336"/>
      <c r="C33" s="820"/>
      <c r="D33" s="336"/>
      <c r="E33" s="222"/>
      <c r="F33" s="221"/>
    </row>
    <row r="34" spans="2:6">
      <c r="B34" s="336"/>
      <c r="C34" s="820"/>
      <c r="D34" s="336"/>
      <c r="E34" s="222"/>
      <c r="F34" s="221"/>
    </row>
    <row r="35" spans="2:6">
      <c r="B35" s="336"/>
      <c r="C35" s="820"/>
      <c r="D35" s="336"/>
      <c r="E35" s="222"/>
      <c r="F35" s="221"/>
    </row>
    <row r="36" spans="2:6">
      <c r="B36" s="336"/>
      <c r="C36" s="820"/>
      <c r="D36" s="336"/>
      <c r="E36" s="222"/>
      <c r="F36" s="221"/>
    </row>
    <row r="37" spans="2:6">
      <c r="B37" s="336"/>
      <c r="C37" s="820"/>
      <c r="D37" s="336"/>
      <c r="E37" s="222"/>
      <c r="F37" s="221"/>
    </row>
    <row r="38" spans="2:6">
      <c r="B38" s="336"/>
      <c r="C38" s="820"/>
      <c r="D38" s="336"/>
      <c r="E38" s="222"/>
      <c r="F38" s="221"/>
    </row>
    <row r="39" spans="2:6">
      <c r="B39" s="336"/>
      <c r="C39" s="820"/>
      <c r="D39" s="336"/>
      <c r="E39" s="222"/>
      <c r="F39" s="221"/>
    </row>
  </sheetData>
  <pageMargins left="0.7" right="0.7" top="0.75" bottom="0.75" header="0.3" footer="0.3"/>
  <pageSetup scale="8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6F0E-2DD7-4DCE-8A9B-E19BD108A310}">
  <sheetPr>
    <tabColor rgb="FF00FFFF"/>
  </sheetPr>
  <dimension ref="A1:U42"/>
  <sheetViews>
    <sheetView showGridLines="0" topLeftCell="B9" zoomScaleNormal="100" zoomScaleSheetLayoutView="100" workbookViewId="0">
      <selection activeCell="N9" sqref="N9"/>
    </sheetView>
  </sheetViews>
  <sheetFormatPr defaultRowHeight="15"/>
  <cols>
    <col min="1" max="2" width="13.42578125" customWidth="1"/>
    <col min="3" max="3" width="38" customWidth="1"/>
    <col min="4" max="4" width="35.42578125" customWidth="1"/>
    <col min="5" max="5" width="17" customWidth="1"/>
    <col min="6" max="6" width="2.42578125" customWidth="1"/>
    <col min="7" max="7" width="12.85546875" customWidth="1"/>
    <col min="8" max="8" width="12.5703125" customWidth="1"/>
    <col min="9" max="9" width="11.28515625" customWidth="1"/>
    <col min="10" max="10" width="12.5703125" customWidth="1"/>
    <col min="11" max="11" width="2.42578125" customWidth="1"/>
    <col min="12" max="12" width="13.28515625" customWidth="1"/>
    <col min="13" max="13" width="13" customWidth="1"/>
    <col min="14" max="14" width="11.85546875" customWidth="1"/>
    <col min="15" max="15" width="13.28515625" customWidth="1"/>
    <col min="16" max="16" width="2.42578125" customWidth="1"/>
    <col min="17" max="17" width="13.7109375" customWidth="1"/>
    <col min="18" max="18" width="17" customWidth="1"/>
    <col min="19" max="19" width="2.42578125" customWidth="1"/>
    <col min="20" max="20" width="11.42578125" customWidth="1"/>
    <col min="21" max="21" width="12.7109375" customWidth="1"/>
  </cols>
  <sheetData>
    <row r="1" spans="3:18" ht="21">
      <c r="C1" s="871" t="s">
        <v>941</v>
      </c>
      <c r="D1" s="871"/>
      <c r="E1" s="871"/>
      <c r="F1" s="871"/>
      <c r="G1" s="871"/>
      <c r="H1" s="871"/>
      <c r="I1" s="871"/>
      <c r="J1" s="871"/>
      <c r="K1" s="871"/>
      <c r="L1" s="871"/>
      <c r="M1" s="871"/>
      <c r="N1" s="871"/>
      <c r="O1" s="871"/>
      <c r="P1" s="871"/>
      <c r="Q1" s="871"/>
      <c r="R1" s="871"/>
    </row>
    <row r="2" spans="3:18" ht="5.45" customHeight="1"/>
    <row r="3" spans="3:18">
      <c r="C3" s="560" t="s">
        <v>940</v>
      </c>
    </row>
    <row r="4" spans="3:18" ht="31.15" customHeight="1">
      <c r="C4" s="873" t="s">
        <v>939</v>
      </c>
      <c r="D4" s="873"/>
      <c r="E4" s="873"/>
      <c r="F4" s="873"/>
      <c r="G4" s="873"/>
      <c r="H4" s="873"/>
      <c r="I4" s="873"/>
      <c r="J4" s="873"/>
      <c r="K4" s="873"/>
      <c r="L4" s="873"/>
      <c r="M4" s="873"/>
      <c r="N4" s="873"/>
    </row>
    <row r="5" spans="3:18" ht="7.9" customHeight="1">
      <c r="C5" s="561"/>
      <c r="D5" s="523"/>
      <c r="E5" s="523"/>
      <c r="F5" s="523"/>
      <c r="G5" s="523"/>
      <c r="H5" s="523"/>
      <c r="I5" s="523"/>
      <c r="J5" s="523"/>
      <c r="K5" s="523"/>
      <c r="L5" s="523"/>
      <c r="M5" s="523"/>
      <c r="N5" s="523"/>
    </row>
    <row r="6" spans="3:18" ht="46.9" customHeight="1">
      <c r="C6" s="874" t="s">
        <v>938</v>
      </c>
      <c r="D6" s="874"/>
      <c r="E6" s="874"/>
      <c r="F6" s="874"/>
      <c r="G6" s="874"/>
      <c r="H6" s="874"/>
      <c r="I6" s="874"/>
      <c r="J6" s="874"/>
      <c r="K6" s="874"/>
      <c r="L6" s="874"/>
      <c r="M6" s="874"/>
      <c r="N6" s="874"/>
    </row>
    <row r="7" spans="3:18" ht="14.45" customHeight="1">
      <c r="C7" s="560"/>
    </row>
    <row r="8" spans="3:18">
      <c r="C8" s="560" t="s">
        <v>937</v>
      </c>
    </row>
    <row r="9" spans="3:18" ht="15" customHeight="1">
      <c r="C9" s="559" t="s">
        <v>1165</v>
      </c>
      <c r="D9" s="523"/>
      <c r="E9" s="523"/>
      <c r="F9" s="523"/>
      <c r="G9" s="523"/>
      <c r="H9" s="523"/>
      <c r="I9" s="523"/>
      <c r="J9" s="523"/>
      <c r="K9" s="523"/>
      <c r="L9" s="523"/>
      <c r="M9" s="523"/>
      <c r="N9" s="523"/>
    </row>
    <row r="10" spans="3:18" ht="15" customHeight="1">
      <c r="C10" s="876" t="s">
        <v>936</v>
      </c>
      <c r="D10" s="876"/>
      <c r="E10" s="876"/>
      <c r="F10" s="876"/>
      <c r="G10" s="876"/>
      <c r="H10" s="876"/>
      <c r="I10" s="876"/>
      <c r="J10" s="876"/>
      <c r="K10" s="876"/>
      <c r="L10" s="876"/>
      <c r="M10" s="876"/>
      <c r="N10" s="876"/>
    </row>
    <row r="11" spans="3:18" ht="15" customHeight="1">
      <c r="C11" s="876" t="s">
        <v>935</v>
      </c>
      <c r="D11" s="876"/>
      <c r="E11" s="876"/>
      <c r="F11" s="876"/>
      <c r="G11" s="876"/>
      <c r="H11" s="876"/>
      <c r="I11" s="876"/>
      <c r="J11" s="876"/>
      <c r="K11" s="876"/>
      <c r="L11" s="876"/>
      <c r="M11" s="876"/>
      <c r="N11" s="809"/>
    </row>
    <row r="12" spans="3:18" ht="15" customHeight="1">
      <c r="C12" s="558" t="s">
        <v>934</v>
      </c>
      <c r="D12" s="523"/>
      <c r="E12" s="523"/>
      <c r="F12" s="523"/>
      <c r="G12" s="523"/>
      <c r="H12" s="523"/>
      <c r="I12" s="523"/>
      <c r="J12" s="523"/>
      <c r="K12" s="523"/>
      <c r="L12" s="523"/>
      <c r="M12" s="523"/>
      <c r="N12" s="523"/>
    </row>
    <row r="13" spans="3:18" ht="15" customHeight="1">
      <c r="C13" s="873" t="s">
        <v>933</v>
      </c>
      <c r="D13" s="873"/>
      <c r="E13" s="873"/>
      <c r="F13" s="873"/>
      <c r="G13" s="873"/>
      <c r="H13" s="873"/>
      <c r="I13" s="873"/>
      <c r="J13" s="873"/>
      <c r="K13" s="873"/>
      <c r="L13" s="873"/>
      <c r="M13" s="873"/>
      <c r="N13" s="523"/>
    </row>
    <row r="14" spans="3:18" ht="28.15" customHeight="1">
      <c r="C14" s="873" t="s">
        <v>932</v>
      </c>
      <c r="D14" s="873"/>
      <c r="E14" s="873"/>
      <c r="F14" s="873"/>
      <c r="G14" s="873"/>
      <c r="H14" s="873"/>
      <c r="I14" s="873"/>
      <c r="J14" s="873"/>
      <c r="K14" s="873"/>
      <c r="L14" s="873"/>
      <c r="M14" s="873"/>
      <c r="N14" s="873"/>
    </row>
    <row r="15" spans="3:18" ht="15" customHeight="1">
      <c r="C15" s="873" t="s">
        <v>931</v>
      </c>
      <c r="D15" s="873"/>
      <c r="E15" s="873"/>
      <c r="F15" s="873"/>
      <c r="G15" s="873"/>
      <c r="H15" s="873"/>
      <c r="I15" s="873"/>
      <c r="J15" s="873"/>
      <c r="K15" s="873"/>
      <c r="L15" s="873"/>
      <c r="M15" s="873"/>
      <c r="N15" s="523"/>
    </row>
    <row r="16" spans="3:18" ht="15" customHeight="1">
      <c r="C16" s="873" t="s">
        <v>930</v>
      </c>
      <c r="D16" s="873"/>
      <c r="E16" s="873"/>
      <c r="F16" s="873"/>
      <c r="G16" s="873"/>
      <c r="H16" s="873"/>
      <c r="I16" s="873"/>
      <c r="J16" s="873"/>
      <c r="K16" s="873"/>
      <c r="L16" s="873"/>
      <c r="M16" s="873"/>
      <c r="N16" s="523"/>
    </row>
    <row r="17" spans="1:21" ht="15" customHeight="1">
      <c r="C17" s="873" t="s">
        <v>929</v>
      </c>
      <c r="D17" s="873"/>
      <c r="E17" s="873"/>
      <c r="F17" s="873"/>
      <c r="G17" s="873"/>
      <c r="H17" s="873"/>
      <c r="I17" s="873"/>
      <c r="J17" s="873"/>
      <c r="K17" s="873"/>
      <c r="L17" s="873"/>
      <c r="M17" s="873"/>
      <c r="N17" s="523"/>
    </row>
    <row r="18" spans="1:21" ht="15" customHeight="1">
      <c r="C18" s="873" t="s">
        <v>928</v>
      </c>
      <c r="D18" s="873"/>
      <c r="E18" s="873"/>
      <c r="F18" s="873"/>
      <c r="G18" s="873"/>
      <c r="H18" s="873"/>
      <c r="I18" s="873"/>
      <c r="J18" s="873"/>
      <c r="K18" s="873"/>
      <c r="L18" s="873"/>
      <c r="M18" s="873"/>
      <c r="N18" s="523"/>
      <c r="O18" s="548"/>
    </row>
    <row r="19" spans="1:21" ht="15" customHeight="1">
      <c r="C19" s="873" t="s">
        <v>927</v>
      </c>
      <c r="D19" s="873"/>
      <c r="E19" s="873"/>
      <c r="F19" s="873"/>
      <c r="G19" s="873"/>
      <c r="H19" s="873"/>
      <c r="I19" s="873"/>
      <c r="J19" s="873"/>
      <c r="K19" s="873"/>
      <c r="L19" s="873"/>
      <c r="M19" s="873"/>
      <c r="N19" s="523"/>
    </row>
    <row r="20" spans="1:21" ht="15" customHeight="1">
      <c r="C20" s="873" t="s">
        <v>926</v>
      </c>
      <c r="D20" s="873"/>
      <c r="E20" s="873"/>
      <c r="F20" s="873"/>
      <c r="G20" s="873"/>
      <c r="H20" s="873"/>
      <c r="I20" s="873"/>
      <c r="J20" s="873"/>
      <c r="K20" s="873"/>
      <c r="L20" s="873"/>
      <c r="M20" s="873"/>
      <c r="N20" s="523"/>
    </row>
    <row r="21" spans="1:21" ht="28.9" customHeight="1">
      <c r="C21" s="875" t="s">
        <v>1166</v>
      </c>
      <c r="D21" s="875"/>
      <c r="E21" s="875"/>
      <c r="F21" s="875"/>
      <c r="G21" s="875"/>
      <c r="H21" s="875"/>
      <c r="I21" s="875"/>
      <c r="J21" s="875"/>
      <c r="K21" s="875"/>
      <c r="L21" s="875"/>
      <c r="M21" s="875"/>
      <c r="N21" s="523"/>
    </row>
    <row r="22" spans="1:21">
      <c r="C22" s="557"/>
      <c r="D22" s="557"/>
      <c r="E22" s="557"/>
      <c r="F22" s="557"/>
      <c r="G22" s="557"/>
      <c r="H22" s="557"/>
      <c r="I22" s="557"/>
      <c r="J22" s="557"/>
      <c r="K22" s="557"/>
      <c r="L22" s="557"/>
    </row>
    <row r="23" spans="1:21">
      <c r="D23" s="25"/>
      <c r="G23" s="872" t="s">
        <v>925</v>
      </c>
      <c r="H23" s="872"/>
      <c r="I23" s="872"/>
      <c r="J23" s="872"/>
      <c r="K23" s="25"/>
      <c r="L23" s="872" t="s">
        <v>924</v>
      </c>
      <c r="M23" s="872"/>
      <c r="N23" s="872"/>
      <c r="O23" s="872"/>
    </row>
    <row r="24" spans="1:21" ht="90.75" thickBot="1">
      <c r="A24" s="810" t="s">
        <v>1142</v>
      </c>
      <c r="B24" s="811" t="s">
        <v>1143</v>
      </c>
      <c r="C24" s="556" t="s">
        <v>1144</v>
      </c>
      <c r="D24" s="556" t="s">
        <v>1145</v>
      </c>
      <c r="E24" s="556" t="s">
        <v>923</v>
      </c>
      <c r="F24" s="556"/>
      <c r="G24" s="556" t="s">
        <v>1162</v>
      </c>
      <c r="H24" s="556" t="s">
        <v>922</v>
      </c>
      <c r="I24" s="556" t="s">
        <v>921</v>
      </c>
      <c r="J24" s="556" t="s">
        <v>920</v>
      </c>
      <c r="K24" s="556"/>
      <c r="L24" s="556" t="s">
        <v>919</v>
      </c>
      <c r="M24" s="556" t="s">
        <v>918</v>
      </c>
      <c r="N24" s="556" t="s">
        <v>917</v>
      </c>
      <c r="O24" s="556" t="s">
        <v>916</v>
      </c>
      <c r="P24" s="26"/>
      <c r="Q24" s="26" t="s">
        <v>1164</v>
      </c>
      <c r="R24" s="556" t="s">
        <v>915</v>
      </c>
      <c r="S24" s="523"/>
      <c r="T24" s="556" t="s">
        <v>1163</v>
      </c>
      <c r="U24" s="556" t="s">
        <v>1161</v>
      </c>
    </row>
    <row r="25" spans="1:21" ht="30.75" thickBot="1">
      <c r="A25" s="877" t="s">
        <v>1146</v>
      </c>
      <c r="B25" s="878"/>
      <c r="C25" s="26" t="s">
        <v>914</v>
      </c>
      <c r="D25" s="26" t="s">
        <v>913</v>
      </c>
      <c r="E25" s="554" t="s">
        <v>912</v>
      </c>
      <c r="F25" s="26"/>
      <c r="G25" s="554" t="s">
        <v>911</v>
      </c>
      <c r="H25" s="554" t="s">
        <v>910</v>
      </c>
      <c r="I25" s="554" t="s">
        <v>909</v>
      </c>
      <c r="J25" s="555" t="s">
        <v>908</v>
      </c>
      <c r="K25" s="26"/>
      <c r="L25" s="554" t="s">
        <v>907</v>
      </c>
      <c r="M25" s="554" t="s">
        <v>906</v>
      </c>
      <c r="N25" s="554" t="s">
        <v>905</v>
      </c>
      <c r="O25" s="555" t="s">
        <v>904</v>
      </c>
      <c r="P25" s="26"/>
      <c r="Q25" s="554" t="s">
        <v>903</v>
      </c>
      <c r="R25" s="555" t="s">
        <v>902</v>
      </c>
      <c r="T25" s="554" t="s">
        <v>901</v>
      </c>
      <c r="U25" s="554" t="s">
        <v>900</v>
      </c>
    </row>
    <row r="26" spans="1:21">
      <c r="A26" s="812"/>
      <c r="B26" s="813"/>
      <c r="C26" t="s">
        <v>1147</v>
      </c>
      <c r="D26" s="25"/>
    </row>
    <row r="27" spans="1:21">
      <c r="A27" s="814" t="s">
        <v>473</v>
      </c>
      <c r="B27" s="815" t="s">
        <v>581</v>
      </c>
      <c r="C27" s="553" t="s">
        <v>5</v>
      </c>
      <c r="D27" s="25" t="s">
        <v>351</v>
      </c>
      <c r="E27" s="549">
        <f>'ATC Att O ER22-1602'!I87+'ATC Att O ER22-1602'!I88</f>
        <v>8633519746</v>
      </c>
      <c r="F27" s="548"/>
      <c r="G27" s="549">
        <f>SUM('ATC Att GG ER21-2601'!F75:F124)</f>
        <v>912882691.50000012</v>
      </c>
      <c r="H27" s="549">
        <f>-'GG Support Data'!AY87</f>
        <v>0</v>
      </c>
      <c r="I27" s="549">
        <v>0</v>
      </c>
      <c r="J27" s="548">
        <f t="shared" ref="J27:J32" si="0">SUM(G27:I27)</f>
        <v>912882691.50000012</v>
      </c>
      <c r="K27" s="548"/>
      <c r="L27" s="549">
        <f>SUM('ATC Att MM ER21-2601'!F73:F97)</f>
        <v>589394952.76072299</v>
      </c>
      <c r="M27" s="549">
        <f>-'MM Support Data'!Q86</f>
        <v>-2779168.4907692308</v>
      </c>
      <c r="N27" s="549">
        <v>0</v>
      </c>
      <c r="O27" s="548">
        <f t="shared" ref="O27:O32" si="1">SUM(L27:N27)</f>
        <v>586615784.26995373</v>
      </c>
      <c r="P27" s="548"/>
      <c r="Q27" s="549">
        <v>0</v>
      </c>
      <c r="R27" s="548">
        <f t="shared" ref="R27:R32" si="2">E27-J27-O27-Q27</f>
        <v>7134021270.2300463</v>
      </c>
      <c r="S27" s="548"/>
      <c r="T27" s="549">
        <f>'ATC Att O ER22-1602'!I30</f>
        <v>9749470.8462614734</v>
      </c>
      <c r="U27" s="548">
        <f t="shared" ref="U27:U32" si="3">ROUND((R27/$R$33)*$U$33,0)</f>
        <v>782175411</v>
      </c>
    </row>
    <row r="28" spans="1:21">
      <c r="A28" s="814" t="s">
        <v>1148</v>
      </c>
      <c r="B28" s="815" t="s">
        <v>581</v>
      </c>
      <c r="C28" s="553"/>
      <c r="D28" s="25" t="s">
        <v>1149</v>
      </c>
      <c r="E28" s="549"/>
      <c r="F28" s="548"/>
      <c r="G28" s="549"/>
      <c r="H28" s="549"/>
      <c r="I28" s="549"/>
      <c r="J28" s="548">
        <f t="shared" si="0"/>
        <v>0</v>
      </c>
      <c r="K28" s="548"/>
      <c r="L28" s="549"/>
      <c r="M28" s="549"/>
      <c r="N28" s="549"/>
      <c r="O28" s="548">
        <f t="shared" si="1"/>
        <v>0</v>
      </c>
      <c r="P28" s="548"/>
      <c r="Q28" s="549"/>
      <c r="R28" s="548">
        <f t="shared" si="2"/>
        <v>0</v>
      </c>
      <c r="S28" s="548"/>
      <c r="T28" s="549"/>
      <c r="U28" s="548">
        <f t="shared" si="3"/>
        <v>0</v>
      </c>
    </row>
    <row r="29" spans="1:21">
      <c r="A29" s="814" t="s">
        <v>1150</v>
      </c>
      <c r="B29" s="815" t="s">
        <v>581</v>
      </c>
      <c r="C29" s="553"/>
      <c r="D29" s="25" t="s">
        <v>1151</v>
      </c>
      <c r="E29" s="549"/>
      <c r="F29" s="548"/>
      <c r="G29" s="549"/>
      <c r="H29" s="549"/>
      <c r="I29" s="549"/>
      <c r="J29" s="548">
        <f t="shared" si="0"/>
        <v>0</v>
      </c>
      <c r="K29" s="548"/>
      <c r="L29" s="549"/>
      <c r="M29" s="549"/>
      <c r="N29" s="549"/>
      <c r="O29" s="548">
        <f t="shared" si="1"/>
        <v>0</v>
      </c>
      <c r="P29" s="548"/>
      <c r="Q29" s="549"/>
      <c r="R29" s="548">
        <f t="shared" si="2"/>
        <v>0</v>
      </c>
      <c r="S29" s="548"/>
      <c r="T29" s="549"/>
      <c r="U29" s="548">
        <f t="shared" si="3"/>
        <v>0</v>
      </c>
    </row>
    <row r="30" spans="1:21">
      <c r="A30" s="814" t="s">
        <v>1152</v>
      </c>
      <c r="B30" s="815" t="s">
        <v>581</v>
      </c>
      <c r="C30" s="553"/>
      <c r="D30" s="25" t="s">
        <v>1153</v>
      </c>
      <c r="E30" s="549"/>
      <c r="F30" s="548"/>
      <c r="G30" s="549"/>
      <c r="H30" s="549"/>
      <c r="I30" s="549"/>
      <c r="J30" s="548">
        <f t="shared" si="0"/>
        <v>0</v>
      </c>
      <c r="K30" s="548"/>
      <c r="L30" s="549"/>
      <c r="M30" s="549"/>
      <c r="N30" s="549"/>
      <c r="O30" s="548">
        <f t="shared" si="1"/>
        <v>0</v>
      </c>
      <c r="P30" s="548"/>
      <c r="Q30" s="549"/>
      <c r="R30" s="548">
        <f t="shared" si="2"/>
        <v>0</v>
      </c>
      <c r="S30" s="548"/>
      <c r="T30" s="549"/>
      <c r="U30" s="548">
        <f t="shared" si="3"/>
        <v>0</v>
      </c>
    </row>
    <row r="31" spans="1:21">
      <c r="A31" s="814" t="s">
        <v>1154</v>
      </c>
      <c r="B31" s="815" t="s">
        <v>581</v>
      </c>
      <c r="C31" s="553"/>
      <c r="D31" s="25" t="s">
        <v>1155</v>
      </c>
      <c r="E31" s="549"/>
      <c r="F31" s="548"/>
      <c r="G31" s="549"/>
      <c r="H31" s="549"/>
      <c r="I31" s="549"/>
      <c r="J31" s="548">
        <f t="shared" si="0"/>
        <v>0</v>
      </c>
      <c r="K31" s="548"/>
      <c r="L31" s="549"/>
      <c r="M31" s="549"/>
      <c r="N31" s="549"/>
      <c r="O31" s="548">
        <f t="shared" si="1"/>
        <v>0</v>
      </c>
      <c r="P31" s="548"/>
      <c r="Q31" s="549"/>
      <c r="R31" s="548">
        <f t="shared" si="2"/>
        <v>0</v>
      </c>
      <c r="S31" s="548"/>
      <c r="T31" s="549"/>
      <c r="U31" s="548">
        <f t="shared" si="3"/>
        <v>0</v>
      </c>
    </row>
    <row r="32" spans="1:21">
      <c r="A32" s="814" t="s">
        <v>1156</v>
      </c>
      <c r="B32" s="815" t="s">
        <v>581</v>
      </c>
      <c r="C32" s="553"/>
      <c r="D32" s="25" t="s">
        <v>1157</v>
      </c>
      <c r="E32" s="551"/>
      <c r="F32" s="552"/>
      <c r="G32" s="551"/>
      <c r="H32" s="551"/>
      <c r="I32" s="551"/>
      <c r="J32" s="550">
        <f t="shared" si="0"/>
        <v>0</v>
      </c>
      <c r="K32" s="548"/>
      <c r="L32" s="551"/>
      <c r="M32" s="551"/>
      <c r="N32" s="551"/>
      <c r="O32" s="550">
        <f t="shared" si="1"/>
        <v>0</v>
      </c>
      <c r="P32" s="548"/>
      <c r="Q32" s="551"/>
      <c r="R32" s="550">
        <f t="shared" si="2"/>
        <v>0</v>
      </c>
      <c r="S32" s="548"/>
      <c r="T32" s="551"/>
      <c r="U32" s="550">
        <f t="shared" si="3"/>
        <v>0</v>
      </c>
    </row>
    <row r="33" spans="1:21">
      <c r="A33" s="814" t="e">
        <v>#N/A</v>
      </c>
      <c r="B33" s="816" t="s">
        <v>581</v>
      </c>
      <c r="C33" s="553"/>
      <c r="D33" s="25">
        <v>0</v>
      </c>
      <c r="E33" s="548">
        <f>SUM(E27:E32)</f>
        <v>8633519746</v>
      </c>
      <c r="F33" s="548"/>
      <c r="G33" s="548">
        <f>SUM(G27:G32)</f>
        <v>912882691.50000012</v>
      </c>
      <c r="H33" s="548">
        <f>SUM(H27:H32)</f>
        <v>0</v>
      </c>
      <c r="I33" s="548">
        <f>SUM(I27:I32)</f>
        <v>0</v>
      </c>
      <c r="J33" s="548">
        <f>SUM(J27:J32)</f>
        <v>912882691.50000012</v>
      </c>
      <c r="K33" s="548"/>
      <c r="L33" s="548">
        <f>SUM(L27:L32)</f>
        <v>589394952.76072299</v>
      </c>
      <c r="M33" s="548">
        <f>SUM(M27:M32)</f>
        <v>-2779168.4907692308</v>
      </c>
      <c r="N33" s="548">
        <f>SUM(N27:N32)</f>
        <v>0</v>
      </c>
      <c r="O33" s="548">
        <f>SUM(O27:O32)</f>
        <v>586615784.26995373</v>
      </c>
      <c r="P33" s="548"/>
      <c r="Q33" s="548">
        <f>SUM(Q27:Q32)</f>
        <v>0</v>
      </c>
      <c r="R33" s="548">
        <f>SUM(R27:R32)</f>
        <v>7134021270.2300463</v>
      </c>
      <c r="S33" s="548"/>
      <c r="T33" s="548">
        <f>SUM(T27:T32)</f>
        <v>9749470.8462614734</v>
      </c>
      <c r="U33" s="549">
        <f>'ATC Att O ER22-1602'!I20</f>
        <v>782175410.60669088</v>
      </c>
    </row>
    <row r="34" spans="1:21">
      <c r="C34" s="25"/>
      <c r="D34" s="25"/>
      <c r="E34" s="548"/>
      <c r="F34" s="548"/>
      <c r="G34" s="548"/>
      <c r="H34" s="548"/>
      <c r="I34" s="548"/>
      <c r="J34" s="548"/>
      <c r="K34" s="548"/>
      <c r="L34" s="548"/>
      <c r="M34" s="548"/>
      <c r="N34" s="548"/>
      <c r="O34" s="548"/>
      <c r="P34" s="548"/>
      <c r="Q34" s="548"/>
      <c r="R34" s="548"/>
      <c r="S34" s="548"/>
      <c r="T34" s="548"/>
      <c r="U34" s="547"/>
    </row>
    <row r="36" spans="1:21" ht="17.25">
      <c r="C36" s="817" t="s">
        <v>899</v>
      </c>
    </row>
    <row r="37" spans="1:21">
      <c r="C37" s="817" t="s">
        <v>898</v>
      </c>
    </row>
    <row r="38" spans="1:21">
      <c r="C38" s="817" t="s">
        <v>897</v>
      </c>
    </row>
    <row r="39" spans="1:21">
      <c r="C39" s="817" t="s">
        <v>896</v>
      </c>
    </row>
    <row r="40" spans="1:21" ht="17.25">
      <c r="C40" s="818" t="s">
        <v>1158</v>
      </c>
      <c r="D40" s="546"/>
      <c r="E40" s="546"/>
      <c r="F40" s="546"/>
      <c r="G40" s="546"/>
      <c r="H40" s="546"/>
      <c r="I40" s="546"/>
      <c r="J40" s="546"/>
      <c r="K40" s="546"/>
      <c r="L40" s="546"/>
      <c r="M40" s="546"/>
      <c r="N40" s="546"/>
    </row>
    <row r="41" spans="1:21" ht="17.25">
      <c r="C41" s="817" t="s">
        <v>1159</v>
      </c>
    </row>
    <row r="42" spans="1:21" ht="17.25">
      <c r="C42" s="817" t="s">
        <v>1160</v>
      </c>
    </row>
  </sheetData>
  <protectedRanges>
    <protectedRange algorithmName="SHA-512" hashValue="61r+hzObltNp7nuk0R4UDhn2nxGd6y7irlHPGKASTw3cFV/fH3grsJt4htbZ2KaxCmXcLJ/BPGUQpmmm7HqO9Q==" saltValue="P2FZhAHiFfAvzvbboTvTJg==" spinCount="100000" sqref="D27:D33" name="Range1"/>
  </protectedRanges>
  <mergeCells count="17">
    <mergeCell ref="A25:B25"/>
    <mergeCell ref="C1:R1"/>
    <mergeCell ref="G23:J23"/>
    <mergeCell ref="L23:O23"/>
    <mergeCell ref="C4:N4"/>
    <mergeCell ref="C6:N6"/>
    <mergeCell ref="C13:M13"/>
    <mergeCell ref="C14:N14"/>
    <mergeCell ref="C15:M15"/>
    <mergeCell ref="C16:M16"/>
    <mergeCell ref="C17:M17"/>
    <mergeCell ref="C18:M18"/>
    <mergeCell ref="C19:M19"/>
    <mergeCell ref="C20:M20"/>
    <mergeCell ref="C21:M21"/>
    <mergeCell ref="C10:N10"/>
    <mergeCell ref="C11:M11"/>
  </mergeCells>
  <conditionalFormatting sqref="A28:A33">
    <cfRule type="containsText" dxfId="0" priority="1" operator="containsText" text="N/A">
      <formula>NOT(ISERROR(SEARCH("N/A",A28)))</formula>
    </cfRule>
  </conditionalFormatting>
  <pageMargins left="0.45" right="0.2" top="0.5" bottom="0.5" header="0.3" footer="0.3"/>
  <pageSetup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8E902-08B9-4D75-8503-D6DAA4E73E3D}">
  <sheetPr>
    <tabColor rgb="FF00FFFF"/>
    <pageSetUpPr fitToPage="1"/>
  </sheetPr>
  <dimension ref="A1:I240"/>
  <sheetViews>
    <sheetView showGridLines="0" zoomScaleNormal="100" zoomScaleSheetLayoutView="100" workbookViewId="0">
      <pane xSplit="1" ySplit="2" topLeftCell="B194" activePane="bottomRight" state="frozen"/>
      <selection activeCell="K237" sqref="K237"/>
      <selection pane="topRight" activeCell="K237" sqref="K237"/>
      <selection pane="bottomLeft" activeCell="K237" sqref="K237"/>
      <selection pane="bottomRight" activeCell="H203" sqref="H203"/>
    </sheetView>
  </sheetViews>
  <sheetFormatPr defaultRowHeight="12.75" outlineLevelRow="2"/>
  <cols>
    <col min="1" max="1" width="20" style="164" customWidth="1"/>
    <col min="2" max="2" width="14" style="164" customWidth="1"/>
    <col min="3" max="3" width="15" style="164" bestFit="1" customWidth="1"/>
    <col min="4" max="4" width="16.28515625" style="164" bestFit="1" customWidth="1"/>
    <col min="5" max="5" width="16.5703125" style="164" bestFit="1" customWidth="1"/>
    <col min="6" max="6" width="16.7109375" style="164" customWidth="1"/>
    <col min="7" max="7" width="13.7109375" style="164" customWidth="1"/>
    <col min="8" max="8" width="15.28515625" style="164" customWidth="1"/>
    <col min="9" max="9" width="9.140625" style="164" customWidth="1"/>
    <col min="10" max="10" width="9.140625" style="164"/>
    <col min="11" max="11" width="14" style="164" bestFit="1" customWidth="1"/>
    <col min="12" max="16384" width="9.140625" style="164"/>
  </cols>
  <sheetData>
    <row r="1" spans="1:8" ht="15.75">
      <c r="A1" s="369" t="s">
        <v>751</v>
      </c>
      <c r="B1" s="368"/>
      <c r="C1" s="368"/>
      <c r="D1" s="368"/>
      <c r="E1" s="368"/>
      <c r="F1" s="824"/>
      <c r="G1" s="367" t="s">
        <v>750</v>
      </c>
      <c r="H1" s="535">
        <f ca="1">TODAY()</f>
        <v>45617</v>
      </c>
    </row>
    <row r="2" spans="1:8" ht="13.5" thickBot="1">
      <c r="B2" s="841" t="s">
        <v>749</v>
      </c>
      <c r="C2" s="841" t="s">
        <v>748</v>
      </c>
      <c r="D2" s="841" t="s">
        <v>747</v>
      </c>
      <c r="E2" s="841" t="s">
        <v>746</v>
      </c>
      <c r="F2" s="841" t="s">
        <v>745</v>
      </c>
      <c r="H2" s="366"/>
    </row>
    <row r="3" spans="1:8" hidden="1" outlineLevel="1">
      <c r="B3" s="840"/>
      <c r="C3" s="824"/>
      <c r="D3" s="365"/>
      <c r="E3" s="824"/>
      <c r="F3" s="823"/>
      <c r="G3" s="824"/>
      <c r="H3" s="839"/>
    </row>
    <row r="4" spans="1:8" ht="13.5" hidden="1" outlineLevel="1" thickBot="1">
      <c r="A4" s="345" t="s">
        <v>744</v>
      </c>
      <c r="B4" s="824"/>
      <c r="C4" s="824"/>
      <c r="D4" s="824"/>
      <c r="E4" s="824"/>
      <c r="F4" s="823"/>
      <c r="G4" s="882" t="s">
        <v>743</v>
      </c>
      <c r="H4" s="882"/>
    </row>
    <row r="5" spans="1:8" hidden="1" outlineLevel="1">
      <c r="A5" s="164" t="s">
        <v>688</v>
      </c>
      <c r="B5" s="835">
        <v>512779</v>
      </c>
      <c r="C5" s="835">
        <v>2083679</v>
      </c>
      <c r="D5" s="835">
        <v>1874293</v>
      </c>
      <c r="E5" s="835">
        <v>5104133</v>
      </c>
      <c r="F5" s="836">
        <v>140784</v>
      </c>
      <c r="G5" s="364" t="s">
        <v>742</v>
      </c>
      <c r="H5" s="838">
        <v>152672490</v>
      </c>
    </row>
    <row r="6" spans="1:8" hidden="1" outlineLevel="1">
      <c r="A6" s="164" t="s">
        <v>741</v>
      </c>
      <c r="B6" s="363">
        <v>8506235</v>
      </c>
      <c r="C6" s="363">
        <v>37385581</v>
      </c>
      <c r="D6" s="363">
        <v>26660427</v>
      </c>
      <c r="E6" s="363">
        <v>74209812</v>
      </c>
      <c r="F6" s="362">
        <v>5910435</v>
      </c>
      <c r="G6" s="361" t="s">
        <v>740</v>
      </c>
      <c r="H6" s="340">
        <f>SUM(B5:F5)</f>
        <v>9715668</v>
      </c>
    </row>
    <row r="7" spans="1:8" ht="13.5" hidden="1" outlineLevel="1" thickBot="1">
      <c r="A7" s="164" t="s">
        <v>739</v>
      </c>
      <c r="B7" s="837">
        <f>B6/(B5*12)</f>
        <v>1.3823750907635972</v>
      </c>
      <c r="C7" s="837">
        <f>C6/(C5*12)</f>
        <v>1.4951751605373635</v>
      </c>
      <c r="D7" s="837">
        <f>D6/(D5*12)</f>
        <v>1.1853548244591428</v>
      </c>
      <c r="E7" s="837">
        <f>E6/(E5*12)</f>
        <v>1.211596758940255</v>
      </c>
      <c r="F7" s="837">
        <f>F6/(F5*12)</f>
        <v>3.4985243351517217</v>
      </c>
      <c r="G7" s="360" t="s">
        <v>738</v>
      </c>
      <c r="H7" s="337">
        <f>H5/H6/12</f>
        <v>1.309504143204564</v>
      </c>
    </row>
    <row r="8" spans="1:8" hidden="1" outlineLevel="1">
      <c r="B8" s="350"/>
      <c r="C8" s="350"/>
      <c r="D8" s="350"/>
      <c r="E8" s="350"/>
      <c r="F8" s="359"/>
    </row>
    <row r="9" spans="1:8" hidden="1" outlineLevel="1">
      <c r="A9" s="345" t="s">
        <v>737</v>
      </c>
      <c r="B9" s="358"/>
      <c r="C9" s="824"/>
      <c r="D9" s="824"/>
      <c r="E9" s="824"/>
      <c r="F9" s="823"/>
      <c r="G9" s="824"/>
      <c r="H9" s="822"/>
    </row>
    <row r="10" spans="1:8" hidden="1" outlineLevel="1">
      <c r="A10" s="164" t="s">
        <v>688</v>
      </c>
      <c r="B10" s="835">
        <v>512900</v>
      </c>
      <c r="C10" s="835">
        <v>2112800</v>
      </c>
      <c r="D10" s="835">
        <v>2005900</v>
      </c>
      <c r="E10" s="835">
        <v>4968000</v>
      </c>
      <c r="F10" s="836">
        <v>129500</v>
      </c>
      <c r="G10" s="822"/>
      <c r="H10" s="835"/>
    </row>
    <row r="11" spans="1:8" hidden="1" outlineLevel="1">
      <c r="A11" s="164" t="s">
        <v>728</v>
      </c>
      <c r="B11" s="350">
        <f>+H12/H15/12</f>
        <v>1.5268929465897838</v>
      </c>
      <c r="C11" s="350">
        <f>+B11</f>
        <v>1.5268929465897838</v>
      </c>
      <c r="D11" s="350">
        <f>+C11</f>
        <v>1.5268929465897838</v>
      </c>
      <c r="E11" s="350">
        <f>+D11</f>
        <v>1.5268929465897838</v>
      </c>
      <c r="F11" s="350">
        <f>+E11</f>
        <v>1.5268929465897838</v>
      </c>
      <c r="G11" s="883" t="s">
        <v>727</v>
      </c>
      <c r="H11" s="884"/>
    </row>
    <row r="12" spans="1:8" hidden="1" outlineLevel="1">
      <c r="A12" s="164" t="s">
        <v>726</v>
      </c>
      <c r="B12" s="828">
        <f>+B7</f>
        <v>1.3823750907635972</v>
      </c>
      <c r="C12" s="828">
        <f>+C7</f>
        <v>1.4951751605373635</v>
      </c>
      <c r="D12" s="828">
        <f>+D7</f>
        <v>1.1853548244591428</v>
      </c>
      <c r="E12" s="828">
        <f>+E7</f>
        <v>1.211596758940255</v>
      </c>
      <c r="F12" s="828">
        <f>+F7</f>
        <v>3.4985243351517217</v>
      </c>
      <c r="G12" s="356" t="s">
        <v>687</v>
      </c>
      <c r="H12" s="355">
        <v>178263530</v>
      </c>
    </row>
    <row r="13" spans="1:8" hidden="1" outlineLevel="1">
      <c r="A13" s="164" t="s">
        <v>725</v>
      </c>
      <c r="B13" s="350">
        <f>+B11-B12</f>
        <v>0.14451785582618659</v>
      </c>
      <c r="C13" s="350">
        <f>+C11-C12</f>
        <v>3.171778605242026E-2</v>
      </c>
      <c r="D13" s="350">
        <f>+D11-D12</f>
        <v>0.34153812213064105</v>
      </c>
      <c r="E13" s="350">
        <f>+E11-E12</f>
        <v>0.31529618764952883</v>
      </c>
      <c r="F13" s="350">
        <f>+F11-F12</f>
        <v>-1.9716313885619379</v>
      </c>
      <c r="G13" s="829" t="s">
        <v>724</v>
      </c>
      <c r="H13" s="832">
        <f>(+B15*B10+C15*C10+D15*D10+E15*E10+F15*F10)*12</f>
        <v>159027892.44892326</v>
      </c>
    </row>
    <row r="14" spans="1:8" hidden="1" outlineLevel="1">
      <c r="A14" s="354" t="s">
        <v>736</v>
      </c>
      <c r="B14" s="831">
        <f>+B13*0.25</f>
        <v>3.6129463956546648E-2</v>
      </c>
      <c r="C14" s="831">
        <f>+C13*0.25</f>
        <v>7.9294465131050651E-3</v>
      </c>
      <c r="D14" s="831">
        <f>+D13*0.25</f>
        <v>8.5384530532660263E-2</v>
      </c>
      <c r="E14" s="831">
        <f>+E13*0.25</f>
        <v>7.8824046912382206E-2</v>
      </c>
      <c r="F14" s="831">
        <f>+F13*0.25</f>
        <v>-0.49290784714048447</v>
      </c>
      <c r="G14" s="829" t="s">
        <v>722</v>
      </c>
      <c r="H14" s="353">
        <f>+H12-H13</f>
        <v>19235637.55107674</v>
      </c>
    </row>
    <row r="15" spans="1:8" hidden="1" outlineLevel="1">
      <c r="A15" s="164" t="s">
        <v>721</v>
      </c>
      <c r="B15" s="830">
        <f>+B14+B12</f>
        <v>1.4185045547201438</v>
      </c>
      <c r="C15" s="830">
        <f>+C14+C12</f>
        <v>1.5031046070504686</v>
      </c>
      <c r="D15" s="830">
        <f>+D14+D12</f>
        <v>1.2707393549918029</v>
      </c>
      <c r="E15" s="830">
        <f>+E14+E12</f>
        <v>1.2904208058526372</v>
      </c>
      <c r="F15" s="830">
        <f>+F14+F12</f>
        <v>3.005616488011237</v>
      </c>
      <c r="G15" s="829" t="s">
        <v>720</v>
      </c>
      <c r="H15" s="340">
        <f>SUM(B10:F10)</f>
        <v>9729100</v>
      </c>
    </row>
    <row r="16" spans="1:8" ht="13.5" hidden="1" outlineLevel="1" thickBot="1">
      <c r="A16" s="164" t="s">
        <v>719</v>
      </c>
      <c r="B16" s="828">
        <f>+H16</f>
        <v>0.16476033712502305</v>
      </c>
      <c r="C16" s="828">
        <f>+B16</f>
        <v>0.16476033712502305</v>
      </c>
      <c r="D16" s="828">
        <f>+C16</f>
        <v>0.16476033712502305</v>
      </c>
      <c r="E16" s="828">
        <f>+D16</f>
        <v>0.16476033712502305</v>
      </c>
      <c r="F16" s="828">
        <f>+E16</f>
        <v>0.16476033712502305</v>
      </c>
      <c r="G16" s="827" t="s">
        <v>718</v>
      </c>
      <c r="H16" s="352">
        <f>+H14/H15/12</f>
        <v>0.16476033712502305</v>
      </c>
    </row>
    <row r="17" spans="1:8" hidden="1" outlineLevel="1">
      <c r="A17" s="164" t="s">
        <v>717</v>
      </c>
      <c r="B17" s="351">
        <f>+B16+B15</f>
        <v>1.5832648918451668</v>
      </c>
      <c r="C17" s="351">
        <f>+C16+C15</f>
        <v>1.6678649441754916</v>
      </c>
      <c r="D17" s="351">
        <f>+D16+D15</f>
        <v>1.4354996921168259</v>
      </c>
      <c r="E17" s="351">
        <f>+E16+E15</f>
        <v>1.4551811429776602</v>
      </c>
      <c r="F17" s="351">
        <f>+F16+F15</f>
        <v>3.1703768251362603</v>
      </c>
      <c r="G17" s="822"/>
      <c r="H17" s="350"/>
    </row>
    <row r="18" spans="1:8" hidden="1" outlineLevel="1">
      <c r="A18" s="164" t="s">
        <v>715</v>
      </c>
      <c r="B18" s="339">
        <f>+B17*B10*12</f>
        <v>9744678.7563286331</v>
      </c>
      <c r="C18" s="339">
        <f>+C17*C10*12</f>
        <v>42286380.64864774</v>
      </c>
      <c r="D18" s="339">
        <f>+D17*D10*12</f>
        <v>34553625.989005692</v>
      </c>
      <c r="E18" s="339">
        <f>+E17*E10*12</f>
        <v>86752079.019756198</v>
      </c>
      <c r="F18" s="339">
        <f>+F17*F10*12</f>
        <v>4926765.5862617483</v>
      </c>
      <c r="G18" s="357"/>
    </row>
    <row r="19" spans="1:8" hidden="1" outlineLevel="1">
      <c r="F19" s="823"/>
    </row>
    <row r="20" spans="1:8" hidden="1" outlineLevel="1">
      <c r="A20" s="345" t="s">
        <v>735</v>
      </c>
      <c r="C20" s="824"/>
      <c r="D20" s="824"/>
      <c r="E20" s="824"/>
      <c r="F20" s="823"/>
      <c r="G20" s="825"/>
      <c r="H20" s="835"/>
    </row>
    <row r="21" spans="1:8" hidden="1" outlineLevel="1">
      <c r="A21" s="164" t="s">
        <v>688</v>
      </c>
      <c r="B21" s="822">
        <v>532283</v>
      </c>
      <c r="C21" s="822">
        <v>2251683</v>
      </c>
      <c r="D21" s="822">
        <v>2067554</v>
      </c>
      <c r="E21" s="822">
        <v>5187458</v>
      </c>
      <c r="F21" s="822">
        <v>130825</v>
      </c>
      <c r="G21" s="822"/>
      <c r="H21" s="835"/>
    </row>
    <row r="22" spans="1:8" hidden="1" outlineLevel="1">
      <c r="A22" s="164" t="s">
        <v>728</v>
      </c>
      <c r="B22" s="350">
        <f>+H23/H26/12</f>
        <v>1.5966510527948934</v>
      </c>
      <c r="C22" s="350">
        <f>+B22</f>
        <v>1.5966510527948934</v>
      </c>
      <c r="D22" s="350">
        <f>+C22</f>
        <v>1.5966510527948934</v>
      </c>
      <c r="E22" s="350">
        <f>+D22</f>
        <v>1.5966510527948934</v>
      </c>
      <c r="F22" s="350">
        <f>+E22</f>
        <v>1.5966510527948934</v>
      </c>
      <c r="G22" s="883" t="s">
        <v>727</v>
      </c>
      <c r="H22" s="884"/>
    </row>
    <row r="23" spans="1:8" hidden="1" outlineLevel="1">
      <c r="A23" s="164" t="s">
        <v>726</v>
      </c>
      <c r="B23" s="828">
        <f>+B17</f>
        <v>1.5832648918451668</v>
      </c>
      <c r="C23" s="828">
        <f>+C17</f>
        <v>1.6678649441754916</v>
      </c>
      <c r="D23" s="828">
        <f>+D17</f>
        <v>1.4354996921168259</v>
      </c>
      <c r="E23" s="828">
        <f>+E17</f>
        <v>1.4551811429776602</v>
      </c>
      <c r="F23" s="828">
        <f>+F17</f>
        <v>3.1703768251362603</v>
      </c>
      <c r="G23" s="356" t="s">
        <v>687</v>
      </c>
      <c r="H23" s="355">
        <v>194851520</v>
      </c>
    </row>
    <row r="24" spans="1:8" hidden="1" outlineLevel="1">
      <c r="A24" s="164" t="s">
        <v>725</v>
      </c>
      <c r="B24" s="350">
        <f>+B22-B23</f>
        <v>1.3386160949726555E-2</v>
      </c>
      <c r="C24" s="350">
        <f>+C22-C23</f>
        <v>-7.1213891380598193E-2</v>
      </c>
      <c r="D24" s="350">
        <f>+D22-D23</f>
        <v>0.16115136067806746</v>
      </c>
      <c r="E24" s="350">
        <f>+E22-E23</f>
        <v>0.14146990981723317</v>
      </c>
      <c r="F24" s="350">
        <f>+F22-F23</f>
        <v>-1.5737257723413669</v>
      </c>
      <c r="G24" s="829" t="s">
        <v>724</v>
      </c>
      <c r="H24" s="832">
        <f>(+B26*B21+C26*C21+D26*D21+E26*E21+F26*F21)*12</f>
        <v>189187758.37638876</v>
      </c>
    </row>
    <row r="25" spans="1:8" hidden="1" outlineLevel="1">
      <c r="A25" s="354" t="s">
        <v>734</v>
      </c>
      <c r="B25" s="831">
        <f>+B24*0.3333</f>
        <v>4.4616074445438603E-3</v>
      </c>
      <c r="C25" s="831">
        <f>+C24*0.3333</f>
        <v>-2.3735589997153375E-2</v>
      </c>
      <c r="D25" s="831">
        <f>+D24*0.33333</f>
        <v>5.371658305482023E-2</v>
      </c>
      <c r="E25" s="831">
        <f>+E24*0.3333</f>
        <v>4.7151920942083814E-2</v>
      </c>
      <c r="F25" s="831">
        <f>+F24*0.3333</f>
        <v>-0.52452279992137751</v>
      </c>
      <c r="G25" s="829" t="s">
        <v>722</v>
      </c>
      <c r="H25" s="353">
        <f>+H23-H24</f>
        <v>5663761.6236112416</v>
      </c>
    </row>
    <row r="26" spans="1:8" hidden="1" outlineLevel="1">
      <c r="A26" s="164" t="s">
        <v>721</v>
      </c>
      <c r="B26" s="830">
        <f>+B25+B23</f>
        <v>1.5877264992897107</v>
      </c>
      <c r="C26" s="830">
        <f>+C25+C23</f>
        <v>1.6441293541783382</v>
      </c>
      <c r="D26" s="830">
        <f>+D25+D23</f>
        <v>1.4892162751716462</v>
      </c>
      <c r="E26" s="830">
        <f>+E25+E23</f>
        <v>1.5023330639197441</v>
      </c>
      <c r="F26" s="830">
        <f>+F25+F23</f>
        <v>2.6458540252148826</v>
      </c>
      <c r="G26" s="829" t="s">
        <v>720</v>
      </c>
      <c r="H26" s="340">
        <f>SUM(B21:F21)</f>
        <v>10169803</v>
      </c>
    </row>
    <row r="27" spans="1:8" ht="13.5" hidden="1" outlineLevel="1" thickBot="1">
      <c r="A27" s="164" t="s">
        <v>719</v>
      </c>
      <c r="B27" s="828">
        <f>+H27</f>
        <v>4.6409958511579502E-2</v>
      </c>
      <c r="C27" s="828">
        <f>+B27</f>
        <v>4.6409958511579502E-2</v>
      </c>
      <c r="D27" s="828">
        <f>+C27</f>
        <v>4.6409958511579502E-2</v>
      </c>
      <c r="E27" s="828">
        <f>+D27</f>
        <v>4.6409958511579502E-2</v>
      </c>
      <c r="F27" s="828">
        <f>+E27</f>
        <v>4.6409958511579502E-2</v>
      </c>
      <c r="G27" s="827" t="s">
        <v>718</v>
      </c>
      <c r="H27" s="352">
        <f>+H25/H26/12</f>
        <v>4.6409958511579502E-2</v>
      </c>
    </row>
    <row r="28" spans="1:8" hidden="1" outlineLevel="1">
      <c r="A28" s="164" t="s">
        <v>717</v>
      </c>
      <c r="B28" s="351">
        <f>+B27+B26</f>
        <v>1.6341364578012902</v>
      </c>
      <c r="C28" s="351">
        <f>+C27+C26</f>
        <v>1.6905393126899178</v>
      </c>
      <c r="D28" s="351">
        <f>+D27+D26</f>
        <v>1.5356262336832258</v>
      </c>
      <c r="E28" s="351">
        <f>+E27+E26</f>
        <v>1.5487430224313237</v>
      </c>
      <c r="F28" s="351">
        <f>+F27+F26</f>
        <v>2.6922639837264621</v>
      </c>
      <c r="G28" s="822"/>
      <c r="H28" s="350"/>
    </row>
    <row r="29" spans="1:8" hidden="1" outlineLevel="1">
      <c r="A29" s="164" t="s">
        <v>715</v>
      </c>
      <c r="B29" s="339">
        <f>+B28*B21*12</f>
        <v>10437876.674014131</v>
      </c>
      <c r="C29" s="339">
        <f>+C28*C21*12</f>
        <v>45678703.574586861</v>
      </c>
      <c r="D29" s="339">
        <f>+D28*D21*12</f>
        <v>38099881.943480261</v>
      </c>
      <c r="E29" s="339">
        <f>+E28*E21*12</f>
        <v>96408472.579866588</v>
      </c>
      <c r="F29" s="339">
        <f>+F28*F21*12</f>
        <v>4226585.2280521728</v>
      </c>
    </row>
    <row r="30" spans="1:8" hidden="1" outlineLevel="1"/>
    <row r="31" spans="1:8" hidden="1" outlineLevel="1">
      <c r="A31" s="345" t="s">
        <v>733</v>
      </c>
      <c r="C31" s="824"/>
      <c r="D31" s="824"/>
      <c r="E31" s="824"/>
      <c r="F31" s="823"/>
      <c r="G31" s="825"/>
      <c r="H31" s="835"/>
    </row>
    <row r="32" spans="1:8" hidden="1" outlineLevel="1">
      <c r="A32" s="164" t="s">
        <v>688</v>
      </c>
      <c r="B32" s="822">
        <v>510833</v>
      </c>
      <c r="C32" s="822">
        <v>2245242</v>
      </c>
      <c r="D32" s="822">
        <v>2136129</v>
      </c>
      <c r="E32" s="822">
        <v>5018158</v>
      </c>
      <c r="F32" s="822">
        <v>132250</v>
      </c>
      <c r="G32" s="822"/>
      <c r="H32" s="835"/>
    </row>
    <row r="33" spans="1:8" hidden="1" outlineLevel="1">
      <c r="A33" s="164" t="s">
        <v>728</v>
      </c>
      <c r="B33" s="350">
        <f>+H34/H37/12</f>
        <v>1.9675169568855206</v>
      </c>
      <c r="C33" s="350">
        <f>+B33</f>
        <v>1.9675169568855206</v>
      </c>
      <c r="D33" s="350">
        <f>+C33</f>
        <v>1.9675169568855206</v>
      </c>
      <c r="E33" s="350">
        <f>+D33</f>
        <v>1.9675169568855206</v>
      </c>
      <c r="F33" s="350">
        <f>+E33</f>
        <v>1.9675169568855206</v>
      </c>
      <c r="G33" s="883" t="s">
        <v>727</v>
      </c>
      <c r="H33" s="884"/>
    </row>
    <row r="34" spans="1:8" hidden="1" outlineLevel="1">
      <c r="A34" s="164" t="s">
        <v>726</v>
      </c>
      <c r="B34" s="828">
        <f>+B28</f>
        <v>1.6341364578012902</v>
      </c>
      <c r="C34" s="828">
        <f>+C28</f>
        <v>1.6905393126899178</v>
      </c>
      <c r="D34" s="828">
        <f>+D28</f>
        <v>1.5356262336832258</v>
      </c>
      <c r="E34" s="828">
        <f>+E28</f>
        <v>1.5487430224313237</v>
      </c>
      <c r="F34" s="828">
        <f>+F28</f>
        <v>2.6922639837264621</v>
      </c>
      <c r="G34" s="356" t="s">
        <v>687</v>
      </c>
      <c r="H34" s="355">
        <v>237108112.81706414</v>
      </c>
    </row>
    <row r="35" spans="1:8" hidden="1" outlineLevel="1">
      <c r="A35" s="164" t="s">
        <v>725</v>
      </c>
      <c r="B35" s="350">
        <f>+B33-B34</f>
        <v>0.3333804990842304</v>
      </c>
      <c r="C35" s="350">
        <f>+C33-C34</f>
        <v>0.27697764419560289</v>
      </c>
      <c r="D35" s="350">
        <f>+D33-D34</f>
        <v>0.43189072320229482</v>
      </c>
      <c r="E35" s="350">
        <f>+E33-E34</f>
        <v>0.41877393445419697</v>
      </c>
      <c r="F35" s="350">
        <f>+F33-F34</f>
        <v>-0.7247470268409415</v>
      </c>
      <c r="G35" s="829" t="s">
        <v>724</v>
      </c>
      <c r="H35" s="832">
        <f>(+B37*B32+C37*C32+D37*D32+E37*E32+F37*F32)*12</f>
        <v>214785809.57285893</v>
      </c>
    </row>
    <row r="36" spans="1:8" hidden="1" outlineLevel="1">
      <c r="A36" s="354" t="s">
        <v>732</v>
      </c>
      <c r="B36" s="831">
        <f>+B35*0.5</f>
        <v>0.1666902495421152</v>
      </c>
      <c r="C36" s="831">
        <f>+C35*0.5</f>
        <v>0.13848882209780145</v>
      </c>
      <c r="D36" s="831">
        <f>+D35*0.5</f>
        <v>0.21594536160114741</v>
      </c>
      <c r="E36" s="831">
        <f>+E35*0.5</f>
        <v>0.20938696722709849</v>
      </c>
      <c r="F36" s="831">
        <f>+F35*0.5</f>
        <v>-0.36237351342047075</v>
      </c>
      <c r="G36" s="829" t="s">
        <v>722</v>
      </c>
      <c r="H36" s="353">
        <f>+H34-H35</f>
        <v>22322303.244205207</v>
      </c>
    </row>
    <row r="37" spans="1:8" hidden="1" outlineLevel="1">
      <c r="A37" s="164" t="s">
        <v>721</v>
      </c>
      <c r="B37" s="830">
        <f>+B36+B34</f>
        <v>1.8008267073434054</v>
      </c>
      <c r="C37" s="830">
        <f>+C36+C34</f>
        <v>1.8290281347877193</v>
      </c>
      <c r="D37" s="830">
        <f>+D36+D34</f>
        <v>1.7515715952843731</v>
      </c>
      <c r="E37" s="830">
        <f>+E36+E34</f>
        <v>1.7581299896584222</v>
      </c>
      <c r="F37" s="830">
        <f>+F36+F34</f>
        <v>2.3298904703059913</v>
      </c>
      <c r="G37" s="829" t="s">
        <v>720</v>
      </c>
      <c r="H37" s="340">
        <f>SUM(B32:F32)</f>
        <v>10042612</v>
      </c>
    </row>
    <row r="38" spans="1:8" ht="13.5" hidden="1" outlineLevel="1" thickBot="1">
      <c r="A38" s="164" t="s">
        <v>719</v>
      </c>
      <c r="B38" s="828">
        <f>+H38</f>
        <v>0.18522989208555507</v>
      </c>
      <c r="C38" s="828">
        <f>+B38</f>
        <v>0.18522989208555507</v>
      </c>
      <c r="D38" s="828">
        <f>+C38</f>
        <v>0.18522989208555507</v>
      </c>
      <c r="E38" s="828">
        <f>+D38</f>
        <v>0.18522989208555507</v>
      </c>
      <c r="F38" s="828">
        <f>+E38</f>
        <v>0.18522989208555507</v>
      </c>
      <c r="G38" s="827" t="s">
        <v>718</v>
      </c>
      <c r="H38" s="352">
        <f>+H36/H37/12</f>
        <v>0.18522989208555507</v>
      </c>
    </row>
    <row r="39" spans="1:8" hidden="1" outlineLevel="1">
      <c r="A39" s="164" t="s">
        <v>717</v>
      </c>
      <c r="B39" s="351">
        <f>+B38+B37</f>
        <v>1.9860565994289605</v>
      </c>
      <c r="C39" s="351">
        <f>+C38+C37</f>
        <v>2.0142580268732742</v>
      </c>
      <c r="D39" s="351">
        <f>+D38+D37</f>
        <v>1.9368014873699282</v>
      </c>
      <c r="E39" s="351">
        <f>+E38+E37</f>
        <v>1.9433598817439772</v>
      </c>
      <c r="F39" s="351">
        <f>+F38+F37</f>
        <v>2.5151203623915466</v>
      </c>
      <c r="G39" s="822"/>
      <c r="H39" s="350"/>
    </row>
    <row r="40" spans="1:8" hidden="1" outlineLevel="1">
      <c r="A40" s="164" t="s">
        <v>715</v>
      </c>
      <c r="B40" s="339">
        <f>+B39*B32*12</f>
        <v>12174519.010273131</v>
      </c>
      <c r="C40" s="339">
        <f>+C39*C32*12</f>
        <v>54269960.649276048</v>
      </c>
      <c r="D40" s="339">
        <f>+D39*D32*12</f>
        <v>49647093.892968446</v>
      </c>
      <c r="E40" s="339">
        <f>+E39*E32*12</f>
        <v>117025043.24943113</v>
      </c>
      <c r="F40" s="339">
        <f>+F39*F32*12</f>
        <v>3991496.0151153845</v>
      </c>
    </row>
    <row r="41" spans="1:8" hidden="1" outlineLevel="1"/>
    <row r="42" spans="1:8" hidden="1" outlineLevel="1">
      <c r="G42" s="833" t="s">
        <v>690</v>
      </c>
      <c r="H42" s="833">
        <v>271341264.53480613</v>
      </c>
    </row>
    <row r="43" spans="1:8" hidden="1" outlineLevel="1">
      <c r="A43" s="345" t="s">
        <v>731</v>
      </c>
      <c r="B43" s="344"/>
      <c r="C43" s="824"/>
      <c r="D43" s="824"/>
      <c r="E43" s="824"/>
      <c r="F43" s="823"/>
      <c r="G43" s="834" t="s">
        <v>730</v>
      </c>
      <c r="H43" s="833">
        <v>-4515811</v>
      </c>
    </row>
    <row r="44" spans="1:8" hidden="1" outlineLevel="1">
      <c r="A44" s="164" t="s">
        <v>688</v>
      </c>
      <c r="B44" s="822">
        <v>516250</v>
      </c>
      <c r="C44" s="822">
        <v>2226749</v>
      </c>
      <c r="D44" s="822">
        <v>2079667</v>
      </c>
      <c r="E44" s="822">
        <v>4991583</v>
      </c>
      <c r="F44" s="822">
        <v>123142</v>
      </c>
      <c r="G44" s="833" t="s">
        <v>729</v>
      </c>
      <c r="H44" s="833">
        <v>3813815.1551292706</v>
      </c>
    </row>
    <row r="45" spans="1:8" hidden="1" outlineLevel="1">
      <c r="A45" s="164" t="s">
        <v>728</v>
      </c>
      <c r="B45" s="350">
        <f>+H46/H49/12</f>
        <v>2.2695365806606529</v>
      </c>
      <c r="C45" s="350">
        <f>+B45</f>
        <v>2.2695365806606529</v>
      </c>
      <c r="D45" s="350">
        <f>+C45</f>
        <v>2.2695365806606529</v>
      </c>
      <c r="E45" s="350">
        <f>+D45</f>
        <v>2.2695365806606529</v>
      </c>
      <c r="F45" s="350">
        <f>+E45</f>
        <v>2.2695365806606529</v>
      </c>
      <c r="G45" s="883" t="s">
        <v>727</v>
      </c>
      <c r="H45" s="884"/>
    </row>
    <row r="46" spans="1:8" hidden="1" outlineLevel="1">
      <c r="A46" s="164" t="s">
        <v>726</v>
      </c>
      <c r="B46" s="828">
        <f>+B39</f>
        <v>1.9860565994289605</v>
      </c>
      <c r="C46" s="828">
        <f>+C39</f>
        <v>2.0142580268732742</v>
      </c>
      <c r="D46" s="828">
        <f>+D39</f>
        <v>1.9368014873699282</v>
      </c>
      <c r="E46" s="828">
        <f>+E39</f>
        <v>1.9433598817439772</v>
      </c>
      <c r="F46" s="828">
        <f>+F39</f>
        <v>2.5151203623915466</v>
      </c>
      <c r="G46" s="356" t="s">
        <v>687</v>
      </c>
      <c r="H46" s="355">
        <v>270639268.68993539</v>
      </c>
    </row>
    <row r="47" spans="1:8" hidden="1" outlineLevel="1">
      <c r="A47" s="164" t="s">
        <v>725</v>
      </c>
      <c r="B47" s="350">
        <f>+B45-B46</f>
        <v>0.28347998123169238</v>
      </c>
      <c r="C47" s="350">
        <f>+C45-C46</f>
        <v>0.25527855378737874</v>
      </c>
      <c r="D47" s="350">
        <f>+D45-D46</f>
        <v>0.3327350932907247</v>
      </c>
      <c r="E47" s="350">
        <f>+E45-E46</f>
        <v>0.32617669891667567</v>
      </c>
      <c r="F47" s="350">
        <f>+F45-F46</f>
        <v>-0.24558378173089368</v>
      </c>
      <c r="G47" s="829" t="s">
        <v>724</v>
      </c>
      <c r="H47" s="832">
        <f>(+B49*B44+C49*C44+D49*D44+E49*E44+F49*F44)*12</f>
        <v>270639268.68993533</v>
      </c>
    </row>
    <row r="48" spans="1:8" hidden="1" outlineLevel="1">
      <c r="A48" s="354" t="s">
        <v>723</v>
      </c>
      <c r="B48" s="831">
        <f>+B47</f>
        <v>0.28347998123169238</v>
      </c>
      <c r="C48" s="831">
        <f>+C47</f>
        <v>0.25527855378737874</v>
      </c>
      <c r="D48" s="831">
        <f>+D47</f>
        <v>0.3327350932907247</v>
      </c>
      <c r="E48" s="831">
        <f>+E47</f>
        <v>0.32617669891667567</v>
      </c>
      <c r="F48" s="831">
        <f>+F47</f>
        <v>-0.24558378173089368</v>
      </c>
      <c r="G48" s="829" t="s">
        <v>722</v>
      </c>
      <c r="H48" s="353">
        <f>+H46-H47</f>
        <v>0</v>
      </c>
    </row>
    <row r="49" spans="1:8" hidden="1" outlineLevel="1">
      <c r="A49" s="164" t="s">
        <v>721</v>
      </c>
      <c r="B49" s="830">
        <f>+B48+B46</f>
        <v>2.2695365806606529</v>
      </c>
      <c r="C49" s="830">
        <f>+C48+C46</f>
        <v>2.2695365806606529</v>
      </c>
      <c r="D49" s="830">
        <f>+D48+D46</f>
        <v>2.2695365806606529</v>
      </c>
      <c r="E49" s="830">
        <f>+E48+E46</f>
        <v>2.2695365806606529</v>
      </c>
      <c r="F49" s="830">
        <f>+F48+F46</f>
        <v>2.2695365806606529</v>
      </c>
      <c r="G49" s="829" t="s">
        <v>720</v>
      </c>
      <c r="H49" s="340">
        <f>SUM(B44:F44)</f>
        <v>9937391</v>
      </c>
    </row>
    <row r="50" spans="1:8" ht="13.5" hidden="1" outlineLevel="1" thickBot="1">
      <c r="A50" s="164" t="s">
        <v>719</v>
      </c>
      <c r="B50" s="828">
        <f>+H50</f>
        <v>0</v>
      </c>
      <c r="C50" s="828">
        <f>+B50</f>
        <v>0</v>
      </c>
      <c r="D50" s="828">
        <f>+C50</f>
        <v>0</v>
      </c>
      <c r="E50" s="828">
        <f>+D50</f>
        <v>0</v>
      </c>
      <c r="F50" s="828">
        <f>+E50</f>
        <v>0</v>
      </c>
      <c r="G50" s="827" t="s">
        <v>718</v>
      </c>
      <c r="H50" s="352">
        <f>+H48/H49/12</f>
        <v>0</v>
      </c>
    </row>
    <row r="51" spans="1:8" hidden="1" outlineLevel="1">
      <c r="A51" s="164" t="s">
        <v>717</v>
      </c>
      <c r="B51" s="351">
        <f>+B50+B49</f>
        <v>2.2695365806606529</v>
      </c>
      <c r="C51" s="351">
        <f>+C50+C49</f>
        <v>2.2695365806606529</v>
      </c>
      <c r="D51" s="351">
        <f>+D50+D49</f>
        <v>2.2695365806606529</v>
      </c>
      <c r="E51" s="351">
        <f>+E50+E49</f>
        <v>2.2695365806606529</v>
      </c>
      <c r="F51" s="351">
        <f>+F50+F49</f>
        <v>2.2695365806606529</v>
      </c>
      <c r="G51" s="822" t="s">
        <v>716</v>
      </c>
      <c r="H51" s="350">
        <f>H46/(H49*12)</f>
        <v>2.2695365806606533</v>
      </c>
    </row>
    <row r="52" spans="1:8" hidden="1" outlineLevel="1">
      <c r="A52" s="164" t="s">
        <v>715</v>
      </c>
      <c r="B52" s="339">
        <f>+B51*B44*12</f>
        <v>14059779.117192745</v>
      </c>
      <c r="C52" s="339">
        <f>+C51*C44*12</f>
        <v>60644259.737394333</v>
      </c>
      <c r="D52" s="339">
        <f>+D51*D44*12</f>
        <v>56638563.985113576</v>
      </c>
      <c r="E52" s="339">
        <f>+E51*E44*12</f>
        <v>135942962.56684613</v>
      </c>
      <c r="F52" s="339">
        <f>+F51*F44*12</f>
        <v>3353703.283388569</v>
      </c>
    </row>
    <row r="53" spans="1:8" hidden="1" outlineLevel="1"/>
    <row r="54" spans="1:8" hidden="1" outlineLevel="1">
      <c r="A54" s="879" t="s">
        <v>714</v>
      </c>
      <c r="B54" s="879"/>
      <c r="C54" s="879"/>
      <c r="D54" s="879"/>
      <c r="E54" s="879"/>
      <c r="F54" s="879"/>
      <c r="G54" s="879"/>
      <c r="H54" s="879"/>
    </row>
    <row r="55" spans="1:8" hidden="1" outlineLevel="1">
      <c r="G55" s="824" t="s">
        <v>690</v>
      </c>
      <c r="H55" s="346">
        <v>321162828.18896127</v>
      </c>
    </row>
    <row r="56" spans="1:8" hidden="1" outlineLevel="1">
      <c r="G56" s="825" t="s">
        <v>713</v>
      </c>
      <c r="H56" s="822">
        <v>-2606372</v>
      </c>
    </row>
    <row r="57" spans="1:8" hidden="1" outlineLevel="1">
      <c r="A57" s="345" t="s">
        <v>712</v>
      </c>
      <c r="B57" s="344"/>
      <c r="C57" s="824"/>
      <c r="D57" s="824"/>
      <c r="E57" s="824"/>
      <c r="F57" s="823"/>
      <c r="G57" s="880" t="s">
        <v>689</v>
      </c>
      <c r="H57" s="881"/>
    </row>
    <row r="58" spans="1:8" hidden="1" outlineLevel="1">
      <c r="A58" s="164" t="s">
        <v>688</v>
      </c>
      <c r="B58" s="822">
        <v>527417</v>
      </c>
      <c r="C58" s="822">
        <v>2344982</v>
      </c>
      <c r="D58" s="822">
        <v>2166975</v>
      </c>
      <c r="E58" s="822">
        <v>5270683</v>
      </c>
      <c r="F58" s="822">
        <v>126467</v>
      </c>
      <c r="G58" s="341" t="s">
        <v>687</v>
      </c>
      <c r="H58" s="343">
        <f>H55+H56</f>
        <v>318556456.18896127</v>
      </c>
    </row>
    <row r="59" spans="1:8" ht="13.5" hidden="1" outlineLevel="1" thickBot="1">
      <c r="A59" s="164" t="s">
        <v>684</v>
      </c>
      <c r="B59" s="342">
        <f>H60</f>
        <v>2.5436027693780137</v>
      </c>
      <c r="C59" s="342">
        <f>+B59</f>
        <v>2.5436027693780137</v>
      </c>
      <c r="D59" s="342">
        <f>+C59</f>
        <v>2.5436027693780137</v>
      </c>
      <c r="E59" s="342">
        <f>+D59</f>
        <v>2.5436027693780137</v>
      </c>
      <c r="F59" s="342">
        <f>+E59</f>
        <v>2.5436027693780137</v>
      </c>
      <c r="G59" s="341" t="s">
        <v>686</v>
      </c>
      <c r="H59" s="340">
        <f>SUM(B58:F58)</f>
        <v>10436524</v>
      </c>
    </row>
    <row r="60" spans="1:8" ht="13.5" hidden="1" outlineLevel="1" thickBot="1">
      <c r="A60" s="164" t="s">
        <v>685</v>
      </c>
      <c r="B60" s="339">
        <f>B58*B59*12</f>
        <v>16098472.101804525</v>
      </c>
      <c r="C60" s="339">
        <f>C58*C59*12</f>
        <v>71576432.512099117</v>
      </c>
      <c r="D60" s="339">
        <f>D58*D59*12</f>
        <v>66143083.334075049</v>
      </c>
      <c r="E60" s="339">
        <f>E58*E59*12</f>
        <v>160878286.50376341</v>
      </c>
      <c r="F60" s="339">
        <f>F58*F59*12</f>
        <v>3860181.7372191511</v>
      </c>
      <c r="G60" s="338" t="s">
        <v>684</v>
      </c>
      <c r="H60" s="337">
        <f>H58/H59/12</f>
        <v>2.5436027693780137</v>
      </c>
    </row>
    <row r="61" spans="1:8" hidden="1" outlineLevel="1"/>
    <row r="62" spans="1:8" hidden="1" outlineLevel="1"/>
    <row r="63" spans="1:8" hidden="1" outlineLevel="1">
      <c r="A63" s="345" t="s">
        <v>711</v>
      </c>
      <c r="B63" s="344"/>
      <c r="C63" s="824"/>
      <c r="D63" s="824"/>
      <c r="E63" s="824"/>
      <c r="F63" s="823"/>
      <c r="G63" s="880" t="s">
        <v>689</v>
      </c>
      <c r="H63" s="881"/>
    </row>
    <row r="64" spans="1:8" hidden="1" outlineLevel="1">
      <c r="A64" s="164" t="s">
        <v>688</v>
      </c>
      <c r="B64" s="822">
        <v>510417</v>
      </c>
      <c r="C64" s="822">
        <v>2364800</v>
      </c>
      <c r="D64" s="822">
        <v>2179741</v>
      </c>
      <c r="E64" s="822">
        <v>5059842</v>
      </c>
      <c r="F64" s="822">
        <v>126242</v>
      </c>
      <c r="G64" s="341" t="s">
        <v>687</v>
      </c>
      <c r="H64" s="343">
        <v>386276589.67891628</v>
      </c>
    </row>
    <row r="65" spans="1:8" ht="13.5" hidden="1" outlineLevel="1" thickBot="1">
      <c r="A65" s="164" t="s">
        <v>684</v>
      </c>
      <c r="B65" s="342">
        <f>H66</f>
        <v>3.1432070883584267</v>
      </c>
      <c r="C65" s="342">
        <f>+B65</f>
        <v>3.1432070883584267</v>
      </c>
      <c r="D65" s="342">
        <f>+C65</f>
        <v>3.1432070883584267</v>
      </c>
      <c r="E65" s="342">
        <f>+D65</f>
        <v>3.1432070883584267</v>
      </c>
      <c r="F65" s="342">
        <f>+E65</f>
        <v>3.1432070883584267</v>
      </c>
      <c r="G65" s="341" t="s">
        <v>686</v>
      </c>
      <c r="H65" s="340">
        <f>SUM(B64:F64)</f>
        <v>10241042</v>
      </c>
    </row>
    <row r="66" spans="1:8" ht="13.5" hidden="1" outlineLevel="1" thickBot="1">
      <c r="A66" s="164" t="s">
        <v>685</v>
      </c>
      <c r="B66" s="339">
        <f>B64*B65*12</f>
        <v>19252155.989023719</v>
      </c>
      <c r="C66" s="339">
        <f>C64*C65*12</f>
        <v>89196673.470600083</v>
      </c>
      <c r="D66" s="339">
        <f>D64*D65*12</f>
        <v>82216528.343825817</v>
      </c>
      <c r="E66" s="339">
        <f>E64*E65*12</f>
        <v>190849574.88448414</v>
      </c>
      <c r="F66" s="339">
        <f>F64*F65*12</f>
        <v>4761656.9909825344</v>
      </c>
      <c r="G66" s="338" t="s">
        <v>684</v>
      </c>
      <c r="H66" s="337">
        <f>H64/H65/12</f>
        <v>3.1432070883584267</v>
      </c>
    </row>
    <row r="67" spans="1:8" hidden="1" outlineLevel="1"/>
    <row r="68" spans="1:8" hidden="1" outlineLevel="1">
      <c r="G68" s="824" t="s">
        <v>690</v>
      </c>
      <c r="H68" s="348">
        <v>436770194.1979925</v>
      </c>
    </row>
    <row r="69" spans="1:8" hidden="1" outlineLevel="1">
      <c r="G69" s="825" t="s">
        <v>710</v>
      </c>
      <c r="H69" s="824">
        <v>6459760</v>
      </c>
    </row>
    <row r="70" spans="1:8" hidden="1" outlineLevel="1">
      <c r="G70" s="825" t="s">
        <v>709</v>
      </c>
      <c r="H70" s="824">
        <v>-4632276.3099999996</v>
      </c>
    </row>
    <row r="71" spans="1:8" hidden="1" outlineLevel="1">
      <c r="A71" s="345" t="s">
        <v>708</v>
      </c>
      <c r="B71" s="344"/>
      <c r="C71" s="824"/>
      <c r="D71" s="824"/>
      <c r="E71" s="824"/>
      <c r="F71" s="823"/>
      <c r="G71" s="880" t="s">
        <v>689</v>
      </c>
      <c r="H71" s="881"/>
    </row>
    <row r="72" spans="1:8" hidden="1" outlineLevel="1">
      <c r="A72" s="164" t="s">
        <v>688</v>
      </c>
      <c r="B72" s="822">
        <v>529724.29116666666</v>
      </c>
      <c r="C72" s="822">
        <v>2505346.9249999998</v>
      </c>
      <c r="D72" s="822">
        <v>2253058.9905471355</v>
      </c>
      <c r="E72" s="822">
        <v>5274017.9150833329</v>
      </c>
      <c r="F72" s="822">
        <v>138991.15</v>
      </c>
      <c r="G72" s="341" t="s">
        <v>687</v>
      </c>
      <c r="H72" s="343">
        <f>H68+H69+H70</f>
        <v>438597677.8879925</v>
      </c>
    </row>
    <row r="73" spans="1:8" ht="13.5" hidden="1" outlineLevel="1" thickBot="1">
      <c r="A73" s="164" t="s">
        <v>684</v>
      </c>
      <c r="B73" s="342">
        <f>H74</f>
        <v>3.4155061028869231</v>
      </c>
      <c r="C73" s="342">
        <f>+B73</f>
        <v>3.4155061028869231</v>
      </c>
      <c r="D73" s="342">
        <f>+C73</f>
        <v>3.4155061028869231</v>
      </c>
      <c r="E73" s="342">
        <f>+D73</f>
        <v>3.4155061028869231</v>
      </c>
      <c r="F73" s="342">
        <f>+E73</f>
        <v>3.4155061028869231</v>
      </c>
      <c r="G73" s="341" t="s">
        <v>686</v>
      </c>
      <c r="H73" s="340">
        <f>SUM(B72:F72)</f>
        <v>10701139.271797135</v>
      </c>
    </row>
    <row r="74" spans="1:8" ht="13.5" hidden="1" outlineLevel="1" thickBot="1">
      <c r="A74" s="164" t="s">
        <v>685</v>
      </c>
      <c r="B74" s="339">
        <f>B72*B73*12</f>
        <v>21711318.591926392</v>
      </c>
      <c r="C74" s="339">
        <f>C72*C73*12</f>
        <v>102684332.54623783</v>
      </c>
      <c r="D74" s="339">
        <f>D72*D73*12</f>
        <v>92344040.788535908</v>
      </c>
      <c r="E74" s="339">
        <f>E72*E73*12</f>
        <v>216161284.50842509</v>
      </c>
      <c r="F74" s="339">
        <f>F72*F73*12</f>
        <v>5696701.4528672602</v>
      </c>
      <c r="G74" s="338" t="s">
        <v>684</v>
      </c>
      <c r="H74" s="337">
        <f>H72/H73/12</f>
        <v>3.4155061028869231</v>
      </c>
    </row>
    <row r="75" spans="1:8" hidden="1" outlineLevel="1"/>
    <row r="76" spans="1:8" hidden="1" outlineLevel="1">
      <c r="G76" s="824" t="s">
        <v>690</v>
      </c>
      <c r="H76" s="346">
        <v>462260185.02130419</v>
      </c>
    </row>
    <row r="77" spans="1:8" hidden="1" outlineLevel="1">
      <c r="G77" s="825" t="s">
        <v>706</v>
      </c>
      <c r="H77" s="348">
        <v>-16441877.682832096</v>
      </c>
    </row>
    <row r="78" spans="1:8" hidden="1" outlineLevel="1">
      <c r="A78" s="345" t="s">
        <v>707</v>
      </c>
      <c r="B78" s="344"/>
      <c r="C78" s="824"/>
      <c r="D78" s="824"/>
      <c r="E78" s="824"/>
      <c r="F78" s="823"/>
      <c r="G78" s="880" t="s">
        <v>689</v>
      </c>
      <c r="H78" s="881"/>
    </row>
    <row r="79" spans="1:8" hidden="1" outlineLevel="1">
      <c r="A79" s="164" t="s">
        <v>688</v>
      </c>
      <c r="B79" s="822">
        <v>524878.88300000003</v>
      </c>
      <c r="C79" s="822">
        <v>2352271.25</v>
      </c>
      <c r="D79" s="822">
        <v>2148244.2825735682</v>
      </c>
      <c r="E79" s="822">
        <v>4963790.47425</v>
      </c>
      <c r="F79" s="822">
        <v>140158.70858333333</v>
      </c>
      <c r="G79" s="341" t="s">
        <v>687</v>
      </c>
      <c r="H79" s="343">
        <f>H76+H77</f>
        <v>445818307.33847207</v>
      </c>
    </row>
    <row r="80" spans="1:8" ht="13.5" hidden="1" outlineLevel="1" thickBot="1">
      <c r="A80" s="164" t="s">
        <v>684</v>
      </c>
      <c r="B80" s="342">
        <f>H81</f>
        <v>3.6677130408906629</v>
      </c>
      <c r="C80" s="342">
        <f>+B80</f>
        <v>3.6677130408906629</v>
      </c>
      <c r="D80" s="342">
        <f>+C80</f>
        <v>3.6677130408906629</v>
      </c>
      <c r="E80" s="342">
        <f>+D80</f>
        <v>3.6677130408906629</v>
      </c>
      <c r="F80" s="342">
        <f>+E80</f>
        <v>3.6677130408906629</v>
      </c>
      <c r="G80" s="341" t="s">
        <v>686</v>
      </c>
      <c r="H80" s="340">
        <f>SUM(B79:F79)</f>
        <v>10129343.5984069</v>
      </c>
    </row>
    <row r="81" spans="1:8" ht="13.5" hidden="1" outlineLevel="1" thickBot="1">
      <c r="A81" s="164" t="s">
        <v>685</v>
      </c>
      <c r="B81" s="339">
        <f>B79*B80*12</f>
        <v>23101261.488806695</v>
      </c>
      <c r="C81" s="339">
        <f>C79*C80*12</f>
        <v>103529471.27204618</v>
      </c>
      <c r="D81" s="339">
        <f>D79*D80*12</f>
        <v>94549722.84256658</v>
      </c>
      <c r="E81" s="339">
        <f>E79*E80*12</f>
        <v>218469108.65586689</v>
      </c>
      <c r="F81" s="339">
        <f>F79*F80*12</f>
        <v>6168743.0791858286</v>
      </c>
      <c r="G81" s="338" t="s">
        <v>684</v>
      </c>
      <c r="H81" s="337">
        <f>H79/H80/12</f>
        <v>3.6677130408906629</v>
      </c>
    </row>
    <row r="82" spans="1:8" hidden="1" outlineLevel="1"/>
    <row r="83" spans="1:8" hidden="1" outlineLevel="1">
      <c r="G83" s="824" t="s">
        <v>690</v>
      </c>
      <c r="H83" s="346">
        <v>500784865.11112821</v>
      </c>
    </row>
    <row r="84" spans="1:8" hidden="1" outlineLevel="1">
      <c r="G84" s="825" t="s">
        <v>706</v>
      </c>
      <c r="H84" s="348">
        <v>-635580.98285714304</v>
      </c>
    </row>
    <row r="85" spans="1:8" hidden="1" outlineLevel="1">
      <c r="A85" s="345" t="s">
        <v>705</v>
      </c>
      <c r="B85" s="344"/>
      <c r="C85" s="824"/>
      <c r="D85" s="824"/>
      <c r="E85" s="824"/>
      <c r="F85" s="823"/>
      <c r="G85" s="880" t="s">
        <v>689</v>
      </c>
      <c r="H85" s="881"/>
    </row>
    <row r="86" spans="1:8" hidden="1" outlineLevel="1">
      <c r="A86" s="164" t="s">
        <v>688</v>
      </c>
      <c r="B86" s="822">
        <v>514870.98658333335</v>
      </c>
      <c r="C86" s="822">
        <v>2227573.75</v>
      </c>
      <c r="D86" s="822">
        <v>2132746.5199069013</v>
      </c>
      <c r="E86" s="822">
        <v>4752395.7829999989</v>
      </c>
      <c r="F86" s="822">
        <v>155918</v>
      </c>
      <c r="G86" s="341" t="s">
        <v>687</v>
      </c>
      <c r="H86" s="343">
        <f>H83+H84</f>
        <v>500149284.12827104</v>
      </c>
    </row>
    <row r="87" spans="1:8" ht="13.5" hidden="1" outlineLevel="1" thickBot="1">
      <c r="A87" s="164" t="s">
        <v>684</v>
      </c>
      <c r="B87" s="342">
        <f>H88</f>
        <v>4.2601405981246296</v>
      </c>
      <c r="C87" s="342">
        <f>+B87</f>
        <v>4.2601405981246296</v>
      </c>
      <c r="D87" s="342">
        <f>+C87</f>
        <v>4.2601405981246296</v>
      </c>
      <c r="E87" s="342">
        <f>+D87</f>
        <v>4.2601405981246296</v>
      </c>
      <c r="F87" s="342">
        <f>+E87</f>
        <v>4.2601405981246296</v>
      </c>
      <c r="G87" s="341" t="s">
        <v>686</v>
      </c>
      <c r="H87" s="340">
        <f>SUM(B86:F86)</f>
        <v>9783505.0394902341</v>
      </c>
    </row>
    <row r="88" spans="1:8" ht="13.5" hidden="1" outlineLevel="1" thickBot="1">
      <c r="A88" s="164" t="s">
        <v>685</v>
      </c>
      <c r="B88" s="339">
        <f>B86*B87*12</f>
        <v>26321073.512881681</v>
      </c>
      <c r="C88" s="339">
        <f>C86*C87*12</f>
        <v>113877328.41230068</v>
      </c>
      <c r="D88" s="339">
        <f>D86*D87*12</f>
        <v>109029600.4195729</v>
      </c>
      <c r="E88" s="339">
        <f>E86*E87*12</f>
        <v>242950490.56217498</v>
      </c>
      <c r="F88" s="339">
        <f>F86*F87*12</f>
        <v>7970791.2213407531</v>
      </c>
      <c r="G88" s="338" t="s">
        <v>684</v>
      </c>
      <c r="H88" s="337">
        <f>H86/H87/12</f>
        <v>4.2601405981246296</v>
      </c>
    </row>
    <row r="89" spans="1:8" hidden="1" outlineLevel="1"/>
    <row r="90" spans="1:8" hidden="1" outlineLevel="1">
      <c r="G90" s="824" t="s">
        <v>690</v>
      </c>
      <c r="H90" s="346">
        <v>505526629.21054453</v>
      </c>
    </row>
    <row r="91" spans="1:8" hidden="1" outlineLevel="1">
      <c r="G91" s="825" t="s">
        <v>704</v>
      </c>
      <c r="H91" s="348">
        <v>979228</v>
      </c>
    </row>
    <row r="92" spans="1:8" ht="13.5" hidden="1" outlineLevel="1" thickBot="1">
      <c r="G92" s="825" t="s">
        <v>703</v>
      </c>
      <c r="H92" s="349">
        <v>-11062844.289999999</v>
      </c>
    </row>
    <row r="93" spans="1:8" hidden="1" outlineLevel="1" collapsed="1">
      <c r="A93" s="345" t="s">
        <v>702</v>
      </c>
      <c r="B93" s="344"/>
      <c r="C93" s="824"/>
      <c r="D93" s="824"/>
      <c r="E93" s="824"/>
      <c r="F93" s="823"/>
      <c r="G93" s="880" t="s">
        <v>689</v>
      </c>
      <c r="H93" s="881"/>
    </row>
    <row r="94" spans="1:8" hidden="1" outlineLevel="1">
      <c r="A94" s="164" t="s">
        <v>688</v>
      </c>
      <c r="B94" s="822">
        <v>493832</v>
      </c>
      <c r="C94" s="822">
        <v>2212999.9399166699</v>
      </c>
      <c r="D94" s="822">
        <v>2145955.71808333</v>
      </c>
      <c r="E94" s="822">
        <v>4778346.2181666698</v>
      </c>
      <c r="F94" s="822">
        <v>156267.059263</v>
      </c>
      <c r="G94" s="341" t="s">
        <v>687</v>
      </c>
      <c r="H94" s="343">
        <f>SUM(H90:H92)</f>
        <v>495443012.92054451</v>
      </c>
    </row>
    <row r="95" spans="1:8" ht="13.5" hidden="1" outlineLevel="1" thickBot="1">
      <c r="A95" s="164" t="s">
        <v>684</v>
      </c>
      <c r="B95" s="342">
        <f>H96</f>
        <v>4.2183740112171266</v>
      </c>
      <c r="C95" s="342">
        <f>+B95</f>
        <v>4.2183740112171266</v>
      </c>
      <c r="D95" s="342">
        <f>+C95</f>
        <v>4.2183740112171266</v>
      </c>
      <c r="E95" s="342">
        <f>+D95</f>
        <v>4.2183740112171266</v>
      </c>
      <c r="F95" s="342">
        <f>+E95</f>
        <v>4.2183740112171266</v>
      </c>
      <c r="G95" s="341" t="s">
        <v>686</v>
      </c>
      <c r="H95" s="340">
        <f>SUM(B94:F94)</f>
        <v>9787400.9354296699</v>
      </c>
    </row>
    <row r="96" spans="1:8" ht="13.5" hidden="1" outlineLevel="1" thickBot="1">
      <c r="A96" s="164" t="s">
        <v>685</v>
      </c>
      <c r="B96" s="339">
        <f>B94*B95*12</f>
        <v>24998016.896488514</v>
      </c>
      <c r="C96" s="339">
        <f>C94*C95*12</f>
        <v>112023137.20043452</v>
      </c>
      <c r="D96" s="339">
        <f>D94*D95*12</f>
        <v>108629325.96462607</v>
      </c>
      <c r="E96" s="339">
        <f>E94*E95*12</f>
        <v>241882218.03974307</v>
      </c>
      <c r="F96" s="339">
        <f>F94*F95*12</f>
        <v>7910314.8192523895</v>
      </c>
      <c r="G96" s="338" t="s">
        <v>684</v>
      </c>
      <c r="H96" s="337">
        <f>H94/H95/12</f>
        <v>4.2183740112171266</v>
      </c>
    </row>
    <row r="97" spans="1:8" hidden="1" outlineLevel="1"/>
    <row r="98" spans="1:8" hidden="1" outlineLevel="1">
      <c r="G98" s="824" t="s">
        <v>690</v>
      </c>
      <c r="H98" s="346">
        <v>508916029</v>
      </c>
    </row>
    <row r="99" spans="1:8" hidden="1" outlineLevel="1">
      <c r="G99" s="825" t="s">
        <v>700</v>
      </c>
      <c r="H99" s="348">
        <v>-7961306.13165149</v>
      </c>
    </row>
    <row r="100" spans="1:8" hidden="1" outlineLevel="1">
      <c r="A100" s="345" t="s">
        <v>701</v>
      </c>
      <c r="B100" s="344"/>
      <c r="C100" s="824"/>
      <c r="D100" s="824"/>
      <c r="E100" s="824"/>
      <c r="F100" s="823"/>
      <c r="G100" s="880" t="s">
        <v>689</v>
      </c>
      <c r="H100" s="881"/>
    </row>
    <row r="101" spans="1:8" hidden="1" outlineLevel="1">
      <c r="A101" s="164" t="s">
        <v>688</v>
      </c>
      <c r="B101" s="822">
        <v>505033.48309308768</v>
      </c>
      <c r="C101" s="822">
        <v>2249463.4678708715</v>
      </c>
      <c r="D101" s="822">
        <v>2133868.3038235195</v>
      </c>
      <c r="E101" s="822">
        <v>4956276.6309487363</v>
      </c>
      <c r="F101" s="822">
        <v>170208.6618379358</v>
      </c>
      <c r="G101" s="341" t="s">
        <v>687</v>
      </c>
      <c r="H101" s="343">
        <f>SUM(H98:H99)</f>
        <v>500954722.86834854</v>
      </c>
    </row>
    <row r="102" spans="1:8" ht="13.5" hidden="1" outlineLevel="1" thickBot="1">
      <c r="A102" s="164" t="s">
        <v>684</v>
      </c>
      <c r="B102" s="342">
        <f>H103</f>
        <v>4.1684323402916581</v>
      </c>
      <c r="C102" s="342">
        <f>+B102</f>
        <v>4.1684323402916581</v>
      </c>
      <c r="D102" s="342">
        <f>+C102</f>
        <v>4.1684323402916581</v>
      </c>
      <c r="E102" s="342">
        <f>+D102</f>
        <v>4.1684323402916581</v>
      </c>
      <c r="F102" s="342">
        <f>+E102</f>
        <v>4.1684323402916581</v>
      </c>
      <c r="G102" s="341" t="s">
        <v>686</v>
      </c>
      <c r="H102" s="340">
        <f>SUM(B101:F101)</f>
        <v>10014850.547574151</v>
      </c>
    </row>
    <row r="103" spans="1:8" ht="13.5" hidden="1" outlineLevel="1" thickBot="1">
      <c r="A103" s="164" t="s">
        <v>685</v>
      </c>
      <c r="B103" s="339">
        <f>B101*B102*12</f>
        <v>25262374.846264407</v>
      </c>
      <c r="C103" s="339">
        <f>C101*C102*12</f>
        <v>112520835.21333079</v>
      </c>
      <c r="D103" s="339">
        <f>D101*D102*12</f>
        <v>106738627.77097517</v>
      </c>
      <c r="E103" s="339">
        <f>E101*E102*12</f>
        <v>247918845.55054194</v>
      </c>
      <c r="F103" s="339">
        <f>F101*F102*12</f>
        <v>8514039.4872362167</v>
      </c>
      <c r="G103" s="338" t="s">
        <v>684</v>
      </c>
      <c r="H103" s="337">
        <f>H101/H102/12</f>
        <v>4.1684323402916581</v>
      </c>
    </row>
    <row r="104" spans="1:8" hidden="1" outlineLevel="1"/>
    <row r="105" spans="1:8" hidden="1" outlineLevel="1">
      <c r="G105" s="824" t="s">
        <v>690</v>
      </c>
      <c r="H105" s="346">
        <v>531152392.20000005</v>
      </c>
    </row>
    <row r="106" spans="1:8" hidden="1" outlineLevel="1">
      <c r="G106" s="825" t="s">
        <v>700</v>
      </c>
      <c r="H106" s="348">
        <v>-1295494</v>
      </c>
    </row>
    <row r="107" spans="1:8" hidden="1" outlineLevel="1">
      <c r="A107" s="345" t="s">
        <v>699</v>
      </c>
      <c r="B107" s="344"/>
      <c r="C107" s="824"/>
      <c r="D107" s="824"/>
      <c r="E107" s="824"/>
      <c r="F107" s="823"/>
      <c r="G107" s="880" t="s">
        <v>689</v>
      </c>
      <c r="H107" s="881"/>
    </row>
    <row r="108" spans="1:8" hidden="1" outlineLevel="1">
      <c r="A108" s="164" t="s">
        <v>688</v>
      </c>
      <c r="B108" s="822">
        <v>519286.27565328113</v>
      </c>
      <c r="C108" s="822">
        <v>2276683.7317546466</v>
      </c>
      <c r="D108" s="822">
        <v>2101046.4848433826</v>
      </c>
      <c r="E108" s="822">
        <v>4901667.9584840219</v>
      </c>
      <c r="F108" s="822">
        <v>166919.32147304778</v>
      </c>
      <c r="G108" s="341" t="s">
        <v>687</v>
      </c>
      <c r="H108" s="343">
        <f>SUM(H105:H106)</f>
        <v>529856898.20000005</v>
      </c>
    </row>
    <row r="109" spans="1:8" ht="13.5" hidden="1" outlineLevel="1" thickBot="1">
      <c r="A109" s="164" t="s">
        <v>684</v>
      </c>
      <c r="B109" s="342">
        <f>H110</f>
        <v>4.4307141369400416</v>
      </c>
      <c r="C109" s="342">
        <f>+B109</f>
        <v>4.4307141369400416</v>
      </c>
      <c r="D109" s="342">
        <f>+C109</f>
        <v>4.4307141369400416</v>
      </c>
      <c r="E109" s="342">
        <f>+D109</f>
        <v>4.4307141369400416</v>
      </c>
      <c r="F109" s="342">
        <f>+E109</f>
        <v>4.4307141369400416</v>
      </c>
      <c r="G109" s="341" t="s">
        <v>686</v>
      </c>
      <c r="H109" s="340">
        <f>SUM(B108:F108)</f>
        <v>9965603.7722083796</v>
      </c>
    </row>
    <row r="110" spans="1:8" ht="13.5" hidden="1" outlineLevel="1" thickBot="1">
      <c r="A110" s="164" t="s">
        <v>685</v>
      </c>
      <c r="B110" s="339">
        <f>B108*B109*12</f>
        <v>27609708.511871234</v>
      </c>
      <c r="C110" s="339">
        <f>C108*C109*12</f>
        <v>121048017.54752067</v>
      </c>
      <c r="D110" s="339">
        <f>D108*D109*12</f>
        <v>111709636.35316509</v>
      </c>
      <c r="E110" s="339">
        <f>E108*E109*12</f>
        <v>260614674.21889427</v>
      </c>
      <c r="F110" s="339">
        <f>F108*F109*12</f>
        <v>8874861.5685488675</v>
      </c>
      <c r="G110" s="338" t="s">
        <v>684</v>
      </c>
      <c r="H110" s="337">
        <f>H108/H109/12</f>
        <v>4.4307141369400416</v>
      </c>
    </row>
    <row r="111" spans="1:8" hidden="1" outlineLevel="1" collapsed="1"/>
    <row r="112" spans="1:8" hidden="1" outlineLevel="1">
      <c r="G112" s="824" t="s">
        <v>690</v>
      </c>
      <c r="H112" s="346">
        <v>538343534.19599533</v>
      </c>
    </row>
    <row r="113" spans="1:8" hidden="1" outlineLevel="1">
      <c r="G113" s="825" t="s">
        <v>698</v>
      </c>
      <c r="H113" s="348">
        <v>2064389.6776640799</v>
      </c>
    </row>
    <row r="114" spans="1:8" hidden="1" outlineLevel="1">
      <c r="G114" s="825" t="s">
        <v>696</v>
      </c>
      <c r="H114" s="348">
        <v>-12438986.859999999</v>
      </c>
    </row>
    <row r="115" spans="1:8" hidden="1" outlineLevel="1">
      <c r="A115" s="345" t="s">
        <v>697</v>
      </c>
      <c r="B115" s="344"/>
      <c r="C115" s="824"/>
      <c r="D115" s="824"/>
      <c r="E115" s="824"/>
      <c r="F115" s="823"/>
      <c r="G115" s="880" t="s">
        <v>689</v>
      </c>
      <c r="H115" s="881"/>
    </row>
    <row r="116" spans="1:8" hidden="1" outlineLevel="1">
      <c r="A116" s="164" t="s">
        <v>688</v>
      </c>
      <c r="B116" s="822">
        <v>503075.23946315475</v>
      </c>
      <c r="C116" s="822">
        <v>2292749.4420068031</v>
      </c>
      <c r="D116" s="822">
        <v>2121221.8579931976</v>
      </c>
      <c r="E116" s="822">
        <v>4858170.082481714</v>
      </c>
      <c r="F116" s="822">
        <v>182263.25112065437</v>
      </c>
      <c r="G116" s="341" t="s">
        <v>687</v>
      </c>
      <c r="H116" s="343">
        <f>SUM(H112:H114)</f>
        <v>527968937.01365936</v>
      </c>
    </row>
    <row r="117" spans="1:8" ht="13.5" hidden="1" outlineLevel="1" thickBot="1">
      <c r="A117" s="164" t="s">
        <v>684</v>
      </c>
      <c r="B117" s="342">
        <f>H118</f>
        <v>4.4185287822489814</v>
      </c>
      <c r="C117" s="342">
        <f>+B117</f>
        <v>4.4185287822489814</v>
      </c>
      <c r="D117" s="342">
        <f>+C117</f>
        <v>4.4185287822489814</v>
      </c>
      <c r="E117" s="342">
        <f>+D117</f>
        <v>4.4185287822489814</v>
      </c>
      <c r="F117" s="342">
        <f>+E117</f>
        <v>4.4185287822489814</v>
      </c>
      <c r="G117" s="341" t="s">
        <v>686</v>
      </c>
      <c r="H117" s="340">
        <f>SUM(B116:F116)</f>
        <v>9957479.8730655238</v>
      </c>
    </row>
    <row r="118" spans="1:8" ht="13.5" hidden="1" outlineLevel="1" thickBot="1">
      <c r="A118" s="164" t="s">
        <v>685</v>
      </c>
      <c r="B118" s="339">
        <f>B116*B117*12</f>
        <v>26674229.102456972</v>
      </c>
      <c r="C118" s="339">
        <f>C116*C117*12</f>
        <v>121566952.79990821</v>
      </c>
      <c r="D118" s="339">
        <f>D116*D117*12</f>
        <v>112472157.99694327</v>
      </c>
      <c r="E118" s="339">
        <f>E116*E117*12</f>
        <v>257591572.06207633</v>
      </c>
      <c r="F118" s="339">
        <f>F116*F117*12</f>
        <v>9664025.052274622</v>
      </c>
      <c r="G118" s="338" t="s">
        <v>684</v>
      </c>
      <c r="H118" s="337">
        <f>H116/H117/12</f>
        <v>4.4185287822489814</v>
      </c>
    </row>
    <row r="119" spans="1:8" hidden="1" outlineLevel="1" collapsed="1"/>
    <row r="120" spans="1:8" hidden="1" outlineLevel="1">
      <c r="G120" s="824" t="s">
        <v>690</v>
      </c>
      <c r="H120" s="346">
        <v>555124390.51181614</v>
      </c>
    </row>
    <row r="121" spans="1:8" hidden="1" outlineLevel="1">
      <c r="G121" s="825" t="s">
        <v>696</v>
      </c>
      <c r="H121" s="348">
        <v>-4812050.5199999996</v>
      </c>
    </row>
    <row r="122" spans="1:8" hidden="1" outlineLevel="1">
      <c r="G122" s="825" t="s">
        <v>694</v>
      </c>
      <c r="H122" s="348">
        <v>-5041886.3811351089</v>
      </c>
    </row>
    <row r="123" spans="1:8" hidden="1" outlineLevel="1">
      <c r="A123" s="345" t="s">
        <v>695</v>
      </c>
      <c r="B123" s="344"/>
      <c r="C123" s="824"/>
      <c r="D123" s="824"/>
      <c r="E123" s="824"/>
      <c r="F123" s="823"/>
      <c r="G123" s="880" t="s">
        <v>689</v>
      </c>
      <c r="H123" s="881"/>
    </row>
    <row r="124" spans="1:8" hidden="1" outlineLevel="1">
      <c r="A124" s="164" t="s">
        <v>688</v>
      </c>
      <c r="B124" s="822">
        <v>514990.22265042813</v>
      </c>
      <c r="C124" s="822">
        <v>2327328.477108188</v>
      </c>
      <c r="D124" s="822">
        <v>2106910.9416666669</v>
      </c>
      <c r="E124" s="822">
        <v>4863258.6000000006</v>
      </c>
      <c r="F124" s="822">
        <v>160995.10867685408</v>
      </c>
      <c r="G124" s="341" t="s">
        <v>687</v>
      </c>
      <c r="H124" s="343">
        <f>SUM(H120:H122)</f>
        <v>545270453.61068106</v>
      </c>
    </row>
    <row r="125" spans="1:8" ht="13.5" hidden="1" outlineLevel="1" thickBot="1">
      <c r="A125" s="164" t="s">
        <v>684</v>
      </c>
      <c r="B125" s="342">
        <f>H126</f>
        <v>4.556001436257616</v>
      </c>
      <c r="C125" s="342">
        <f>+B125</f>
        <v>4.556001436257616</v>
      </c>
      <c r="D125" s="342">
        <f>+C125</f>
        <v>4.556001436257616</v>
      </c>
      <c r="E125" s="342">
        <f>+D125</f>
        <v>4.556001436257616</v>
      </c>
      <c r="F125" s="342">
        <f>+E125</f>
        <v>4.556001436257616</v>
      </c>
      <c r="G125" s="341" t="s">
        <v>686</v>
      </c>
      <c r="H125" s="340">
        <f>SUM(B124:F124)</f>
        <v>9973483.3501021378</v>
      </c>
    </row>
    <row r="126" spans="1:8" ht="13.5" hidden="1" outlineLevel="1" thickBot="1">
      <c r="A126" s="164" t="s">
        <v>685</v>
      </c>
      <c r="B126" s="339">
        <f>B124*B125*12</f>
        <v>28155554.328647763</v>
      </c>
      <c r="C126" s="339">
        <f>C124*C125*12</f>
        <v>127239742.61217785</v>
      </c>
      <c r="D126" s="339">
        <f>D124*D125*12</f>
        <v>115189071.31560263</v>
      </c>
      <c r="E126" s="339">
        <f>E124*E125*12</f>
        <v>265884157.99790645</v>
      </c>
      <c r="F126" s="339">
        <f>F124*F125*12</f>
        <v>8801927.3563463781</v>
      </c>
      <c r="G126" s="338" t="s">
        <v>684</v>
      </c>
      <c r="H126" s="337">
        <f>H124/H125/12</f>
        <v>4.556001436257616</v>
      </c>
    </row>
    <row r="127" spans="1:8" hidden="1" outlineLevel="1"/>
    <row r="128" spans="1:8" hidden="1" outlineLevel="1">
      <c r="G128" s="824" t="s">
        <v>690</v>
      </c>
      <c r="H128" s="346">
        <v>582865228.15004337</v>
      </c>
    </row>
    <row r="129" spans="1:8" hidden="1" outlineLevel="1">
      <c r="G129" s="825" t="s">
        <v>694</v>
      </c>
      <c r="H129" s="824">
        <v>2644882.1562601328</v>
      </c>
    </row>
    <row r="130" spans="1:8" hidden="1" outlineLevel="1">
      <c r="G130" s="825" t="s">
        <v>692</v>
      </c>
      <c r="H130" s="824">
        <v>0</v>
      </c>
    </row>
    <row r="131" spans="1:8" hidden="1" outlineLevel="1">
      <c r="A131" s="345" t="s">
        <v>693</v>
      </c>
      <c r="B131" s="344"/>
      <c r="C131" s="824"/>
      <c r="D131" s="824"/>
      <c r="E131" s="824"/>
      <c r="F131" s="823"/>
      <c r="G131" s="880" t="s">
        <v>689</v>
      </c>
      <c r="H131" s="881"/>
    </row>
    <row r="132" spans="1:8" hidden="1" outlineLevel="1">
      <c r="A132" s="164" t="s">
        <v>688</v>
      </c>
      <c r="B132" s="822">
        <v>484918.78588372923</v>
      </c>
      <c r="C132" s="822">
        <v>2273671.1362175895</v>
      </c>
      <c r="D132" s="822">
        <v>2081602.8166666664</v>
      </c>
      <c r="E132" s="822">
        <v>4652804.1083333325</v>
      </c>
      <c r="F132" s="822">
        <v>152111.58594510722</v>
      </c>
      <c r="G132" s="341" t="s">
        <v>687</v>
      </c>
      <c r="H132" s="343">
        <f>SUM(H128:H130)</f>
        <v>585510110.3063035</v>
      </c>
    </row>
    <row r="133" spans="1:8" ht="13.5" hidden="1" outlineLevel="1" thickBot="1">
      <c r="A133" s="164" t="s">
        <v>684</v>
      </c>
      <c r="B133" s="342">
        <f>H134</f>
        <v>5.0587828567087199</v>
      </c>
      <c r="C133" s="342">
        <f>+B133</f>
        <v>5.0587828567087199</v>
      </c>
      <c r="D133" s="342">
        <f>+C133</f>
        <v>5.0587828567087199</v>
      </c>
      <c r="E133" s="342">
        <f>+D133</f>
        <v>5.0587828567087199</v>
      </c>
      <c r="F133" s="342">
        <f>+E133</f>
        <v>5.0587828567087199</v>
      </c>
      <c r="G133" s="341" t="s">
        <v>686</v>
      </c>
      <c r="H133" s="340">
        <f>SUM(B132:F132)</f>
        <v>9645108.4330464248</v>
      </c>
    </row>
    <row r="134" spans="1:8" ht="13.5" hidden="1" outlineLevel="1" thickBot="1">
      <c r="A134" s="164" t="s">
        <v>685</v>
      </c>
      <c r="B134" s="339">
        <f>B132*B133*12</f>
        <v>29437186.091095392</v>
      </c>
      <c r="C134" s="339">
        <f>C132*C133*12</f>
        <v>138024102.78829172</v>
      </c>
      <c r="D134" s="339">
        <f>D132*D133*12</f>
        <v>126364519.721159</v>
      </c>
      <c r="E134" s="339">
        <f>E132*E133*12</f>
        <v>282450307.90632677</v>
      </c>
      <c r="F134" s="339">
        <f>F132*F133*12</f>
        <v>9233993.7994306013</v>
      </c>
      <c r="G134" s="338" t="s">
        <v>684</v>
      </c>
      <c r="H134" s="337">
        <f>H132/H133/12</f>
        <v>5.0587828567087199</v>
      </c>
    </row>
    <row r="135" spans="1:8" hidden="1" outlineLevel="1"/>
    <row r="136" spans="1:8" hidden="1" outlineLevel="1"/>
    <row r="137" spans="1:8" hidden="1" outlineLevel="1">
      <c r="G137" s="824" t="s">
        <v>690</v>
      </c>
      <c r="H137" s="346">
        <v>571471211.32093585</v>
      </c>
    </row>
    <row r="138" spans="1:8" hidden="1" outlineLevel="1">
      <c r="G138" s="825" t="s">
        <v>692</v>
      </c>
      <c r="H138" s="824">
        <v>-920044.32188808569</v>
      </c>
    </row>
    <row r="139" spans="1:8" hidden="1" outlineLevel="1">
      <c r="G139" s="825" t="s">
        <v>884</v>
      </c>
      <c r="H139" s="824">
        <v>-7239187.4059987999</v>
      </c>
    </row>
    <row r="140" spans="1:8" hidden="1" outlineLevel="1">
      <c r="A140" s="345" t="s">
        <v>691</v>
      </c>
      <c r="B140" s="344"/>
      <c r="C140" s="824"/>
      <c r="D140" s="824"/>
      <c r="E140" s="824"/>
      <c r="F140" s="823"/>
      <c r="G140" s="880" t="s">
        <v>689</v>
      </c>
      <c r="H140" s="881"/>
    </row>
    <row r="141" spans="1:8" hidden="1" outlineLevel="1">
      <c r="A141" s="164" t="s">
        <v>688</v>
      </c>
      <c r="B141" s="822">
        <v>506962.66352678632</v>
      </c>
      <c r="C141" s="822">
        <v>2301364.8350031711</v>
      </c>
      <c r="D141" s="822">
        <v>2125730.5333333332</v>
      </c>
      <c r="E141" s="822">
        <v>4711661.9250000007</v>
      </c>
      <c r="F141" s="822">
        <v>150088.11666666667</v>
      </c>
      <c r="G141" s="341" t="s">
        <v>687</v>
      </c>
      <c r="H141" s="343">
        <f>SUM(H137:H139)</f>
        <v>563311979.59304893</v>
      </c>
    </row>
    <row r="142" spans="1:8" ht="13.5" hidden="1" outlineLevel="1" thickBot="1">
      <c r="A142" s="164" t="s">
        <v>684</v>
      </c>
      <c r="B142" s="342">
        <f>H143</f>
        <v>4.7921176705099979</v>
      </c>
      <c r="C142" s="342">
        <f>+B142</f>
        <v>4.7921176705099979</v>
      </c>
      <c r="D142" s="342">
        <f>+C142</f>
        <v>4.7921176705099979</v>
      </c>
      <c r="E142" s="342">
        <f>+D142</f>
        <v>4.7921176705099979</v>
      </c>
      <c r="F142" s="342">
        <f>+E142</f>
        <v>4.7921176705099979</v>
      </c>
      <c r="G142" s="341" t="s">
        <v>686</v>
      </c>
      <c r="H142" s="340">
        <f>SUM(B141:F141)</f>
        <v>9795808.0735299587</v>
      </c>
    </row>
    <row r="143" spans="1:8" ht="13.5" hidden="1" outlineLevel="1" thickBot="1">
      <c r="A143" s="164" t="s">
        <v>685</v>
      </c>
      <c r="B143" s="339">
        <f>B141*B142*12</f>
        <v>29153096.858106326</v>
      </c>
      <c r="C143" s="339">
        <f>C141*C142*12</f>
        <v>132340933.10530826</v>
      </c>
      <c r="D143" s="339">
        <f>D141*D142*12</f>
        <v>122241010.21835169</v>
      </c>
      <c r="E143" s="339">
        <f>E141*E142*12</f>
        <v>270946060.41913986</v>
      </c>
      <c r="F143" s="339">
        <f>F141*F142*12</f>
        <v>8630878.9921427928</v>
      </c>
      <c r="G143" s="338" t="s">
        <v>684</v>
      </c>
      <c r="H143" s="337">
        <f>H141/H142/12</f>
        <v>4.7921176705099979</v>
      </c>
    </row>
    <row r="144" spans="1:8" hidden="1" outlineLevel="1"/>
    <row r="145" spans="1:9" hidden="1" outlineLevel="1"/>
    <row r="146" spans="1:9" hidden="1" outlineLevel="1">
      <c r="G146" s="824" t="s">
        <v>690</v>
      </c>
      <c r="H146" s="346">
        <v>551853074.69589686</v>
      </c>
    </row>
    <row r="147" spans="1:9" hidden="1" outlineLevel="1">
      <c r="G147" s="825" t="s">
        <v>884</v>
      </c>
      <c r="H147" s="347">
        <v>-379808.78923553665</v>
      </c>
    </row>
    <row r="148" spans="1:9" hidden="1" outlineLevel="1">
      <c r="G148" s="825" t="s">
        <v>886</v>
      </c>
      <c r="H148" s="347">
        <v>-2033906.3870000825</v>
      </c>
    </row>
    <row r="149" spans="1:9" hidden="1" outlineLevel="1">
      <c r="A149" s="345" t="s">
        <v>1271</v>
      </c>
      <c r="B149" s="344"/>
      <c r="C149" s="824"/>
      <c r="D149" s="824"/>
      <c r="E149" s="824"/>
      <c r="F149" s="823"/>
      <c r="G149" s="880" t="s">
        <v>689</v>
      </c>
      <c r="H149" s="881"/>
    </row>
    <row r="150" spans="1:9" hidden="1" outlineLevel="1">
      <c r="A150" s="164" t="s">
        <v>688</v>
      </c>
      <c r="B150" s="822">
        <v>512130.92750678823</v>
      </c>
      <c r="C150" s="822">
        <v>2326981.4246280473</v>
      </c>
      <c r="D150" s="822">
        <v>2126380.2499999995</v>
      </c>
      <c r="E150" s="822">
        <v>4605029.9666666659</v>
      </c>
      <c r="F150" s="822">
        <v>146844.28916666665</v>
      </c>
      <c r="G150" s="341" t="s">
        <v>687</v>
      </c>
      <c r="H150" s="343">
        <f>SUM(H146:H148)</f>
        <v>549439359.51966119</v>
      </c>
    </row>
    <row r="151" spans="1:9" ht="13.5" hidden="1" outlineLevel="1" thickBot="1">
      <c r="A151" s="164" t="s">
        <v>684</v>
      </c>
      <c r="B151" s="342">
        <f>H152</f>
        <v>4.711833355942554</v>
      </c>
      <c r="C151" s="342">
        <f>+B151</f>
        <v>4.711833355942554</v>
      </c>
      <c r="D151" s="342">
        <f>+C151</f>
        <v>4.711833355942554</v>
      </c>
      <c r="E151" s="342">
        <f>+D151</f>
        <v>4.711833355942554</v>
      </c>
      <c r="F151" s="342">
        <f>+E151</f>
        <v>4.711833355942554</v>
      </c>
      <c r="G151" s="341" t="s">
        <v>686</v>
      </c>
      <c r="H151" s="340">
        <f>SUM(B150:F150)</f>
        <v>9717366.8579681665</v>
      </c>
    </row>
    <row r="152" spans="1:9" ht="13.5" hidden="1" outlineLevel="1" thickBot="1">
      <c r="A152" s="164" t="s">
        <v>685</v>
      </c>
      <c r="B152" s="339">
        <f>B150*B151*12</f>
        <v>28956907.042035393</v>
      </c>
      <c r="C152" s="339">
        <f>C150*C151*12</f>
        <v>131572184.3426539</v>
      </c>
      <c r="D152" s="339">
        <f>D150*D151*12</f>
        <v>120229792.67240958</v>
      </c>
      <c r="E152" s="339">
        <f>E150*E151*12</f>
        <v>260377605.62466028</v>
      </c>
      <c r="F152" s="339">
        <f>F150*F151*12</f>
        <v>8302869.8379020859</v>
      </c>
      <c r="G152" s="338" t="s">
        <v>684</v>
      </c>
      <c r="H152" s="337">
        <f>H150/H151/12</f>
        <v>4.711833355942554</v>
      </c>
    </row>
    <row r="153" spans="1:9" hidden="1" outlineLevel="1"/>
    <row r="154" spans="1:9" hidden="1" outlineLevel="1"/>
    <row r="155" spans="1:9" hidden="1" outlineLevel="1">
      <c r="G155" s="824" t="s">
        <v>690</v>
      </c>
      <c r="H155" s="346">
        <v>559675523.43428051</v>
      </c>
      <c r="I155" s="164" t="s">
        <v>954</v>
      </c>
    </row>
    <row r="156" spans="1:9" hidden="1" outlineLevel="1">
      <c r="G156" s="825" t="s">
        <v>886</v>
      </c>
      <c r="H156" s="347">
        <v>4135706</v>
      </c>
    </row>
    <row r="157" spans="1:9" hidden="1" outlineLevel="1">
      <c r="A157" s="345" t="s">
        <v>1272</v>
      </c>
      <c r="B157" s="344"/>
      <c r="C157" s="824"/>
      <c r="D157" s="824"/>
      <c r="E157" s="824"/>
      <c r="F157" s="823"/>
      <c r="G157" s="880" t="s">
        <v>689</v>
      </c>
      <c r="H157" s="881"/>
    </row>
    <row r="158" spans="1:9" hidden="1" outlineLevel="1">
      <c r="A158" s="164" t="s">
        <v>688</v>
      </c>
      <c r="B158" s="822">
        <v>536724</v>
      </c>
      <c r="C158" s="822">
        <v>2448128</v>
      </c>
      <c r="D158" s="822">
        <v>2198903</v>
      </c>
      <c r="E158" s="822">
        <v>4730515</v>
      </c>
      <c r="F158" s="822">
        <v>160460</v>
      </c>
      <c r="G158" s="341" t="s">
        <v>687</v>
      </c>
      <c r="H158" s="343">
        <f>SUM(H155:H156)</f>
        <v>563811229.43428051</v>
      </c>
    </row>
    <row r="159" spans="1:9" ht="13.5" hidden="1" outlineLevel="1" thickBot="1">
      <c r="A159" s="164" t="s">
        <v>684</v>
      </c>
      <c r="B159" s="342">
        <f>H160</f>
        <v>4.6635760084412565</v>
      </c>
      <c r="C159" s="342">
        <f>+B159</f>
        <v>4.6635760084412565</v>
      </c>
      <c r="D159" s="342">
        <f>+C159</f>
        <v>4.6635760084412565</v>
      </c>
      <c r="E159" s="342">
        <f>+D159</f>
        <v>4.6635760084412565</v>
      </c>
      <c r="F159" s="342">
        <f>+E159</f>
        <v>4.6635760084412565</v>
      </c>
      <c r="G159" s="341" t="s">
        <v>686</v>
      </c>
      <c r="H159" s="340">
        <f>SUM(B158:F158)</f>
        <v>10074730</v>
      </c>
    </row>
    <row r="160" spans="1:9" ht="13.5" hidden="1" outlineLevel="1" thickBot="1">
      <c r="A160" s="164" t="s">
        <v>685</v>
      </c>
      <c r="B160" s="339">
        <f>B158*B159*12</f>
        <v>30036638.034655504</v>
      </c>
      <c r="C160" s="339">
        <f>C158*C159*12</f>
        <v>137004372.07671931</v>
      </c>
      <c r="D160" s="339">
        <f>D158*D159*12</f>
        <v>123057015.30827406</v>
      </c>
      <c r="E160" s="339">
        <f>E158*E159*12</f>
        <v>264733395.13885787</v>
      </c>
      <c r="F160" s="339">
        <f>F158*F159*12</f>
        <v>8979808.8757738099</v>
      </c>
      <c r="G160" s="338" t="s">
        <v>684</v>
      </c>
      <c r="H160" s="337">
        <f>H158/H159/12</f>
        <v>4.6635760084412565</v>
      </c>
    </row>
    <row r="161" spans="1:9" hidden="1" outlineLevel="1"/>
    <row r="162" spans="1:9" hidden="1" outlineLevel="1"/>
    <row r="163" spans="1:9" hidden="1" outlineLevel="1">
      <c r="G163" s="824" t="s">
        <v>690</v>
      </c>
      <c r="H163" s="346">
        <v>588244986.70161521</v>
      </c>
      <c r="I163" s="164" t="s">
        <v>954</v>
      </c>
    </row>
    <row r="164" spans="1:9" hidden="1" outlineLevel="1">
      <c r="G164" s="825" t="s">
        <v>891</v>
      </c>
      <c r="H164" s="347">
        <v>-10907669.50784648</v>
      </c>
    </row>
    <row r="165" spans="1:9" hidden="1" outlineLevel="1">
      <c r="A165" s="345" t="s">
        <v>1273</v>
      </c>
      <c r="B165" s="344"/>
      <c r="C165" s="824"/>
      <c r="D165" s="824"/>
      <c r="E165" s="824"/>
      <c r="F165" s="823"/>
      <c r="G165" s="880" t="s">
        <v>689</v>
      </c>
      <c r="H165" s="881"/>
    </row>
    <row r="166" spans="1:9" hidden="1" outlineLevel="1">
      <c r="A166" s="164" t="s">
        <v>688</v>
      </c>
      <c r="B166" s="822">
        <v>523846.98219153925</v>
      </c>
      <c r="C166" s="822">
        <v>2383784.1084794602</v>
      </c>
      <c r="D166" s="822">
        <v>2142575.6416666661</v>
      </c>
      <c r="E166" s="822">
        <v>4606274.6076098988</v>
      </c>
      <c r="F166" s="822">
        <v>160179.87499999997</v>
      </c>
      <c r="G166" s="341" t="s">
        <v>687</v>
      </c>
      <c r="H166" s="343">
        <f>SUM(H163:H164)</f>
        <v>577337317.19376874</v>
      </c>
    </row>
    <row r="167" spans="1:9" ht="13.5" hidden="1" outlineLevel="1" thickBot="1">
      <c r="A167" s="164" t="s">
        <v>684</v>
      </c>
      <c r="B167" s="342">
        <f>H168</f>
        <v>4.9009986232613114</v>
      </c>
      <c r="C167" s="342">
        <f>+B167</f>
        <v>4.9009986232613114</v>
      </c>
      <c r="D167" s="342">
        <f>+C167</f>
        <v>4.9009986232613114</v>
      </c>
      <c r="E167" s="342">
        <f>+D167</f>
        <v>4.9009986232613114</v>
      </c>
      <c r="F167" s="342">
        <f>+E167</f>
        <v>4.9009986232613114</v>
      </c>
      <c r="G167" s="341" t="s">
        <v>686</v>
      </c>
      <c r="H167" s="340">
        <f>SUM(B166:F166)</f>
        <v>9816661.2149475645</v>
      </c>
    </row>
    <row r="168" spans="1:9" ht="13.5" hidden="1" outlineLevel="1" thickBot="1">
      <c r="A168" s="164" t="s">
        <v>685</v>
      </c>
      <c r="B168" s="339">
        <f>B166*B167*12</f>
        <v>30808480.06224392</v>
      </c>
      <c r="C168" s="339">
        <f>C166*C167*12</f>
        <v>140195071.60572031</v>
      </c>
      <c r="D168" s="339">
        <f>D166*D167*12</f>
        <v>126009123.24049862</v>
      </c>
      <c r="E168" s="339">
        <f>E166*E167*12</f>
        <v>270904146.12311578</v>
      </c>
      <c r="F168" s="339">
        <f>F166*F167*12</f>
        <v>9420496.1621900257</v>
      </c>
      <c r="G168" s="338" t="s">
        <v>684</v>
      </c>
      <c r="H168" s="337">
        <f>H166/H167/12</f>
        <v>4.9009986232613114</v>
      </c>
    </row>
    <row r="169" spans="1:9" hidden="1" outlineLevel="1" collapsed="1"/>
    <row r="170" spans="1:9" hidden="1" outlineLevel="1"/>
    <row r="171" spans="1:9" hidden="1" outlineLevel="1">
      <c r="G171" s="824" t="s">
        <v>690</v>
      </c>
      <c r="H171" s="346">
        <v>594463190.54999983</v>
      </c>
    </row>
    <row r="172" spans="1:9" hidden="1" outlineLevel="1">
      <c r="G172" s="825" t="e">
        <f>#REF!-2&amp;" True-Up"</f>
        <v>#REF!</v>
      </c>
      <c r="H172" s="347">
        <v>-5339834.4451299906</v>
      </c>
    </row>
    <row r="173" spans="1:9" hidden="1" outlineLevel="1">
      <c r="A173" s="345" t="s">
        <v>1274</v>
      </c>
      <c r="B173" s="344"/>
      <c r="C173" s="824"/>
      <c r="D173" s="824"/>
      <c r="E173" s="824"/>
      <c r="F173" s="823"/>
      <c r="G173" s="880" t="s">
        <v>689</v>
      </c>
      <c r="H173" s="881"/>
    </row>
    <row r="174" spans="1:9" hidden="1" outlineLevel="1">
      <c r="A174" s="164" t="s">
        <v>688</v>
      </c>
      <c r="B174" s="822">
        <v>512324.56332785875</v>
      </c>
      <c r="C174" s="822">
        <v>2411949.0177571299</v>
      </c>
      <c r="D174" s="822">
        <v>2020231.758333334</v>
      </c>
      <c r="E174" s="822">
        <v>4525217.3252705112</v>
      </c>
      <c r="F174" s="822">
        <v>166887.67499999996</v>
      </c>
      <c r="G174" s="341" t="s">
        <v>687</v>
      </c>
      <c r="H174" s="343">
        <f>SUM(H171:H172)</f>
        <v>589123356.10486984</v>
      </c>
    </row>
    <row r="175" spans="1:9" ht="13.5" hidden="1" outlineLevel="1" thickBot="1">
      <c r="A175" s="164" t="s">
        <v>684</v>
      </c>
      <c r="B175" s="342">
        <f>H176</f>
        <v>5.0944897923852741</v>
      </c>
      <c r="C175" s="342">
        <f>+B175</f>
        <v>5.0944897923852741</v>
      </c>
      <c r="D175" s="342">
        <f>+C175</f>
        <v>5.0944897923852741</v>
      </c>
      <c r="E175" s="342">
        <f>+D175</f>
        <v>5.0944897923852741</v>
      </c>
      <c r="F175" s="342">
        <f>+E175</f>
        <v>5.0944897923852741</v>
      </c>
      <c r="G175" s="341" t="s">
        <v>686</v>
      </c>
      <c r="H175" s="340">
        <f>SUM(B174:F174)</f>
        <v>9636610.3396888338</v>
      </c>
    </row>
    <row r="176" spans="1:9" ht="13.5" hidden="1" outlineLevel="1" thickBot="1">
      <c r="A176" s="164" t="s">
        <v>685</v>
      </c>
      <c r="B176" s="339">
        <f>B174*B175*12</f>
        <v>31320387.099144228</v>
      </c>
      <c r="C176" s="339">
        <f>C174*C175*12</f>
        <v>147451795.80860865</v>
      </c>
      <c r="D176" s="339">
        <f>D174*D175*12</f>
        <v>123504600.85298069</v>
      </c>
      <c r="E176" s="339">
        <f>E174*E175*12</f>
        <v>276644081.66298735</v>
      </c>
      <c r="F176" s="339">
        <f>F174*F175*12</f>
        <v>10202490.681148931</v>
      </c>
      <c r="G176" s="338" t="s">
        <v>684</v>
      </c>
      <c r="H176" s="337">
        <f>H174/H175/12</f>
        <v>5.0944897923852741</v>
      </c>
    </row>
    <row r="177" spans="1:8" hidden="1" outlineLevel="1"/>
    <row r="178" spans="1:8" hidden="1" outlineLevel="1"/>
    <row r="179" spans="1:8" collapsed="1">
      <c r="G179" s="824" t="s">
        <v>690</v>
      </c>
      <c r="H179" s="346">
        <v>608931728.99732327</v>
      </c>
    </row>
    <row r="180" spans="1:8" ht="13.5" thickBot="1">
      <c r="G180" s="825" t="e">
        <f>#REF!-2&amp;" True-Up"</f>
        <v>#REF!</v>
      </c>
      <c r="H180" s="347">
        <v>-5295972.7194995116</v>
      </c>
    </row>
    <row r="181" spans="1:8">
      <c r="A181" s="345" t="s">
        <v>1275</v>
      </c>
      <c r="B181" s="344"/>
      <c r="C181" s="824"/>
      <c r="D181" s="824"/>
      <c r="E181" s="824"/>
      <c r="F181" s="823"/>
      <c r="G181" s="880" t="s">
        <v>689</v>
      </c>
      <c r="H181" s="881"/>
    </row>
    <row r="182" spans="1:8">
      <c r="A182" s="164" t="s">
        <v>688</v>
      </c>
      <c r="B182" s="822">
        <v>496176.73012696946</v>
      </c>
      <c r="C182" s="822">
        <v>2390865.8865632303</v>
      </c>
      <c r="D182" s="822">
        <v>2035897.4424999997</v>
      </c>
      <c r="E182" s="822">
        <v>4453195.0467152782</v>
      </c>
      <c r="F182" s="822">
        <v>149463.5</v>
      </c>
      <c r="G182" s="341" t="s">
        <v>687</v>
      </c>
      <c r="H182" s="343">
        <f>SUM(H179:H180)</f>
        <v>603635756.27782381</v>
      </c>
    </row>
    <row r="183" spans="1:8" ht="13.5" thickBot="1">
      <c r="A183" s="164" t="s">
        <v>684</v>
      </c>
      <c r="B183" s="342">
        <f>H184</f>
        <v>5.280820846118047</v>
      </c>
      <c r="C183" s="342">
        <f>+B183</f>
        <v>5.280820846118047</v>
      </c>
      <c r="D183" s="342">
        <f>+C183</f>
        <v>5.280820846118047</v>
      </c>
      <c r="E183" s="342">
        <f>+D183</f>
        <v>5.280820846118047</v>
      </c>
      <c r="F183" s="342">
        <f>+E183</f>
        <v>5.280820846118047</v>
      </c>
      <c r="G183" s="341" t="s">
        <v>686</v>
      </c>
      <c r="H183" s="340">
        <f>SUM(B182:F182)</f>
        <v>9525598.605905477</v>
      </c>
    </row>
    <row r="184" spans="1:8" ht="13.5" thickBot="1">
      <c r="A184" s="164" t="s">
        <v>685</v>
      </c>
      <c r="B184" s="339">
        <f>B182*B183*12</f>
        <v>31442645.037758265</v>
      </c>
      <c r="C184" s="339">
        <f>C182*C183*12</f>
        <v>151508812.96842736</v>
      </c>
      <c r="D184" s="339">
        <f>D182*D183*12</f>
        <v>129014515.85894899</v>
      </c>
      <c r="E184" s="339">
        <f>E182*E183*12</f>
        <v>282198302.81428409</v>
      </c>
      <c r="F184" s="339">
        <f>F182*F183*12</f>
        <v>9471479.5984051768</v>
      </c>
      <c r="G184" s="338" t="s">
        <v>684</v>
      </c>
      <c r="H184" s="337">
        <f>H182/H183/12</f>
        <v>5.280820846118047</v>
      </c>
    </row>
    <row r="187" spans="1:8">
      <c r="G187" s="824" t="s">
        <v>690</v>
      </c>
      <c r="H187" s="346">
        <v>639995600.16679668</v>
      </c>
    </row>
    <row r="188" spans="1:8" ht="13.5" thickBot="1">
      <c r="G188" s="825" t="s">
        <v>1055</v>
      </c>
      <c r="H188" s="347">
        <v>-6643917.3380917162</v>
      </c>
    </row>
    <row r="189" spans="1:8">
      <c r="A189" s="345" t="s">
        <v>1276</v>
      </c>
      <c r="B189" s="344"/>
      <c r="C189" s="824"/>
      <c r="D189" s="824"/>
      <c r="E189" s="824"/>
      <c r="F189" s="823"/>
      <c r="G189" s="880" t="s">
        <v>689</v>
      </c>
      <c r="H189" s="881"/>
    </row>
    <row r="190" spans="1:8">
      <c r="A190" s="164" t="s">
        <v>688</v>
      </c>
      <c r="B190" s="822">
        <v>520721.82676482905</v>
      </c>
      <c r="C190" s="822">
        <v>2486626.0234650583</v>
      </c>
      <c r="D190" s="822">
        <v>2066739.7161499998</v>
      </c>
      <c r="E190" s="822">
        <v>4519077.2673373297</v>
      </c>
      <c r="F190" s="822">
        <v>161070.08624999999</v>
      </c>
      <c r="G190" s="341" t="s">
        <v>687</v>
      </c>
      <c r="H190" s="343">
        <f>SUM(H187:H188)</f>
        <v>633351682.82870495</v>
      </c>
    </row>
    <row r="191" spans="1:8" ht="13.5" thickBot="1">
      <c r="A191" s="164" t="s">
        <v>684</v>
      </c>
      <c r="B191" s="342">
        <f>H192</f>
        <v>5.4109120126224601</v>
      </c>
      <c r="C191" s="342">
        <f>+B191</f>
        <v>5.4109120126224601</v>
      </c>
      <c r="D191" s="342">
        <f>+C191</f>
        <v>5.4109120126224601</v>
      </c>
      <c r="E191" s="342">
        <f>+D191</f>
        <v>5.4109120126224601</v>
      </c>
      <c r="F191" s="342">
        <f>+E191</f>
        <v>5.4109120126224601</v>
      </c>
      <c r="G191" s="341" t="s">
        <v>686</v>
      </c>
      <c r="H191" s="340">
        <f>SUM(B190:F190)</f>
        <v>9754234.9199672155</v>
      </c>
    </row>
    <row r="192" spans="1:8" ht="13.5" thickBot="1">
      <c r="A192" s="164" t="s">
        <v>685</v>
      </c>
      <c r="B192" s="339">
        <f>B190*B191*12</f>
        <v>33810959.852118298</v>
      </c>
      <c r="C192" s="339">
        <f>C190*C191*12</f>
        <v>161458975.45520043</v>
      </c>
      <c r="D192" s="339">
        <f>D190*D191*12</f>
        <v>134195361.0849596</v>
      </c>
      <c r="E192" s="339">
        <f>E190*E191*12</f>
        <v>293427953.66165566</v>
      </c>
      <c r="F192" s="339">
        <f>F190*F191*12</f>
        <v>10458432.774771128</v>
      </c>
      <c r="G192" s="338" t="s">
        <v>684</v>
      </c>
      <c r="H192" s="337">
        <f>H190/H191/12</f>
        <v>5.4109120126224601</v>
      </c>
    </row>
    <row r="195" spans="1:8">
      <c r="G195" s="824" t="s">
        <v>690</v>
      </c>
      <c r="H195" s="346">
        <v>695846766.49939239</v>
      </c>
    </row>
    <row r="196" spans="1:8" ht="13.5" thickBot="1">
      <c r="G196" s="825" t="str">
        <f>2022&amp;" True-Up"</f>
        <v>2022 True-Up</v>
      </c>
      <c r="H196" s="347">
        <v>-3053477.8206186201</v>
      </c>
    </row>
    <row r="197" spans="1:8">
      <c r="A197" s="345" t="s">
        <v>1277</v>
      </c>
      <c r="B197" s="344"/>
      <c r="C197" s="824"/>
      <c r="D197" s="824"/>
      <c r="E197" s="824"/>
      <c r="F197" s="823"/>
      <c r="G197" s="880" t="s">
        <v>689</v>
      </c>
      <c r="H197" s="881"/>
    </row>
    <row r="198" spans="1:8">
      <c r="A198" s="164" t="s">
        <v>688</v>
      </c>
      <c r="B198" s="822">
        <v>510048.38165059686</v>
      </c>
      <c r="C198" s="822">
        <v>2482637.7829083768</v>
      </c>
      <c r="D198" s="822">
        <v>2078795.2596833333</v>
      </c>
      <c r="E198" s="822">
        <v>4496676.2731513334</v>
      </c>
      <c r="F198" s="822">
        <v>153478.84166666665</v>
      </c>
      <c r="G198" s="341" t="s">
        <v>687</v>
      </c>
      <c r="H198" s="343">
        <f>SUM(H195:H196)</f>
        <v>692793288.67877376</v>
      </c>
    </row>
    <row r="199" spans="1:8" ht="13.5" thickBot="1">
      <c r="A199" s="164" t="s">
        <v>684</v>
      </c>
      <c r="B199" s="342">
        <f>H200</f>
        <v>5.938585939167905</v>
      </c>
      <c r="C199" s="342">
        <f>+B199</f>
        <v>5.938585939167905</v>
      </c>
      <c r="D199" s="342">
        <f>+C199</f>
        <v>5.938585939167905</v>
      </c>
      <c r="E199" s="342">
        <f>+D199</f>
        <v>5.938585939167905</v>
      </c>
      <c r="F199" s="342">
        <f>+E199</f>
        <v>5.938585939167905</v>
      </c>
      <c r="G199" s="341" t="s">
        <v>686</v>
      </c>
      <c r="H199" s="340">
        <f>SUM(B198:F198)</f>
        <v>9721636.5390603077</v>
      </c>
    </row>
    <row r="200" spans="1:8" ht="13.5" thickBot="1">
      <c r="A200" s="164" t="s">
        <v>685</v>
      </c>
      <c r="B200" s="339">
        <f>B198*B199*12</f>
        <v>36347593.770786956</v>
      </c>
      <c r="C200" s="339">
        <f>C198*C199*12</f>
        <v>176920293.95552003</v>
      </c>
      <c r="D200" s="339">
        <f>D198*D199*12</f>
        <v>148141251.59477204</v>
      </c>
      <c r="E200" s="339">
        <f>E198*E199*12</f>
        <v>320446781.86471736</v>
      </c>
      <c r="F200" s="339">
        <f>F198*F199*12</f>
        <v>10937367.492977325</v>
      </c>
      <c r="G200" s="338" t="s">
        <v>684</v>
      </c>
      <c r="H200" s="337">
        <f>H198/H199/12</f>
        <v>5.938585939167905</v>
      </c>
    </row>
    <row r="203" spans="1:8">
      <c r="G203" s="824" t="s">
        <v>690</v>
      </c>
      <c r="H203" s="346">
        <f>'ATC Att O ER22-1602'!I20</f>
        <v>782175410.60669088</v>
      </c>
    </row>
    <row r="204" spans="1:8" ht="13.5" thickBot="1">
      <c r="G204" s="825" t="str">
        <f>2023&amp;" True-Up"</f>
        <v>2023 True-Up</v>
      </c>
      <c r="H204" s="347">
        <f>'Sch 9 TU Interest'!E24</f>
        <v>-5008667.4609205201</v>
      </c>
    </row>
    <row r="205" spans="1:8">
      <c r="A205" s="345" t="s">
        <v>1278</v>
      </c>
      <c r="B205" s="344"/>
      <c r="C205" s="824"/>
      <c r="D205" s="824"/>
      <c r="E205" s="824"/>
      <c r="F205" s="823"/>
      <c r="G205" s="880" t="s">
        <v>689</v>
      </c>
      <c r="H205" s="881"/>
    </row>
    <row r="206" spans="1:8">
      <c r="A206" s="164" t="s">
        <v>688</v>
      </c>
      <c r="B206" s="822">
        <v>511286.61254032311</v>
      </c>
      <c r="C206" s="822">
        <v>2439125.7553926981</v>
      </c>
      <c r="D206" s="822">
        <v>2081882.1966666675</v>
      </c>
      <c r="E206" s="822">
        <v>4561246.8199999994</v>
      </c>
      <c r="F206" s="822">
        <v>155929.46166178383</v>
      </c>
      <c r="G206" s="341" t="s">
        <v>687</v>
      </c>
      <c r="H206" s="343">
        <f>SUM(H203:H204)</f>
        <v>777166743.14577031</v>
      </c>
    </row>
    <row r="207" spans="1:8" ht="13.5" thickBot="1">
      <c r="A207" s="164" t="s">
        <v>684</v>
      </c>
      <c r="B207" s="342">
        <f>H208</f>
        <v>6.6428113159579176</v>
      </c>
      <c r="C207" s="342">
        <f>+B207</f>
        <v>6.6428113159579176</v>
      </c>
      <c r="D207" s="342">
        <f>+C207</f>
        <v>6.6428113159579176</v>
      </c>
      <c r="E207" s="342">
        <f>+D207</f>
        <v>6.6428113159579176</v>
      </c>
      <c r="F207" s="342">
        <f>+E207</f>
        <v>6.6428113159579176</v>
      </c>
      <c r="G207" s="341" t="s">
        <v>686</v>
      </c>
      <c r="H207" s="340">
        <f>SUM(B206:F206)</f>
        <v>9749470.8462614734</v>
      </c>
    </row>
    <row r="208" spans="1:8" ht="13.5" thickBot="1">
      <c r="A208" s="164" t="s">
        <v>685</v>
      </c>
      <c r="B208" s="339">
        <f>B206*B207*12</f>
        <v>40756565.945767798</v>
      </c>
      <c r="C208" s="339">
        <f>C206*C207*12</f>
        <v>194431826.02760422</v>
      </c>
      <c r="D208" s="339">
        <f>D206*D207*12</f>
        <v>165954607.37410399</v>
      </c>
      <c r="E208" s="339">
        <f>E206*E207*12</f>
        <v>363594023.88927674</v>
      </c>
      <c r="F208" s="339">
        <f>F206*F207*12</f>
        <v>12429719.909017486</v>
      </c>
      <c r="G208" s="338" t="s">
        <v>684</v>
      </c>
      <c r="H208" s="337">
        <f>H206/H207/12</f>
        <v>6.6428113159579176</v>
      </c>
    </row>
    <row r="210" spans="1:8" ht="13.5" thickBot="1"/>
    <row r="211" spans="1:8" hidden="1" outlineLevel="2">
      <c r="G211" s="824" t="s">
        <v>690</v>
      </c>
      <c r="H211" s="346">
        <v>845708275.2556088</v>
      </c>
    </row>
    <row r="212" spans="1:8" ht="13.5" hidden="1" outlineLevel="2" thickBot="1">
      <c r="G212" s="825" t="str">
        <f>2024&amp;" True-Up"</f>
        <v>2024 True-Up</v>
      </c>
      <c r="H212" s="346">
        <v>9.0764753520488736E-5</v>
      </c>
    </row>
    <row r="213" spans="1:8" collapsed="1">
      <c r="A213" s="345" t="s">
        <v>1279</v>
      </c>
      <c r="B213" s="344" t="s">
        <v>1229</v>
      </c>
      <c r="C213" s="824"/>
      <c r="D213" s="824"/>
      <c r="E213" s="824"/>
      <c r="F213" s="823"/>
      <c r="G213" s="880" t="s">
        <v>689</v>
      </c>
      <c r="H213" s="881"/>
    </row>
    <row r="214" spans="1:8">
      <c r="A214" s="164" t="s">
        <v>688</v>
      </c>
      <c r="B214" s="822">
        <v>522995.07596749649</v>
      </c>
      <c r="C214" s="822">
        <v>2494981.7351911906</v>
      </c>
      <c r="D214" s="822">
        <v>2129557.2989703338</v>
      </c>
      <c r="E214" s="822">
        <v>4665699.3721779985</v>
      </c>
      <c r="F214" s="822">
        <v>159500.24633383867</v>
      </c>
      <c r="G214" s="341" t="s">
        <v>687</v>
      </c>
      <c r="H214" s="343">
        <f>SUM(H211:H212)</f>
        <v>845708275.25569952</v>
      </c>
    </row>
    <row r="215" spans="1:8" ht="13.5" thickBot="1">
      <c r="A215" s="164" t="s">
        <v>684</v>
      </c>
      <c r="B215" s="342">
        <f>H216</f>
        <v>7.0668375916065349</v>
      </c>
      <c r="C215" s="342">
        <f>+B215</f>
        <v>7.0668375916065349</v>
      </c>
      <c r="D215" s="342">
        <f>+C215</f>
        <v>7.0668375916065349</v>
      </c>
      <c r="E215" s="342">
        <f>+D215</f>
        <v>7.0668375916065349</v>
      </c>
      <c r="F215" s="342">
        <f>+E215</f>
        <v>7.0668375916065349</v>
      </c>
      <c r="G215" s="341" t="s">
        <v>686</v>
      </c>
      <c r="H215" s="340">
        <f>SUM(B214:F214)</f>
        <v>9972733.7286408599</v>
      </c>
    </row>
    <row r="216" spans="1:8" ht="13.5" thickBot="1">
      <c r="A216" s="164" t="s">
        <v>685</v>
      </c>
      <c r="B216" s="339">
        <f>B214*B215*12</f>
        <v>44351055.15686664</v>
      </c>
      <c r="C216" s="339">
        <f>C214*C215*12</f>
        <v>211579568.59944969</v>
      </c>
      <c r="D216" s="339">
        <f>D214*D215*12</f>
        <v>180590826.8861236</v>
      </c>
      <c r="E216" s="339">
        <f>E214*E215*12</f>
        <v>395660876.57330984</v>
      </c>
      <c r="F216" s="339">
        <f>F214*F215*12</f>
        <v>13525948.039949683</v>
      </c>
      <c r="G216" s="338" t="s">
        <v>684</v>
      </c>
      <c r="H216" s="337">
        <f>H214/H215/12</f>
        <v>7.0668375916065349</v>
      </c>
    </row>
    <row r="218" spans="1:8" ht="13.5" thickBot="1"/>
    <row r="219" spans="1:8" hidden="1" outlineLevel="2">
      <c r="G219" s="824" t="s">
        <v>690</v>
      </c>
      <c r="H219" s="346">
        <v>926234447.15745485</v>
      </c>
    </row>
    <row r="220" spans="1:8" ht="13.5" hidden="1" outlineLevel="2" thickBot="1">
      <c r="G220" s="825" t="str">
        <f>2025&amp;" True-Up"</f>
        <v>2025 True-Up</v>
      </c>
      <c r="H220" s="346">
        <v>9.0764753520488736E-5</v>
      </c>
    </row>
    <row r="221" spans="1:8" collapsed="1">
      <c r="A221" s="345" t="s">
        <v>1280</v>
      </c>
      <c r="B221" s="344" t="s">
        <v>1229</v>
      </c>
      <c r="C221" s="824"/>
      <c r="D221" s="824"/>
      <c r="E221" s="824"/>
      <c r="F221" s="823"/>
      <c r="G221" s="880" t="s">
        <v>689</v>
      </c>
      <c r="H221" s="881"/>
    </row>
    <row r="222" spans="1:8">
      <c r="A222" s="164" t="s">
        <v>688</v>
      </c>
      <c r="B222" s="822">
        <v>534971.66320715216</v>
      </c>
      <c r="C222" s="822">
        <v>2552116.8169270689</v>
      </c>
      <c r="D222" s="822">
        <v>2178324.1611167542</v>
      </c>
      <c r="E222" s="822">
        <v>4772543.8878008742</v>
      </c>
      <c r="F222" s="822">
        <v>163152.80197488356</v>
      </c>
      <c r="G222" s="341" t="s">
        <v>687</v>
      </c>
      <c r="H222" s="343">
        <f>SUM(H219:H220)</f>
        <v>926234447.15754557</v>
      </c>
    </row>
    <row r="223" spans="1:8" ht="13.5" thickBot="1">
      <c r="A223" s="164" t="s">
        <v>684</v>
      </c>
      <c r="B223" s="342">
        <f>H224</f>
        <v>7.5664519833184398</v>
      </c>
      <c r="C223" s="342">
        <f>+B223</f>
        <v>7.5664519833184398</v>
      </c>
      <c r="D223" s="342">
        <f>+C223</f>
        <v>7.5664519833184398</v>
      </c>
      <c r="E223" s="342">
        <f>+D223</f>
        <v>7.5664519833184398</v>
      </c>
      <c r="F223" s="342">
        <f>+E223</f>
        <v>7.5664519833184398</v>
      </c>
      <c r="G223" s="341" t="s">
        <v>686</v>
      </c>
      <c r="H223" s="340">
        <f>SUM(B222:F222)</f>
        <v>10201109.331026733</v>
      </c>
    </row>
    <row r="224" spans="1:8" ht="13.5" thickBot="1">
      <c r="A224" s="164" t="s">
        <v>685</v>
      </c>
      <c r="B224" s="339">
        <f>B222*B223*12</f>
        <v>48574048.825115055</v>
      </c>
      <c r="C224" s="339">
        <f>C222*C223*12</f>
        <v>231725632.21317798</v>
      </c>
      <c r="D224" s="339">
        <f>D222*D223*12</f>
        <v>197786222.0303081</v>
      </c>
      <c r="E224" s="339">
        <f>E222*E223*12</f>
        <v>433334689.98390269</v>
      </c>
      <c r="F224" s="339">
        <f>F222*F223*12</f>
        <v>14813854.105041821</v>
      </c>
      <c r="G224" s="338" t="s">
        <v>684</v>
      </c>
      <c r="H224" s="337">
        <f>H222/H223/12</f>
        <v>7.5664519833184398</v>
      </c>
    </row>
    <row r="226" spans="1:8" ht="13.5" thickBot="1"/>
    <row r="227" spans="1:8" hidden="1" outlineLevel="2">
      <c r="G227" s="824" t="s">
        <v>690</v>
      </c>
      <c r="H227" s="346">
        <v>985466086.61324096</v>
      </c>
    </row>
    <row r="228" spans="1:8" ht="13.5" hidden="1" outlineLevel="2" thickBot="1">
      <c r="G228" s="825" t="str">
        <f>2026&amp;" True-Up"</f>
        <v>2026 True-Up</v>
      </c>
      <c r="H228" s="346">
        <v>9.0764753520488736E-5</v>
      </c>
    </row>
    <row r="229" spans="1:8" collapsed="1">
      <c r="A229" s="345" t="s">
        <v>1281</v>
      </c>
      <c r="B229" s="344" t="s">
        <v>1229</v>
      </c>
      <c r="C229" s="824"/>
      <c r="D229" s="824"/>
      <c r="E229" s="824"/>
      <c r="F229" s="823"/>
      <c r="G229" s="880" t="s">
        <v>689</v>
      </c>
      <c r="H229" s="881"/>
    </row>
    <row r="230" spans="1:8">
      <c r="A230" s="164" t="s">
        <v>688</v>
      </c>
      <c r="B230" s="822">
        <v>547222.51429459592</v>
      </c>
      <c r="C230" s="822">
        <v>2610560.2920346987</v>
      </c>
      <c r="D230" s="822">
        <v>2228207.7844063276</v>
      </c>
      <c r="E230" s="822">
        <v>4881835.1428315137</v>
      </c>
      <c r="F230" s="822">
        <v>166889.00114010839</v>
      </c>
      <c r="G230" s="341" t="s">
        <v>687</v>
      </c>
      <c r="H230" s="343">
        <f>SUM(H227:H228)</f>
        <v>985466086.61333168</v>
      </c>
    </row>
    <row r="231" spans="1:8" ht="13.5" thickBot="1">
      <c r="A231" s="164" t="s">
        <v>684</v>
      </c>
      <c r="B231" s="342">
        <f>H232</f>
        <v>7.8700928556575747</v>
      </c>
      <c r="C231" s="342">
        <f>+B231</f>
        <v>7.8700928556575747</v>
      </c>
      <c r="D231" s="342">
        <f>+C231</f>
        <v>7.8700928556575747</v>
      </c>
      <c r="E231" s="342">
        <f>+D231</f>
        <v>7.8700928556575747</v>
      </c>
      <c r="F231" s="342">
        <f>+E231</f>
        <v>7.8700928556575747</v>
      </c>
      <c r="G231" s="341" t="s">
        <v>686</v>
      </c>
      <c r="H231" s="340">
        <f>SUM(B230:F230)</f>
        <v>10434714.734707244</v>
      </c>
    </row>
    <row r="232" spans="1:8" ht="13.5" thickBot="1">
      <c r="A232" s="164" t="s">
        <v>685</v>
      </c>
      <c r="B232" s="339">
        <f>B230*B231*12</f>
        <v>51680304.00245849</v>
      </c>
      <c r="C232" s="339">
        <f>C230*C231*12</f>
        <v>246544222.84326759</v>
      </c>
      <c r="D232" s="339">
        <f>D230*D231*12</f>
        <v>210434425.97972196</v>
      </c>
      <c r="E232" s="339">
        <f>E230*E231*12</f>
        <v>461045950.56115639</v>
      </c>
      <c r="F232" s="339">
        <f>F230*F231*12</f>
        <v>15761183.22672715</v>
      </c>
      <c r="G232" s="338" t="s">
        <v>684</v>
      </c>
      <c r="H232" s="337">
        <f>H230/H231/12</f>
        <v>7.8700928556575747</v>
      </c>
    </row>
    <row r="233" spans="1:8">
      <c r="B233" s="339"/>
      <c r="C233" s="339"/>
      <c r="D233" s="339"/>
      <c r="E233" s="339"/>
      <c r="F233" s="339"/>
      <c r="H233" s="826"/>
    </row>
    <row r="234" spans="1:8" ht="13.5" thickBot="1">
      <c r="B234" s="339"/>
      <c r="C234" s="339"/>
      <c r="D234" s="339"/>
      <c r="E234" s="339"/>
      <c r="F234" s="339"/>
      <c r="H234" s="826"/>
    </row>
    <row r="235" spans="1:8" hidden="1" outlineLevel="1">
      <c r="G235" s="824" t="s">
        <v>690</v>
      </c>
      <c r="H235" s="346">
        <v>1064934812.5928799</v>
      </c>
    </row>
    <row r="236" spans="1:8" ht="13.5" hidden="1" outlineLevel="1" thickBot="1">
      <c r="G236" s="825" t="str">
        <f>2027&amp;" True-Up"</f>
        <v>2027 True-Up</v>
      </c>
      <c r="H236" s="346">
        <v>9.0764753520488736E-5</v>
      </c>
    </row>
    <row r="237" spans="1:8" collapsed="1">
      <c r="A237" s="345" t="s">
        <v>1282</v>
      </c>
      <c r="B237" s="344" t="s">
        <v>1229</v>
      </c>
      <c r="C237" s="824"/>
      <c r="D237" s="824"/>
      <c r="E237" s="824"/>
      <c r="F237" s="823"/>
      <c r="G237" s="880" t="s">
        <v>689</v>
      </c>
      <c r="H237" s="881"/>
    </row>
    <row r="238" spans="1:8">
      <c r="A238" s="164" t="s">
        <v>688</v>
      </c>
      <c r="B238" s="822">
        <v>559753.90987194213</v>
      </c>
      <c r="C238" s="822">
        <v>2670342.1227222933</v>
      </c>
      <c r="D238" s="822">
        <v>2279233.7426692322</v>
      </c>
      <c r="E238" s="822">
        <v>4993629.1676023547</v>
      </c>
      <c r="F238" s="822">
        <v>170710.75926621686</v>
      </c>
      <c r="G238" s="341" t="s">
        <v>687</v>
      </c>
      <c r="H238" s="343">
        <f>SUM(H235:H236)</f>
        <v>1064934812.5929706</v>
      </c>
    </row>
    <row r="239" spans="1:8" ht="13.5" thickBot="1">
      <c r="A239" s="164" t="s">
        <v>684</v>
      </c>
      <c r="B239" s="342">
        <f>H240</f>
        <v>8.3143445687057724</v>
      </c>
      <c r="C239" s="342">
        <f>+B239</f>
        <v>8.3143445687057724</v>
      </c>
      <c r="D239" s="342">
        <f>+C239</f>
        <v>8.3143445687057724</v>
      </c>
      <c r="E239" s="342">
        <f>+D239</f>
        <v>8.3143445687057724</v>
      </c>
      <c r="F239" s="342">
        <f>+E239</f>
        <v>8.3143445687057724</v>
      </c>
      <c r="G239" s="341" t="s">
        <v>686</v>
      </c>
      <c r="H239" s="340">
        <f>SUM(B238:F238)</f>
        <v>10673669.702132039</v>
      </c>
    </row>
    <row r="240" spans="1:8" ht="13.5" thickBot="1">
      <c r="A240" s="164" t="s">
        <v>685</v>
      </c>
      <c r="B240" s="339">
        <f>B238*B239*12</f>
        <v>55847842.564267226</v>
      </c>
      <c r="C240" s="339">
        <f>C238*C239*12</f>
        <v>266425734.29570809</v>
      </c>
      <c r="D240" s="339">
        <f>D238*D239*12</f>
        <v>227404016.27007431</v>
      </c>
      <c r="E240" s="339">
        <f>E238*E239*12</f>
        <v>498225042.57342434</v>
      </c>
      <c r="F240" s="339">
        <f>F238*F239*12</f>
        <v>17032176.889496505</v>
      </c>
      <c r="G240" s="338" t="s">
        <v>684</v>
      </c>
      <c r="H240" s="337">
        <f>H238/H239/12</f>
        <v>8.3143445687057724</v>
      </c>
    </row>
  </sheetData>
  <mergeCells count="30">
    <mergeCell ref="G237:H237"/>
    <mergeCell ref="G229:H229"/>
    <mergeCell ref="G221:H221"/>
    <mergeCell ref="G93:H93"/>
    <mergeCell ref="G205:H205"/>
    <mergeCell ref="G189:H189"/>
    <mergeCell ref="G197:H197"/>
    <mergeCell ref="G181:H181"/>
    <mergeCell ref="G173:H173"/>
    <mergeCell ref="G213:H213"/>
    <mergeCell ref="G4:H4"/>
    <mergeCell ref="G11:H11"/>
    <mergeCell ref="G22:H22"/>
    <mergeCell ref="G33:H33"/>
    <mergeCell ref="G45:H45"/>
    <mergeCell ref="A54:H54"/>
    <mergeCell ref="G57:H57"/>
    <mergeCell ref="G63:H63"/>
    <mergeCell ref="G71:H71"/>
    <mergeCell ref="G165:H165"/>
    <mergeCell ref="G100:H100"/>
    <mergeCell ref="G107:H107"/>
    <mergeCell ref="G115:H115"/>
    <mergeCell ref="G123:H123"/>
    <mergeCell ref="G131:H131"/>
    <mergeCell ref="G140:H140"/>
    <mergeCell ref="G78:H78"/>
    <mergeCell ref="G85:H85"/>
    <mergeCell ref="G149:H149"/>
    <mergeCell ref="G157:H157"/>
  </mergeCells>
  <pageMargins left="0.7" right="0.7" top="0.75" bottom="0.75" header="0.3" footer="0.3"/>
  <pageSetup scale="7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tabColor rgb="FF00FFFF"/>
    <pageSetUpPr fitToPage="1"/>
  </sheetPr>
  <dimension ref="B1:J146"/>
  <sheetViews>
    <sheetView showGridLines="0" topLeftCell="A11" zoomScaleNormal="100" zoomScaleSheetLayoutView="100" workbookViewId="0">
      <selection activeCell="K29" sqref="K29"/>
    </sheetView>
  </sheetViews>
  <sheetFormatPr defaultRowHeight="12.75"/>
  <cols>
    <col min="1" max="5" width="9.140625" style="164"/>
    <col min="6" max="6" width="11.28515625" style="164" customWidth="1"/>
    <col min="7" max="7" width="19.42578125" style="164" bestFit="1" customWidth="1"/>
    <col min="8" max="8" width="12.85546875" style="164" bestFit="1" customWidth="1"/>
    <col min="9" max="9" width="15.28515625" style="164" customWidth="1"/>
    <col min="10" max="10" width="14" style="164" bestFit="1" customWidth="1"/>
    <col min="11" max="11" width="12.85546875" style="164" customWidth="1"/>
    <col min="12" max="12" width="13.5703125" style="164" bestFit="1" customWidth="1"/>
    <col min="13" max="16384" width="9.140625" style="164"/>
  </cols>
  <sheetData>
    <row r="1" spans="2:9">
      <c r="B1" s="879" t="s">
        <v>766</v>
      </c>
      <c r="C1" s="879"/>
      <c r="D1" s="879"/>
      <c r="E1" s="879"/>
      <c r="F1" s="879"/>
      <c r="G1" s="879"/>
      <c r="H1" s="879"/>
      <c r="I1" s="376"/>
    </row>
    <row r="2" spans="2:9">
      <c r="E2" s="376" t="s">
        <v>1264</v>
      </c>
      <c r="F2" s="375"/>
      <c r="I2" s="374" t="s">
        <v>765</v>
      </c>
    </row>
    <row r="4" spans="2:9">
      <c r="B4" s="164" t="s">
        <v>764</v>
      </c>
      <c r="G4" s="372">
        <f>'Sch 9'!H206</f>
        <v>777166743.14577031</v>
      </c>
    </row>
    <row r="6" spans="2:9">
      <c r="B6" s="885" t="s">
        <v>1071</v>
      </c>
      <c r="C6" s="885"/>
      <c r="D6" s="885"/>
      <c r="E6" s="885"/>
      <c r="F6" s="885"/>
      <c r="G6" s="885"/>
    </row>
    <row r="7" spans="2:9">
      <c r="B7" s="885"/>
      <c r="C7" s="885"/>
      <c r="D7" s="885"/>
      <c r="E7" s="885"/>
      <c r="F7" s="885"/>
      <c r="G7" s="885"/>
    </row>
    <row r="8" spans="2:9">
      <c r="B8" s="885"/>
      <c r="C8" s="885"/>
      <c r="D8" s="885"/>
      <c r="E8" s="885"/>
      <c r="F8" s="885"/>
      <c r="G8" s="885"/>
    </row>
    <row r="10" spans="2:9">
      <c r="B10" s="164" t="s">
        <v>758</v>
      </c>
      <c r="G10" s="373">
        <f>+G28+G50+G39+G61+G72</f>
        <v>116993650.15513766</v>
      </c>
    </row>
    <row r="12" spans="2:9">
      <c r="B12" s="164" t="s">
        <v>757</v>
      </c>
      <c r="G12" s="371">
        <f>(G4/G10)*1000</f>
        <v>6642.8113159579189</v>
      </c>
    </row>
    <row r="13" spans="2:9">
      <c r="B13" s="164" t="s">
        <v>756</v>
      </c>
      <c r="G13" s="371">
        <f>(G4/G10)*1000/52*12</f>
        <v>1532.9564575287504</v>
      </c>
    </row>
    <row r="14" spans="2:9">
      <c r="B14" s="164" t="s">
        <v>755</v>
      </c>
      <c r="G14" s="371">
        <f>G13/5</f>
        <v>306.59129150575006</v>
      </c>
    </row>
    <row r="15" spans="2:9">
      <c r="B15" s="164" t="s">
        <v>754</v>
      </c>
      <c r="G15" s="371">
        <f>G4/((G10/12)/1000)/365</f>
        <v>218.39379668902748</v>
      </c>
    </row>
    <row r="16" spans="2:9">
      <c r="B16" s="164" t="s">
        <v>753</v>
      </c>
      <c r="G16" s="371">
        <f>G14/16</f>
        <v>19.161955719109379</v>
      </c>
    </row>
    <row r="17" spans="2:10">
      <c r="B17" s="164" t="s">
        <v>752</v>
      </c>
      <c r="G17" s="371">
        <f>G15/24</f>
        <v>9.0997415287094778</v>
      </c>
    </row>
    <row r="19" spans="2:10">
      <c r="B19" s="885" t="s">
        <v>1069</v>
      </c>
      <c r="C19" s="885"/>
      <c r="D19" s="885"/>
      <c r="E19" s="885"/>
      <c r="F19" s="885"/>
      <c r="G19" s="885"/>
    </row>
    <row r="20" spans="2:10">
      <c r="B20" s="885"/>
      <c r="C20" s="885"/>
      <c r="D20" s="885"/>
      <c r="E20" s="885"/>
      <c r="F20" s="885"/>
      <c r="G20" s="885"/>
    </row>
    <row r="22" spans="2:10">
      <c r="B22" s="885" t="s">
        <v>1070</v>
      </c>
      <c r="C22" s="885"/>
      <c r="D22" s="885"/>
      <c r="E22" s="885"/>
      <c r="F22" s="885"/>
      <c r="G22" s="885"/>
    </row>
    <row r="23" spans="2:10">
      <c r="B23" s="885"/>
      <c r="C23" s="885"/>
      <c r="D23" s="885"/>
      <c r="E23" s="885"/>
      <c r="F23" s="885"/>
      <c r="G23" s="885"/>
    </row>
    <row r="26" spans="2:10">
      <c r="B26" s="230" t="s">
        <v>763</v>
      </c>
    </row>
    <row r="27" spans="2:10">
      <c r="B27" s="164" t="s">
        <v>759</v>
      </c>
      <c r="G27" s="372">
        <f>'Sch 9'!B208</f>
        <v>40756565.945767798</v>
      </c>
      <c r="I27" s="370"/>
    </row>
    <row r="28" spans="2:10">
      <c r="B28" s="164" t="s">
        <v>758</v>
      </c>
      <c r="G28" s="372">
        <f>'Sch 9'!B206*12</f>
        <v>6135439.3504838776</v>
      </c>
      <c r="I28" s="370"/>
      <c r="J28" s="826"/>
    </row>
    <row r="30" spans="2:10">
      <c r="B30" s="164" t="s">
        <v>757</v>
      </c>
      <c r="G30" s="371">
        <f>(G27/G28)*1000</f>
        <v>6642.8113159579179</v>
      </c>
    </row>
    <row r="31" spans="2:10">
      <c r="B31" s="164" t="s">
        <v>756</v>
      </c>
      <c r="G31" s="371">
        <f>(G27/G28)*1000/52*12</f>
        <v>1532.9564575287504</v>
      </c>
    </row>
    <row r="32" spans="2:10">
      <c r="B32" s="164" t="s">
        <v>755</v>
      </c>
      <c r="G32" s="371">
        <f>G31/5</f>
        <v>306.59129150575006</v>
      </c>
    </row>
    <row r="33" spans="2:7">
      <c r="B33" s="164" t="s">
        <v>754</v>
      </c>
      <c r="G33" s="371">
        <f>G27/((G28/12)/1000)/365</f>
        <v>218.39379668902743</v>
      </c>
    </row>
    <row r="34" spans="2:7">
      <c r="B34" s="164" t="s">
        <v>753</v>
      </c>
      <c r="G34" s="371">
        <f>G32/16</f>
        <v>19.161955719109379</v>
      </c>
    </row>
    <row r="35" spans="2:7">
      <c r="B35" s="164" t="s">
        <v>752</v>
      </c>
      <c r="G35" s="371">
        <f>G33/24</f>
        <v>9.0997415287094761</v>
      </c>
    </row>
    <row r="37" spans="2:7">
      <c r="B37" s="230" t="s">
        <v>761</v>
      </c>
    </row>
    <row r="38" spans="2:7">
      <c r="B38" s="164" t="s">
        <v>759</v>
      </c>
      <c r="G38" s="372">
        <f>'Sch 9'!C208</f>
        <v>194431826.02760422</v>
      </c>
    </row>
    <row r="39" spans="2:7">
      <c r="B39" s="164" t="s">
        <v>758</v>
      </c>
      <c r="G39" s="372">
        <f>'Sch 9'!C206*12</f>
        <v>29269509.064712375</v>
      </c>
    </row>
    <row r="41" spans="2:7">
      <c r="B41" s="164" t="s">
        <v>757</v>
      </c>
      <c r="G41" s="371">
        <f>(G38/G39)*1000</f>
        <v>6642.8113159579179</v>
      </c>
    </row>
    <row r="42" spans="2:7">
      <c r="B42" s="164" t="s">
        <v>756</v>
      </c>
      <c r="G42" s="371">
        <f>(G38/G39)*1000/52*12</f>
        <v>1532.9564575287504</v>
      </c>
    </row>
    <row r="43" spans="2:7">
      <c r="B43" s="164" t="s">
        <v>755</v>
      </c>
      <c r="G43" s="371">
        <f>G42/5</f>
        <v>306.59129150575006</v>
      </c>
    </row>
    <row r="44" spans="2:7">
      <c r="B44" s="164" t="s">
        <v>754</v>
      </c>
      <c r="G44" s="371">
        <f>G38/((G39/12)/1000)/365</f>
        <v>218.39379668902743</v>
      </c>
    </row>
    <row r="45" spans="2:7">
      <c r="B45" s="164" t="s">
        <v>753</v>
      </c>
      <c r="G45" s="371">
        <f>G43/16</f>
        <v>19.161955719109379</v>
      </c>
    </row>
    <row r="46" spans="2:7">
      <c r="B46" s="164" t="s">
        <v>752</v>
      </c>
      <c r="G46" s="371">
        <f>G44/24</f>
        <v>9.0997415287094761</v>
      </c>
    </row>
    <row r="48" spans="2:7">
      <c r="B48" s="230" t="s">
        <v>762</v>
      </c>
    </row>
    <row r="49" spans="2:7">
      <c r="B49" s="164" t="s">
        <v>759</v>
      </c>
      <c r="G49" s="372">
        <f>'Sch 9'!D208</f>
        <v>165954607.37410399</v>
      </c>
    </row>
    <row r="50" spans="2:7">
      <c r="B50" s="164" t="s">
        <v>758</v>
      </c>
      <c r="G50" s="372">
        <f>'Sch 9'!D206*12</f>
        <v>24982586.360000011</v>
      </c>
    </row>
    <row r="52" spans="2:7">
      <c r="B52" s="164" t="s">
        <v>757</v>
      </c>
      <c r="G52" s="371">
        <f>(G49/G50)*1000</f>
        <v>6642.8113159579179</v>
      </c>
    </row>
    <row r="53" spans="2:7">
      <c r="B53" s="164" t="s">
        <v>756</v>
      </c>
      <c r="G53" s="371">
        <f>(G49/G50)*1000/52*12</f>
        <v>1532.9564575287504</v>
      </c>
    </row>
    <row r="54" spans="2:7">
      <c r="B54" s="164" t="s">
        <v>755</v>
      </c>
      <c r="G54" s="371">
        <f>G53/5</f>
        <v>306.59129150575006</v>
      </c>
    </row>
    <row r="55" spans="2:7">
      <c r="B55" s="164" t="s">
        <v>754</v>
      </c>
      <c r="G55" s="371">
        <f>G49/((G50/12)/1000)/365</f>
        <v>218.39379668902743</v>
      </c>
    </row>
    <row r="56" spans="2:7">
      <c r="B56" s="164" t="s">
        <v>753</v>
      </c>
      <c r="G56" s="371">
        <f>G54/16</f>
        <v>19.161955719109379</v>
      </c>
    </row>
    <row r="57" spans="2:7">
      <c r="B57" s="164" t="s">
        <v>752</v>
      </c>
      <c r="G57" s="371">
        <f>G55/24</f>
        <v>9.0997415287094761</v>
      </c>
    </row>
    <row r="59" spans="2:7">
      <c r="B59" s="230" t="s">
        <v>760</v>
      </c>
    </row>
    <row r="60" spans="2:7">
      <c r="B60" s="164" t="s">
        <v>759</v>
      </c>
      <c r="G60" s="372">
        <f>'Sch 9'!E208</f>
        <v>363594023.88927674</v>
      </c>
    </row>
    <row r="61" spans="2:7">
      <c r="B61" s="164" t="s">
        <v>758</v>
      </c>
      <c r="G61" s="372">
        <f>'Sch 9'!E206*12</f>
        <v>54734961.839999989</v>
      </c>
    </row>
    <row r="63" spans="2:7">
      <c r="B63" s="164" t="s">
        <v>757</v>
      </c>
      <c r="G63" s="371">
        <f>(G60/G61)*1000</f>
        <v>6642.8113159579179</v>
      </c>
    </row>
    <row r="64" spans="2:7">
      <c r="B64" s="164" t="s">
        <v>756</v>
      </c>
      <c r="G64" s="371">
        <f>(G60/G61)*1000/52*12</f>
        <v>1532.9564575287504</v>
      </c>
    </row>
    <row r="65" spans="2:7">
      <c r="B65" s="164" t="s">
        <v>755</v>
      </c>
      <c r="G65" s="371">
        <f>G64/5</f>
        <v>306.59129150575006</v>
      </c>
    </row>
    <row r="66" spans="2:7">
      <c r="B66" s="164" t="s">
        <v>754</v>
      </c>
      <c r="G66" s="371">
        <f>G60/((G61/12)/1000)/365</f>
        <v>218.39379668902743</v>
      </c>
    </row>
    <row r="67" spans="2:7">
      <c r="B67" s="164" t="s">
        <v>753</v>
      </c>
      <c r="G67" s="371">
        <f>G65/16</f>
        <v>19.161955719109379</v>
      </c>
    </row>
    <row r="68" spans="2:7">
      <c r="B68" s="164" t="s">
        <v>752</v>
      </c>
      <c r="G68" s="371">
        <f>G66/24</f>
        <v>9.0997415287094761</v>
      </c>
    </row>
    <row r="70" spans="2:7">
      <c r="B70" s="230" t="s">
        <v>745</v>
      </c>
    </row>
    <row r="71" spans="2:7">
      <c r="B71" s="164" t="s">
        <v>759</v>
      </c>
      <c r="G71" s="372">
        <f>'Sch 9'!F208</f>
        <v>12429719.909017486</v>
      </c>
    </row>
    <row r="72" spans="2:7">
      <c r="B72" s="164" t="s">
        <v>758</v>
      </c>
      <c r="G72" s="372">
        <f>'Sch 9'!F206*12</f>
        <v>1871153.5399414059</v>
      </c>
    </row>
    <row r="74" spans="2:7">
      <c r="B74" s="164" t="s">
        <v>757</v>
      </c>
      <c r="G74" s="371">
        <f>(G71/G72)*1000</f>
        <v>6642.8113159579179</v>
      </c>
    </row>
    <row r="75" spans="2:7">
      <c r="B75" s="164" t="s">
        <v>756</v>
      </c>
      <c r="G75" s="371">
        <f>(G71/G72)*1000/52*12</f>
        <v>1532.9564575287504</v>
      </c>
    </row>
    <row r="76" spans="2:7">
      <c r="B76" s="164" t="s">
        <v>755</v>
      </c>
      <c r="G76" s="371">
        <f>G75/5</f>
        <v>306.59129150575006</v>
      </c>
    </row>
    <row r="77" spans="2:7">
      <c r="B77" s="164" t="s">
        <v>754</v>
      </c>
      <c r="G77" s="371">
        <f>G71/((G72/12)/1000)/365</f>
        <v>218.39379668902743</v>
      </c>
    </row>
    <row r="78" spans="2:7">
      <c r="B78" s="164" t="s">
        <v>753</v>
      </c>
      <c r="G78" s="371">
        <f>G76/16</f>
        <v>19.161955719109379</v>
      </c>
    </row>
    <row r="79" spans="2:7">
      <c r="B79" s="164" t="s">
        <v>752</v>
      </c>
      <c r="G79" s="371">
        <f>G77/24</f>
        <v>9.0997415287094761</v>
      </c>
    </row>
    <row r="84" spans="2:9">
      <c r="B84" s="879" t="s">
        <v>768</v>
      </c>
      <c r="C84" s="879"/>
      <c r="D84" s="879"/>
      <c r="E84" s="879"/>
      <c r="F84" s="879"/>
      <c r="G84" s="879"/>
      <c r="H84" s="879"/>
      <c r="I84" s="230"/>
    </row>
    <row r="85" spans="2:9">
      <c r="E85" s="376" t="s">
        <v>1264</v>
      </c>
      <c r="F85" s="375"/>
      <c r="I85" s="374" t="s">
        <v>767</v>
      </c>
    </row>
    <row r="87" spans="2:9">
      <c r="B87" s="164" t="s">
        <v>764</v>
      </c>
      <c r="G87" s="372">
        <f>+'Sch 7,8'!G4</f>
        <v>777166743.14577031</v>
      </c>
    </row>
    <row r="89" spans="2:9">
      <c r="B89" s="885" t="s">
        <v>1071</v>
      </c>
      <c r="C89" s="885"/>
      <c r="D89" s="885"/>
      <c r="E89" s="885"/>
      <c r="F89" s="885"/>
      <c r="G89" s="885"/>
    </row>
    <row r="90" spans="2:9">
      <c r="B90" s="885"/>
      <c r="C90" s="885"/>
      <c r="D90" s="885"/>
      <c r="E90" s="885"/>
      <c r="F90" s="885"/>
      <c r="G90" s="885"/>
    </row>
    <row r="91" spans="2:9">
      <c r="B91" s="885"/>
      <c r="C91" s="885"/>
      <c r="D91" s="885"/>
      <c r="E91" s="885"/>
      <c r="F91" s="885"/>
      <c r="G91" s="885"/>
    </row>
    <row r="93" spans="2:9">
      <c r="B93" s="164" t="s">
        <v>758</v>
      </c>
      <c r="G93" s="373">
        <f>'Sch 7,8'!G10</f>
        <v>116993650.15513766</v>
      </c>
    </row>
    <row r="95" spans="2:9">
      <c r="B95" s="164" t="s">
        <v>757</v>
      </c>
      <c r="G95" s="371">
        <f>(G87/G93)*1000</f>
        <v>6642.8113159579189</v>
      </c>
    </row>
    <row r="96" spans="2:9">
      <c r="B96" s="164" t="s">
        <v>756</v>
      </c>
      <c r="G96" s="371">
        <f>(G87/G93)*1000/52*12</f>
        <v>1532.9564575287504</v>
      </c>
    </row>
    <row r="97" spans="2:9">
      <c r="B97" s="164" t="s">
        <v>755</v>
      </c>
      <c r="G97" s="371">
        <f>G96/5</f>
        <v>306.59129150575006</v>
      </c>
    </row>
    <row r="98" spans="2:9">
      <c r="B98" s="164" t="s">
        <v>754</v>
      </c>
      <c r="G98" s="371">
        <f>G87/((G93/12)/1000)/365</f>
        <v>218.39379668902748</v>
      </c>
    </row>
    <row r="100" spans="2:9">
      <c r="B100" s="885" t="s">
        <v>1069</v>
      </c>
      <c r="C100" s="885"/>
      <c r="D100" s="885"/>
      <c r="E100" s="885"/>
      <c r="F100" s="885"/>
      <c r="G100" s="885"/>
    </row>
    <row r="101" spans="2:9">
      <c r="B101" s="885"/>
      <c r="C101" s="885"/>
      <c r="D101" s="885"/>
      <c r="E101" s="885"/>
      <c r="F101" s="885"/>
      <c r="G101" s="885"/>
    </row>
    <row r="103" spans="2:9">
      <c r="B103" s="230" t="s">
        <v>763</v>
      </c>
    </row>
    <row r="104" spans="2:9">
      <c r="B104" s="164" t="s">
        <v>759</v>
      </c>
      <c r="G104" s="372">
        <f>'Sch 7,8'!G27</f>
        <v>40756565.945767798</v>
      </c>
    </row>
    <row r="105" spans="2:9">
      <c r="B105" s="164" t="s">
        <v>758</v>
      </c>
      <c r="G105" s="373">
        <f>'Sch 7,8'!G28</f>
        <v>6135439.3504838776</v>
      </c>
      <c r="I105" s="164" t="s">
        <v>3</v>
      </c>
    </row>
    <row r="107" spans="2:9">
      <c r="B107" s="164" t="s">
        <v>757</v>
      </c>
      <c r="G107" s="371">
        <f>(G104/G105)*1000</f>
        <v>6642.8113159579179</v>
      </c>
    </row>
    <row r="108" spans="2:9">
      <c r="B108" s="164" t="s">
        <v>756</v>
      </c>
      <c r="G108" s="371">
        <f>(G104/G105)*1000/52*12</f>
        <v>1532.9564575287504</v>
      </c>
    </row>
    <row r="109" spans="2:9">
      <c r="B109" s="164" t="s">
        <v>755</v>
      </c>
      <c r="G109" s="371">
        <f>G108/5</f>
        <v>306.59129150575006</v>
      </c>
    </row>
    <row r="110" spans="2:9">
      <c r="B110" s="164" t="s">
        <v>754</v>
      </c>
      <c r="G110" s="371">
        <f>G104/((G105/12)/1000)/365</f>
        <v>218.39379668902743</v>
      </c>
    </row>
    <row r="112" spans="2:9">
      <c r="B112" s="230" t="s">
        <v>761</v>
      </c>
    </row>
    <row r="113" spans="2:7">
      <c r="B113" s="164" t="s">
        <v>759</v>
      </c>
      <c r="G113" s="372">
        <f>'Sch 7,8'!G38</f>
        <v>194431826.02760422</v>
      </c>
    </row>
    <row r="114" spans="2:7">
      <c r="B114" s="164" t="s">
        <v>758</v>
      </c>
      <c r="G114" s="373">
        <f>'Sch 7,8'!G39</f>
        <v>29269509.064712375</v>
      </c>
    </row>
    <row r="116" spans="2:7">
      <c r="B116" s="164" t="s">
        <v>757</v>
      </c>
      <c r="G116" s="371">
        <f>(G113/G114)*1000</f>
        <v>6642.8113159579179</v>
      </c>
    </row>
    <row r="117" spans="2:7">
      <c r="B117" s="164" t="s">
        <v>756</v>
      </c>
      <c r="G117" s="371">
        <f>(G113/G114)*1000/52*12</f>
        <v>1532.9564575287504</v>
      </c>
    </row>
    <row r="118" spans="2:7">
      <c r="B118" s="164" t="s">
        <v>755</v>
      </c>
      <c r="G118" s="371">
        <f>G117/5</f>
        <v>306.59129150575006</v>
      </c>
    </row>
    <row r="119" spans="2:7">
      <c r="B119" s="164" t="s">
        <v>754</v>
      </c>
      <c r="G119" s="371">
        <f>G113/((G114/12)/1000)/365</f>
        <v>218.39379668902743</v>
      </c>
    </row>
    <row r="121" spans="2:7">
      <c r="B121" s="230" t="s">
        <v>762</v>
      </c>
    </row>
    <row r="122" spans="2:7">
      <c r="B122" s="164" t="s">
        <v>759</v>
      </c>
      <c r="G122" s="372">
        <f>'Sch 7,8'!G49</f>
        <v>165954607.37410399</v>
      </c>
    </row>
    <row r="123" spans="2:7">
      <c r="B123" s="164" t="s">
        <v>758</v>
      </c>
      <c r="G123" s="373">
        <f>'Sch 7,8'!G50</f>
        <v>24982586.360000011</v>
      </c>
    </row>
    <row r="125" spans="2:7">
      <c r="B125" s="164" t="s">
        <v>757</v>
      </c>
      <c r="G125" s="371">
        <f>(G122/G123)*1000</f>
        <v>6642.8113159579179</v>
      </c>
    </row>
    <row r="126" spans="2:7">
      <c r="B126" s="164" t="s">
        <v>756</v>
      </c>
      <c r="G126" s="371">
        <f>(G122/G123)*1000/52*12</f>
        <v>1532.9564575287504</v>
      </c>
    </row>
    <row r="127" spans="2:7">
      <c r="B127" s="164" t="s">
        <v>755</v>
      </c>
      <c r="G127" s="371">
        <f>G126/5</f>
        <v>306.59129150575006</v>
      </c>
    </row>
    <row r="128" spans="2:7">
      <c r="B128" s="164" t="s">
        <v>754</v>
      </c>
      <c r="G128" s="371">
        <f>G122/((G123/12)/1000)/365</f>
        <v>218.39379668902743</v>
      </c>
    </row>
    <row r="130" spans="2:7">
      <c r="B130" s="230" t="s">
        <v>760</v>
      </c>
    </row>
    <row r="131" spans="2:7">
      <c r="B131" s="164" t="s">
        <v>759</v>
      </c>
      <c r="G131" s="372">
        <f>'Sch 7,8'!G60</f>
        <v>363594023.88927674</v>
      </c>
    </row>
    <row r="132" spans="2:7">
      <c r="B132" s="164" t="s">
        <v>758</v>
      </c>
      <c r="G132" s="373">
        <f>'Sch 7,8'!G61</f>
        <v>54734961.839999989</v>
      </c>
    </row>
    <row r="134" spans="2:7">
      <c r="B134" s="164" t="s">
        <v>757</v>
      </c>
      <c r="G134" s="371">
        <f>(G131/G132)*1000</f>
        <v>6642.8113159579179</v>
      </c>
    </row>
    <row r="135" spans="2:7">
      <c r="B135" s="164" t="s">
        <v>756</v>
      </c>
      <c r="G135" s="371">
        <f>(G131/G132)*1000/52*12</f>
        <v>1532.9564575287504</v>
      </c>
    </row>
    <row r="136" spans="2:7">
      <c r="B136" s="164" t="s">
        <v>755</v>
      </c>
      <c r="G136" s="371">
        <f>G135/5</f>
        <v>306.59129150575006</v>
      </c>
    </row>
    <row r="137" spans="2:7">
      <c r="B137" s="164" t="s">
        <v>754</v>
      </c>
      <c r="G137" s="371">
        <f>G131/((G132/12)/1000)/365</f>
        <v>218.39379668902743</v>
      </c>
    </row>
    <row r="139" spans="2:7">
      <c r="B139" s="230" t="s">
        <v>745</v>
      </c>
    </row>
    <row r="140" spans="2:7">
      <c r="B140" s="164" t="s">
        <v>759</v>
      </c>
      <c r="G140" s="372">
        <f>'Sch 7,8'!G71</f>
        <v>12429719.909017486</v>
      </c>
    </row>
    <row r="141" spans="2:7">
      <c r="B141" s="164" t="s">
        <v>758</v>
      </c>
      <c r="G141" s="373">
        <f>'Sch 7,8'!G72</f>
        <v>1871153.5399414059</v>
      </c>
    </row>
    <row r="143" spans="2:7">
      <c r="B143" s="164" t="s">
        <v>757</v>
      </c>
      <c r="G143" s="371">
        <f>(G140/G141)*1000</f>
        <v>6642.8113159579179</v>
      </c>
    </row>
    <row r="144" spans="2:7">
      <c r="B144" s="164" t="s">
        <v>756</v>
      </c>
      <c r="G144" s="371">
        <f>(G140/G141)*1000/52*12</f>
        <v>1532.9564575287504</v>
      </c>
    </row>
    <row r="145" spans="2:7">
      <c r="B145" s="164" t="s">
        <v>755</v>
      </c>
      <c r="G145" s="371">
        <f>G144/5</f>
        <v>306.59129150575006</v>
      </c>
    </row>
    <row r="146" spans="2:7">
      <c r="B146" s="164" t="s">
        <v>754</v>
      </c>
      <c r="G146" s="371">
        <f>G140/((G141/12)/1000)/365</f>
        <v>218.39379668902743</v>
      </c>
    </row>
  </sheetData>
  <mergeCells count="7">
    <mergeCell ref="B89:G91"/>
    <mergeCell ref="B100:G101"/>
    <mergeCell ref="B1:H1"/>
    <mergeCell ref="B84:H84"/>
    <mergeCell ref="B6:G8"/>
    <mergeCell ref="B19:G20"/>
    <mergeCell ref="B22:G23"/>
  </mergeCells>
  <pageMargins left="0.7" right="0.7" top="0.75" bottom="0.75" header="0.3" footer="0.3"/>
  <pageSetup scale="70" orientation="portrait" r:id="rId1"/>
  <colBreaks count="1" manualBreakCount="1">
    <brk id="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2:E24"/>
  <sheetViews>
    <sheetView showGridLines="0" zoomScaleNormal="100" zoomScaleSheetLayoutView="100" workbookViewId="0">
      <pane xSplit="1" ySplit="5" topLeftCell="B6" activePane="bottomRight" state="frozen"/>
      <selection activeCell="B3" sqref="B3"/>
      <selection pane="topRight" activeCell="B3" sqref="B3"/>
      <selection pane="bottomLeft" activeCell="B3" sqref="B3"/>
      <selection pane="bottomRight" activeCell="H33" sqref="H33"/>
    </sheetView>
  </sheetViews>
  <sheetFormatPr defaultRowHeight="15"/>
  <cols>
    <col min="1" max="1" width="9.140625" style="519"/>
    <col min="2" max="2" width="34.140625" style="523" customWidth="1"/>
    <col min="3" max="5" width="15.5703125" style="523" customWidth="1"/>
    <col min="6" max="16384" width="9.140625" style="523"/>
  </cols>
  <sheetData>
    <row r="2" spans="2:5">
      <c r="B2" s="522" t="s">
        <v>1265</v>
      </c>
      <c r="C2" s="521"/>
      <c r="D2" s="521"/>
      <c r="E2" s="519"/>
    </row>
    <row r="3" spans="2:5">
      <c r="B3" s="515" t="s">
        <v>1234</v>
      </c>
      <c r="C3" s="521"/>
      <c r="D3" s="521"/>
      <c r="E3" s="519"/>
    </row>
    <row r="4" spans="2:5">
      <c r="B4" s="521" t="s">
        <v>885</v>
      </c>
      <c r="C4" s="521"/>
      <c r="D4" s="521"/>
      <c r="E4" s="519"/>
    </row>
    <row r="5" spans="2:5">
      <c r="B5" s="524" t="str">
        <f>IF($E$19&lt;0,"Applicable Annual Quarter","Month")</f>
        <v>Applicable Annual Quarter</v>
      </c>
      <c r="C5" s="524" t="str">
        <f>IF($E$19&lt;0,"","Debt Amount")</f>
        <v/>
      </c>
      <c r="D5" s="524" t="str">
        <f>IF($E$19&lt;0,"Annual Rate","Monthly Effective Rate")</f>
        <v>Annual Rate</v>
      </c>
      <c r="E5" s="524" t="str">
        <f>IF($E$19&lt;0,"Monthly Rate","Weighted Effective Rate")</f>
        <v>Monthly Rate</v>
      </c>
    </row>
    <row r="6" spans="2:5">
      <c r="B6" s="519"/>
      <c r="C6" s="519"/>
      <c r="D6" s="525"/>
      <c r="E6" s="519"/>
    </row>
    <row r="7" spans="2:5">
      <c r="B7" s="526" t="s">
        <v>1235</v>
      </c>
      <c r="C7" s="527" t="s">
        <v>617</v>
      </c>
      <c r="D7" s="528">
        <v>6.3100000000000003E-2</v>
      </c>
      <c r="E7" s="529">
        <f t="shared" ref="E7:E13" si="0">IF($E$19&lt;0,ROUND(D7/12,4),$C7/SUM($C$7:$C$14)*$D7)</f>
        <v>5.3E-3</v>
      </c>
    </row>
    <row r="8" spans="2:5">
      <c r="B8" s="526" t="s">
        <v>1236</v>
      </c>
      <c r="C8" s="527" t="s">
        <v>617</v>
      </c>
      <c r="D8" s="528">
        <v>7.4999999999999997E-2</v>
      </c>
      <c r="E8" s="529">
        <f t="shared" si="0"/>
        <v>6.3E-3</v>
      </c>
    </row>
    <row r="9" spans="2:5">
      <c r="B9" s="526" t="s">
        <v>1237</v>
      </c>
      <c r="C9" s="527" t="s">
        <v>617</v>
      </c>
      <c r="D9" s="528">
        <v>8.0199999999999994E-2</v>
      </c>
      <c r="E9" s="529">
        <f t="shared" si="0"/>
        <v>6.7000000000000002E-3</v>
      </c>
    </row>
    <row r="10" spans="2:5">
      <c r="B10" s="526" t="s">
        <v>1238</v>
      </c>
      <c r="C10" s="527" t="s">
        <v>617</v>
      </c>
      <c r="D10" s="528">
        <v>8.3500000000000005E-2</v>
      </c>
      <c r="E10" s="529">
        <f t="shared" si="0"/>
        <v>7.0000000000000001E-3</v>
      </c>
    </row>
    <row r="11" spans="2:5">
      <c r="B11" s="526" t="s">
        <v>1239</v>
      </c>
      <c r="C11" s="527" t="s">
        <v>617</v>
      </c>
      <c r="D11" s="528">
        <v>8.5000000000000006E-2</v>
      </c>
      <c r="E11" s="529">
        <f t="shared" si="0"/>
        <v>7.1000000000000004E-3</v>
      </c>
    </row>
    <row r="12" spans="2:5">
      <c r="B12" s="526" t="s">
        <v>1240</v>
      </c>
      <c r="C12" s="527" t="s">
        <v>617</v>
      </c>
      <c r="D12" s="528">
        <v>8.5000000000000006E-2</v>
      </c>
      <c r="E12" s="529">
        <f t="shared" si="0"/>
        <v>7.1000000000000004E-3</v>
      </c>
    </row>
    <row r="13" spans="2:5">
      <c r="B13" s="526" t="s">
        <v>1241</v>
      </c>
      <c r="C13" s="527" t="s">
        <v>617</v>
      </c>
      <c r="D13" s="528">
        <v>8.5000000000000006E-2</v>
      </c>
      <c r="E13" s="529">
        <f t="shared" si="0"/>
        <v>7.1000000000000004E-3</v>
      </c>
    </row>
    <row r="14" spans="2:5" s="519" customFormat="1">
      <c r="B14" s="526" t="s">
        <v>617</v>
      </c>
      <c r="C14" s="527" t="s">
        <v>617</v>
      </c>
      <c r="D14" s="528" t="s">
        <v>617</v>
      </c>
      <c r="E14" s="529" t="str">
        <f>IF($E$19&lt;0,"",$C14/SUM($C$7:$C$14)*$D14)</f>
        <v/>
      </c>
    </row>
    <row r="15" spans="2:5" s="519" customFormat="1">
      <c r="B15" s="526"/>
      <c r="C15" s="527"/>
      <c r="D15" s="530"/>
    </row>
    <row r="16" spans="2:5" s="519" customFormat="1">
      <c r="B16" s="520"/>
      <c r="C16" s="531" t="str">
        <f>IF($E$19&lt;0,"Average FERC Rate","Average ST Debt Rate")</f>
        <v>Average FERC Rate</v>
      </c>
      <c r="D16" s="532"/>
      <c r="E16" s="540">
        <f>IF(E19&lt;0,AVERAGE(E7:E15)*12,SUM(E7:E15))</f>
        <v>7.9885714285714282E-2</v>
      </c>
    </row>
    <row r="17" spans="2:5" s="519" customFormat="1">
      <c r="B17" s="520"/>
      <c r="C17" s="531"/>
      <c r="D17" s="532"/>
      <c r="E17" s="532"/>
    </row>
    <row r="18" spans="2:5" s="519" customFormat="1">
      <c r="B18" s="520"/>
      <c r="C18" s="531"/>
      <c r="D18" s="532"/>
      <c r="E18" s="532"/>
    </row>
    <row r="19" spans="2:5" s="519" customFormat="1">
      <c r="D19" s="531" t="str">
        <f>IF(E19&lt;0,"Over Collected Amount","Under Collected Amount")</f>
        <v>Over Collected Amount</v>
      </c>
      <c r="E19" s="533">
        <v>-4275807.5209205197</v>
      </c>
    </row>
    <row r="20" spans="2:5" s="519" customFormat="1">
      <c r="D20" s="531"/>
      <c r="E20" s="533"/>
    </row>
    <row r="21" spans="2:5" s="519" customFormat="1">
      <c r="D21" s="531" t="s">
        <v>883</v>
      </c>
      <c r="E21" s="519">
        <v>2</v>
      </c>
    </row>
    <row r="22" spans="2:5" s="519" customFormat="1">
      <c r="D22" s="531" t="s">
        <v>882</v>
      </c>
      <c r="E22" s="534">
        <f>ROUND(IF(E19&lt;0,-FV(E16/4,E21*4,0,E19)-E19,FV(E16/4,E21*4,0,-E19)-E19),2)</f>
        <v>-732859.94</v>
      </c>
    </row>
    <row r="23" spans="2:5" s="519" customFormat="1"/>
    <row r="24" spans="2:5" s="519" customFormat="1" ht="15.75" thickBot="1">
      <c r="E24" s="536">
        <f>E19+E22</f>
        <v>-5008667.4609205201</v>
      </c>
    </row>
  </sheetData>
  <pageMargins left="0.7" right="0.7" top="0.75" bottom="0.75" header="0.3" footer="0.3"/>
  <pageSetup orientation="portrait" verticalDpi="597"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00FFFF"/>
    <pageSetUpPr fitToPage="1"/>
  </sheetPr>
  <dimension ref="A2:H36"/>
  <sheetViews>
    <sheetView showGridLines="0" zoomScale="85" zoomScaleNormal="85" zoomScaleSheetLayoutView="100" workbookViewId="0">
      <selection activeCell="G26" sqref="G26"/>
    </sheetView>
  </sheetViews>
  <sheetFormatPr defaultRowHeight="15"/>
  <cols>
    <col min="1" max="1" width="5.5703125" style="379" customWidth="1"/>
    <col min="2" max="2" width="19.140625" style="377" customWidth="1"/>
    <col min="3" max="3" width="16.42578125" style="377" customWidth="1"/>
    <col min="4" max="4" width="15.28515625" style="377" customWidth="1"/>
    <col min="5" max="5" width="37.42578125" style="377" bestFit="1" customWidth="1"/>
    <col min="6" max="6" width="4" style="377" customWidth="1"/>
    <col min="7" max="7" width="12.7109375" style="377" customWidth="1"/>
    <col min="8" max="8" width="9.140625" style="378"/>
    <col min="9" max="16384" width="9.140625" style="377"/>
  </cols>
  <sheetData>
    <row r="2" spans="1:7" ht="18.75">
      <c r="B2" s="392" t="s">
        <v>793</v>
      </c>
    </row>
    <row r="4" spans="1:7">
      <c r="B4" s="377" t="s">
        <v>792</v>
      </c>
      <c r="C4" s="391" t="s">
        <v>351</v>
      </c>
      <c r="D4" s="391"/>
    </row>
    <row r="6" spans="1:7">
      <c r="B6" s="377" t="s">
        <v>791</v>
      </c>
      <c r="C6" s="390">
        <v>2025</v>
      </c>
    </row>
    <row r="7" spans="1:7">
      <c r="B7" s="377" t="s">
        <v>790</v>
      </c>
      <c r="C7" s="390">
        <f>C6-2</f>
        <v>2023</v>
      </c>
      <c r="D7" s="377" t="s">
        <v>29</v>
      </c>
    </row>
    <row r="8" spans="1:7">
      <c r="C8" s="379"/>
    </row>
    <row r="9" spans="1:7">
      <c r="B9" s="377" t="s">
        <v>789</v>
      </c>
      <c r="C9" s="390" t="s">
        <v>788</v>
      </c>
    </row>
    <row r="11" spans="1:7">
      <c r="B11" s="388" t="s">
        <v>62</v>
      </c>
      <c r="C11" s="389"/>
      <c r="D11" s="389"/>
      <c r="E11" s="388" t="s">
        <v>63</v>
      </c>
      <c r="F11" s="389"/>
      <c r="G11" s="388" t="s">
        <v>64</v>
      </c>
    </row>
    <row r="12" spans="1:7">
      <c r="A12" s="377"/>
      <c r="E12" s="386" t="s">
        <v>67</v>
      </c>
      <c r="G12" s="386" t="s">
        <v>787</v>
      </c>
    </row>
    <row r="13" spans="1:7">
      <c r="A13" s="386" t="s">
        <v>8</v>
      </c>
      <c r="E13" s="386" t="s">
        <v>69</v>
      </c>
      <c r="G13" s="386" t="s">
        <v>15</v>
      </c>
    </row>
    <row r="14" spans="1:7">
      <c r="A14" s="387" t="s">
        <v>10</v>
      </c>
      <c r="E14" s="386"/>
      <c r="G14" s="386"/>
    </row>
    <row r="15" spans="1:7">
      <c r="A15" s="379">
        <v>1</v>
      </c>
      <c r="B15" s="377" t="s">
        <v>786</v>
      </c>
      <c r="E15" s="377" t="s">
        <v>785</v>
      </c>
      <c r="G15" s="385">
        <f>'ATC Att O ER22-1602'!I239</f>
        <v>16941589</v>
      </c>
    </row>
    <row r="16" spans="1:7">
      <c r="A16" s="379">
        <v>2</v>
      </c>
      <c r="B16" s="377" t="s">
        <v>784</v>
      </c>
      <c r="E16" s="377" t="s">
        <v>783</v>
      </c>
      <c r="G16" s="385">
        <v>0</v>
      </c>
    </row>
    <row r="17" spans="1:7">
      <c r="A17" s="379">
        <v>3</v>
      </c>
      <c r="B17" s="377" t="s">
        <v>782</v>
      </c>
      <c r="E17" s="377" t="s">
        <v>781</v>
      </c>
      <c r="G17" s="385">
        <v>0</v>
      </c>
    </row>
    <row r="18" spans="1:7">
      <c r="A18" s="379">
        <v>4</v>
      </c>
      <c r="B18" s="377" t="s">
        <v>780</v>
      </c>
      <c r="E18" s="377" t="s">
        <v>779</v>
      </c>
      <c r="G18" s="383">
        <f>SUM(G15:G17)</f>
        <v>16941589</v>
      </c>
    </row>
    <row r="20" spans="1:7">
      <c r="A20" s="379">
        <v>5</v>
      </c>
      <c r="B20" s="377" t="s">
        <v>778</v>
      </c>
      <c r="E20" s="377" t="s">
        <v>777</v>
      </c>
      <c r="G20" s="385">
        <v>0</v>
      </c>
    </row>
    <row r="22" spans="1:7">
      <c r="A22" s="379">
        <v>6</v>
      </c>
      <c r="B22" s="377" t="s">
        <v>776</v>
      </c>
      <c r="G22" s="385">
        <v>0</v>
      </c>
    </row>
    <row r="24" spans="1:7">
      <c r="A24" s="379">
        <v>7</v>
      </c>
      <c r="B24" s="377" t="s">
        <v>775</v>
      </c>
      <c r="E24" s="377" t="str">
        <f>"(Line "&amp;A18&amp;" - Line "&amp;A20&amp;" - Line "&amp;A22&amp;")"</f>
        <v>(Line 4 - Line 5 - Line 6)</v>
      </c>
      <c r="G24" s="383">
        <f>+G18-G20-G22</f>
        <v>16941589</v>
      </c>
    </row>
    <row r="26" spans="1:7">
      <c r="A26" s="379">
        <v>8</v>
      </c>
      <c r="B26" s="377" t="s">
        <v>774</v>
      </c>
      <c r="G26" s="384">
        <f>'Sch 1 TU Interest'!E37</f>
        <v>1371100.9</v>
      </c>
    </row>
    <row r="28" spans="1:7">
      <c r="A28" s="379">
        <v>9</v>
      </c>
      <c r="B28" s="377" t="s">
        <v>773</v>
      </c>
      <c r="E28" s="377" t="str">
        <f>"(Line "&amp;A24&amp;" + Line "&amp;A26&amp;")"</f>
        <v>(Line 7 + Line 8)</v>
      </c>
      <c r="G28" s="383">
        <f>+G24+G26</f>
        <v>18312689.899999999</v>
      </c>
    </row>
    <row r="29" spans="1:7">
      <c r="G29" s="382"/>
    </row>
    <row r="31" spans="1:7">
      <c r="A31" s="379" t="s">
        <v>281</v>
      </c>
    </row>
    <row r="32" spans="1:7">
      <c r="A32" s="381" t="s">
        <v>282</v>
      </c>
    </row>
    <row r="33" spans="1:7" ht="15" customHeight="1">
      <c r="A33" s="380" t="s">
        <v>283</v>
      </c>
      <c r="B33" s="886" t="s">
        <v>772</v>
      </c>
      <c r="C33" s="886"/>
      <c r="D33" s="886"/>
      <c r="E33" s="886"/>
      <c r="F33" s="886"/>
      <c r="G33" s="886"/>
    </row>
    <row r="34" spans="1:7" ht="32.25" customHeight="1">
      <c r="A34" s="380" t="s">
        <v>285</v>
      </c>
      <c r="B34" s="886" t="s">
        <v>771</v>
      </c>
      <c r="C34" s="886"/>
      <c r="D34" s="886"/>
      <c r="E34" s="886"/>
      <c r="F34" s="886"/>
      <c r="G34" s="886"/>
    </row>
    <row r="35" spans="1:7" ht="62.25" customHeight="1">
      <c r="A35" s="380" t="s">
        <v>287</v>
      </c>
      <c r="B35" s="886" t="s">
        <v>770</v>
      </c>
      <c r="C35" s="886"/>
      <c r="D35" s="886"/>
      <c r="E35" s="886"/>
      <c r="F35" s="886"/>
      <c r="G35" s="886"/>
    </row>
    <row r="36" spans="1:7" ht="32.25" customHeight="1">
      <c r="A36" s="380" t="s">
        <v>289</v>
      </c>
      <c r="B36" s="886" t="s">
        <v>769</v>
      </c>
      <c r="C36" s="886"/>
      <c r="D36" s="886"/>
      <c r="E36" s="886"/>
      <c r="F36" s="886"/>
      <c r="G36" s="886"/>
    </row>
  </sheetData>
  <mergeCells count="4">
    <mergeCell ref="B33:G33"/>
    <mergeCell ref="B34:G34"/>
    <mergeCell ref="B35:G35"/>
    <mergeCell ref="B36:G36"/>
  </mergeCells>
  <pageMargins left="0.5" right="0.19" top="0.8" bottom="0.5" header="0.3" footer="0.3"/>
  <pageSetup scale="90" orientation="portrait" r:id="rId1"/>
  <headerFooter>
    <oddHeader xml:space="preserve">&amp;R
</oddHeader>
  </headerFooter>
  <rowBreaks count="1" manualBreakCount="1">
    <brk id="41"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pageSetUpPr fitToPage="1"/>
  </sheetPr>
  <dimension ref="A2:H35"/>
  <sheetViews>
    <sheetView showGridLines="0" zoomScale="85" zoomScaleNormal="85" zoomScaleSheetLayoutView="100" workbookViewId="0">
      <selection activeCell="G24" sqref="G24"/>
    </sheetView>
  </sheetViews>
  <sheetFormatPr defaultRowHeight="15"/>
  <cols>
    <col min="1" max="1" width="5.5703125" style="379" customWidth="1"/>
    <col min="2" max="2" width="19.140625" style="377" customWidth="1"/>
    <col min="3" max="3" width="20.28515625" style="377" customWidth="1"/>
    <col min="4" max="4" width="15.28515625" style="377" customWidth="1"/>
    <col min="5" max="5" width="37.42578125" style="377" bestFit="1" customWidth="1"/>
    <col min="6" max="6" width="4" style="377" customWidth="1"/>
    <col min="7" max="7" width="12.7109375" style="377" customWidth="1"/>
    <col min="8" max="8" width="9.140625" style="378"/>
    <col min="9" max="10" width="11.28515625" style="377" bestFit="1" customWidth="1"/>
    <col min="11" max="22" width="12.85546875" style="377" bestFit="1" customWidth="1"/>
    <col min="23" max="23" width="14" style="377" bestFit="1" customWidth="1"/>
    <col min="24" max="16384" width="9.140625" style="377"/>
  </cols>
  <sheetData>
    <row r="2" spans="1:7" ht="18.75">
      <c r="B2" s="392" t="s">
        <v>807</v>
      </c>
    </row>
    <row r="4" spans="1:7">
      <c r="B4" s="377" t="s">
        <v>792</v>
      </c>
      <c r="C4" s="391" t="s">
        <v>351</v>
      </c>
      <c r="D4" s="391"/>
    </row>
    <row r="6" spans="1:7">
      <c r="B6" s="377" t="s">
        <v>790</v>
      </c>
      <c r="C6" s="390">
        <f>'Sch 1'!C7</f>
        <v>2023</v>
      </c>
    </row>
    <row r="9" spans="1:7">
      <c r="B9" s="393" t="s">
        <v>62</v>
      </c>
      <c r="E9" s="393" t="s">
        <v>63</v>
      </c>
      <c r="G9" s="393" t="s">
        <v>64</v>
      </c>
    </row>
    <row r="10" spans="1:7">
      <c r="E10" s="386" t="s">
        <v>67</v>
      </c>
      <c r="G10" s="386" t="s">
        <v>787</v>
      </c>
    </row>
    <row r="11" spans="1:7">
      <c r="A11" s="379" t="s">
        <v>8</v>
      </c>
      <c r="E11" s="386" t="s">
        <v>69</v>
      </c>
      <c r="G11" s="386" t="s">
        <v>15</v>
      </c>
    </row>
    <row r="12" spans="1:7">
      <c r="A12" s="381" t="s">
        <v>10</v>
      </c>
    </row>
    <row r="13" spans="1:7">
      <c r="A13" s="379">
        <v>1</v>
      </c>
      <c r="B13" s="377" t="s">
        <v>806</v>
      </c>
      <c r="E13" s="377" t="s">
        <v>785</v>
      </c>
      <c r="G13" s="385">
        <v>4012782</v>
      </c>
    </row>
    <row r="14" spans="1:7">
      <c r="A14" s="379">
        <f>+A13+1</f>
        <v>2</v>
      </c>
      <c r="B14" s="377" t="s">
        <v>784</v>
      </c>
      <c r="E14" s="377" t="s">
        <v>783</v>
      </c>
      <c r="G14" s="385">
        <v>12017649</v>
      </c>
    </row>
    <row r="15" spans="1:7">
      <c r="A15" s="379">
        <f>+A14+1</f>
        <v>3</v>
      </c>
      <c r="B15" s="377" t="s">
        <v>782</v>
      </c>
      <c r="E15" s="377" t="s">
        <v>781</v>
      </c>
      <c r="G15" s="385">
        <v>0</v>
      </c>
    </row>
    <row r="16" spans="1:7">
      <c r="A16" s="379">
        <f>+A15+1</f>
        <v>4</v>
      </c>
      <c r="B16" s="377" t="s">
        <v>805</v>
      </c>
      <c r="G16" s="383">
        <f>SUM(G13:G15)</f>
        <v>16030431</v>
      </c>
    </row>
    <row r="18" spans="1:7">
      <c r="A18" s="379">
        <f>+A16+1</f>
        <v>5</v>
      </c>
      <c r="B18" s="377" t="s">
        <v>804</v>
      </c>
      <c r="E18" s="377" t="s">
        <v>803</v>
      </c>
      <c r="G18" s="385">
        <v>0</v>
      </c>
    </row>
    <row r="20" spans="1:7">
      <c r="A20" s="379">
        <f>+A18+1</f>
        <v>6</v>
      </c>
      <c r="B20" s="377" t="s">
        <v>802</v>
      </c>
      <c r="E20" s="377" t="str">
        <f>"(Line "&amp;A16&amp;" - Line "&amp;A18&amp;")"</f>
        <v>(Line 4 - Line 5)</v>
      </c>
      <c r="G20" s="383">
        <f>+G16-G18</f>
        <v>16030431</v>
      </c>
    </row>
    <row r="21" spans="1:7">
      <c r="B21" s="379"/>
      <c r="C21" s="379"/>
      <c r="D21" s="379"/>
      <c r="G21" s="382"/>
    </row>
    <row r="22" spans="1:7">
      <c r="A22" s="379">
        <f>+A20+1</f>
        <v>7</v>
      </c>
      <c r="B22" s="377" t="s">
        <v>801</v>
      </c>
      <c r="E22" s="377" t="s">
        <v>800</v>
      </c>
      <c r="G22" s="385">
        <v>14797856</v>
      </c>
    </row>
    <row r="24" spans="1:7">
      <c r="A24" s="379">
        <f>A22+1</f>
        <v>8</v>
      </c>
      <c r="B24" s="377" t="s">
        <v>799</v>
      </c>
      <c r="E24" s="377" t="str">
        <f>"(Line "&amp;A20&amp;" - Line "&amp;A22&amp;")"</f>
        <v>(Line 6 - Line 7)</v>
      </c>
      <c r="G24" s="382">
        <f>+G20-G22</f>
        <v>1232575</v>
      </c>
    </row>
    <row r="27" spans="1:7">
      <c r="A27" s="379" t="s">
        <v>282</v>
      </c>
    </row>
    <row r="28" spans="1:7">
      <c r="A28" s="381" t="s">
        <v>281</v>
      </c>
    </row>
    <row r="29" spans="1:7">
      <c r="A29" s="380" t="s">
        <v>283</v>
      </c>
      <c r="B29" s="887" t="s">
        <v>798</v>
      </c>
      <c r="C29" s="887"/>
      <c r="D29" s="887"/>
      <c r="E29" s="887"/>
      <c r="F29" s="887"/>
      <c r="G29" s="887"/>
    </row>
    <row r="30" spans="1:7">
      <c r="A30" s="380" t="s">
        <v>285</v>
      </c>
      <c r="B30" s="887" t="s">
        <v>797</v>
      </c>
      <c r="C30" s="887"/>
      <c r="D30" s="887"/>
      <c r="E30" s="887"/>
      <c r="F30" s="887"/>
      <c r="G30" s="887"/>
    </row>
    <row r="31" spans="1:7">
      <c r="A31" s="380" t="s">
        <v>287</v>
      </c>
      <c r="B31" s="887" t="s">
        <v>796</v>
      </c>
      <c r="C31" s="887"/>
      <c r="D31" s="887"/>
      <c r="E31" s="887"/>
      <c r="F31" s="887"/>
      <c r="G31" s="887"/>
    </row>
    <row r="32" spans="1:7" ht="15" customHeight="1">
      <c r="A32" s="380" t="s">
        <v>289</v>
      </c>
      <c r="B32" s="887" t="s">
        <v>795</v>
      </c>
      <c r="C32" s="887"/>
      <c r="D32" s="887"/>
      <c r="E32" s="887"/>
      <c r="F32" s="887"/>
      <c r="G32" s="887"/>
    </row>
    <row r="33" spans="1:7" ht="30" customHeight="1">
      <c r="A33" s="380" t="s">
        <v>290</v>
      </c>
      <c r="B33" s="887" t="s">
        <v>794</v>
      </c>
      <c r="C33" s="887"/>
      <c r="D33" s="887"/>
      <c r="E33" s="887"/>
      <c r="F33" s="887"/>
      <c r="G33" s="887"/>
    </row>
    <row r="34" spans="1:7" ht="15" customHeight="1">
      <c r="A34" s="380"/>
      <c r="B34" s="887"/>
      <c r="C34" s="887"/>
      <c r="D34" s="887"/>
      <c r="E34" s="887"/>
      <c r="F34" s="887"/>
      <c r="G34" s="887"/>
    </row>
    <row r="35" spans="1:7">
      <c r="A35" s="380"/>
      <c r="B35" s="887"/>
      <c r="C35" s="887"/>
      <c r="D35" s="887"/>
      <c r="E35" s="887"/>
      <c r="F35" s="887"/>
      <c r="G35" s="887"/>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
</oddHeader>
  </headerFooter>
  <rowBreaks count="1" manualBreakCount="1">
    <brk id="7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E37"/>
  <sheetViews>
    <sheetView showGridLines="0" zoomScaleNormal="100" zoomScaleSheetLayoutView="100" workbookViewId="0">
      <pane xSplit="1" ySplit="5" topLeftCell="B6" activePane="bottomRight" state="frozen"/>
      <selection activeCell="B3" sqref="B3"/>
      <selection pane="topRight" activeCell="B3" sqref="B3"/>
      <selection pane="bottomLeft" activeCell="B3" sqref="B3"/>
      <selection pane="bottomRight" activeCell="R30" sqref="R29:R30"/>
    </sheetView>
  </sheetViews>
  <sheetFormatPr defaultRowHeight="15" outlineLevelRow="1"/>
  <cols>
    <col min="1" max="1" width="9.140625" style="519"/>
    <col min="2" max="2" width="34.140625" style="523" customWidth="1"/>
    <col min="3" max="5" width="15.5703125" style="523" customWidth="1"/>
    <col min="6" max="16384" width="9.140625" style="523"/>
  </cols>
  <sheetData>
    <row r="2" spans="2:5">
      <c r="B2" s="522" t="s">
        <v>1266</v>
      </c>
      <c r="C2" s="521"/>
      <c r="D2" s="521"/>
      <c r="E2" s="519"/>
    </row>
    <row r="3" spans="2:5">
      <c r="B3" s="515" t="s">
        <v>1234</v>
      </c>
      <c r="C3" s="521"/>
      <c r="D3" s="521"/>
      <c r="E3" s="519"/>
    </row>
    <row r="4" spans="2:5">
      <c r="B4" s="521" t="s">
        <v>885</v>
      </c>
      <c r="C4" s="521"/>
      <c r="D4" s="521"/>
      <c r="E4" s="519"/>
    </row>
    <row r="5" spans="2:5" ht="30">
      <c r="B5" s="524" t="str">
        <f>IF($E$32&lt;0,"Applicable Annual Quarter","Month")</f>
        <v>Month</v>
      </c>
      <c r="C5" s="524" t="str">
        <f>IF($E$32&lt;0,"","Debt Amount")</f>
        <v>Debt Amount</v>
      </c>
      <c r="D5" s="524" t="str">
        <f>IF($E$32&lt;0,"Annual Rate","Monthly Effective Rate")</f>
        <v>Monthly Effective Rate</v>
      </c>
      <c r="E5" s="524" t="str">
        <f>IF($E$32&lt;0,"Monthly Rate","Weighted Effective Rate")</f>
        <v>Weighted Effective Rate</v>
      </c>
    </row>
    <row r="6" spans="2:5">
      <c r="B6" s="519"/>
      <c r="C6" s="519"/>
      <c r="D6" s="525"/>
      <c r="E6" s="519"/>
    </row>
    <row r="7" spans="2:5">
      <c r="B7" s="526" t="s">
        <v>1243</v>
      </c>
      <c r="C7" s="527">
        <v>213634709.69999999</v>
      </c>
      <c r="D7" s="528">
        <v>4.5762733999999999E-2</v>
      </c>
      <c r="E7" s="529">
        <f t="shared" ref="E7:E13" si="0">IF($E$32&lt;0,ROUND(D7/12,4),$C7/SUM($C$7:$C$27)*$D7)</f>
        <v>2.4409745678960295E-3</v>
      </c>
    </row>
    <row r="8" spans="2:5">
      <c r="B8" s="526" t="s">
        <v>1244</v>
      </c>
      <c r="C8" s="527">
        <v>221036428.59999999</v>
      </c>
      <c r="D8" s="528">
        <v>4.8014146000000001E-2</v>
      </c>
      <c r="E8" s="529">
        <f t="shared" si="0"/>
        <v>2.6497966134573724E-3</v>
      </c>
    </row>
    <row r="9" spans="2:5">
      <c r="B9" s="526" t="s">
        <v>1245</v>
      </c>
      <c r="C9" s="527">
        <v>232780645.19999999</v>
      </c>
      <c r="D9" s="528">
        <v>4.9169504000000003E-2</v>
      </c>
      <c r="E9" s="529">
        <f t="shared" si="0"/>
        <v>2.8577364359676167E-3</v>
      </c>
    </row>
    <row r="10" spans="2:5">
      <c r="B10" s="526" t="s">
        <v>1246</v>
      </c>
      <c r="C10" s="527">
        <v>230782400</v>
      </c>
      <c r="D10" s="528">
        <v>5.1088578000000003E-2</v>
      </c>
      <c r="E10" s="529">
        <f t="shared" si="0"/>
        <v>2.9437842493385442E-3</v>
      </c>
    </row>
    <row r="11" spans="2:5">
      <c r="B11" s="526" t="s">
        <v>1247</v>
      </c>
      <c r="C11" s="527">
        <v>214517741.90000001</v>
      </c>
      <c r="D11" s="528">
        <v>5.2652867999999999E-2</v>
      </c>
      <c r="E11" s="529">
        <f t="shared" si="0"/>
        <v>2.8201014124402315E-3</v>
      </c>
    </row>
    <row r="12" spans="2:5">
      <c r="B12" s="526" t="s">
        <v>1248</v>
      </c>
      <c r="C12" s="527">
        <v>196167033.30000001</v>
      </c>
      <c r="D12" s="528">
        <v>5.3250637000000003E-2</v>
      </c>
      <c r="E12" s="529">
        <f t="shared" si="0"/>
        <v>2.6081364496359015E-3</v>
      </c>
    </row>
    <row r="13" spans="2:5">
      <c r="B13" s="526" t="s">
        <v>1249</v>
      </c>
      <c r="C13" s="527">
        <v>142637516.09999999</v>
      </c>
      <c r="D13" s="528">
        <v>5.3531626999999998E-2</v>
      </c>
      <c r="E13" s="529">
        <f t="shared" si="0"/>
        <v>1.9064423974911658E-3</v>
      </c>
    </row>
    <row r="14" spans="2:5" outlineLevel="1">
      <c r="B14" s="526" t="s">
        <v>1250</v>
      </c>
      <c r="C14" s="527">
        <v>122762709.7</v>
      </c>
      <c r="D14" s="528">
        <v>5.5547298000000002E-2</v>
      </c>
      <c r="E14" s="529">
        <f t="shared" ref="E14:E27" si="1">IF($E$32&lt;0,"",$C14/SUM($C$7:$C$27)*$D14)</f>
        <v>1.7025853076337374E-3</v>
      </c>
    </row>
    <row r="15" spans="2:5" outlineLevel="1">
      <c r="B15" s="526" t="s">
        <v>1251</v>
      </c>
      <c r="C15" s="527">
        <v>119434266.7</v>
      </c>
      <c r="D15" s="528">
        <v>5.5554422999999999E-2</v>
      </c>
      <c r="E15" s="529">
        <f t="shared" si="1"/>
        <v>1.656635890015923E-3</v>
      </c>
    </row>
    <row r="16" spans="2:5" s="519" customFormat="1" outlineLevel="1">
      <c r="B16" s="526" t="s">
        <v>1252</v>
      </c>
      <c r="C16" s="527">
        <v>119240548.40000001</v>
      </c>
      <c r="D16" s="528">
        <v>5.5578453999999999E-2</v>
      </c>
      <c r="E16" s="529">
        <f t="shared" si="1"/>
        <v>1.6546643266089369E-3</v>
      </c>
    </row>
    <row r="17" spans="2:5" s="519" customFormat="1" outlineLevel="1">
      <c r="B17" s="526" t="s">
        <v>1253</v>
      </c>
      <c r="C17" s="527">
        <v>149154566.69999999</v>
      </c>
      <c r="D17" s="528">
        <v>5.5584923000000001E-2</v>
      </c>
      <c r="E17" s="529">
        <f t="shared" si="1"/>
        <v>2.0700128447332859E-3</v>
      </c>
    </row>
    <row r="18" spans="2:5" s="519" customFormat="1" outlineLevel="1">
      <c r="B18" s="526" t="s">
        <v>1254</v>
      </c>
      <c r="C18" s="527">
        <v>175242806.5</v>
      </c>
      <c r="D18" s="528">
        <v>5.5592958999999997E-2</v>
      </c>
      <c r="E18" s="529">
        <f t="shared" si="1"/>
        <v>2.4324250505465897E-3</v>
      </c>
    </row>
    <row r="19" spans="2:5" s="519" customFormat="1" outlineLevel="1">
      <c r="B19" s="526" t="s">
        <v>1255</v>
      </c>
      <c r="C19" s="527">
        <v>206614032.30000001</v>
      </c>
      <c r="D19" s="528">
        <v>5.5574941000000003E-2</v>
      </c>
      <c r="E19" s="529">
        <f t="shared" si="1"/>
        <v>2.8669379994942139E-3</v>
      </c>
    </row>
    <row r="20" spans="2:5" s="519" customFormat="1" outlineLevel="1">
      <c r="B20" s="526" t="s">
        <v>1256</v>
      </c>
      <c r="C20" s="527">
        <v>253677103.40000001</v>
      </c>
      <c r="D20" s="528">
        <v>5.5566606999999997E-2</v>
      </c>
      <c r="E20" s="529">
        <f t="shared" si="1"/>
        <v>3.5194485925949003E-3</v>
      </c>
    </row>
    <row r="21" spans="2:5" s="519" customFormat="1" outlineLevel="1">
      <c r="B21" s="526" t="s">
        <v>1257</v>
      </c>
      <c r="C21" s="527">
        <v>280921838.69999999</v>
      </c>
      <c r="D21" s="528">
        <v>5.5572341999999997E-2</v>
      </c>
      <c r="E21" s="529">
        <f t="shared" si="1"/>
        <v>3.8978370485786354E-3</v>
      </c>
    </row>
    <row r="22" spans="2:5" s="519" customFormat="1" outlineLevel="1">
      <c r="B22" s="526" t="s">
        <v>1258</v>
      </c>
      <c r="C22" s="527">
        <v>264113400</v>
      </c>
      <c r="D22" s="528">
        <v>5.5572570000000002E-2</v>
      </c>
      <c r="E22" s="529">
        <f t="shared" si="1"/>
        <v>3.6646322122297365E-3</v>
      </c>
    </row>
    <row r="23" spans="2:5" s="519" customFormat="1" outlineLevel="1">
      <c r="B23" s="526" t="s">
        <v>1259</v>
      </c>
      <c r="C23" s="527">
        <v>201829741.90000001</v>
      </c>
      <c r="D23" s="528">
        <v>5.5561534000000003E-2</v>
      </c>
      <c r="E23" s="529">
        <f t="shared" si="1"/>
        <v>2.7998764627773344E-3</v>
      </c>
    </row>
    <row r="24" spans="2:5" s="519" customFormat="1" outlineLevel="1">
      <c r="B24" s="526" t="s">
        <v>1260</v>
      </c>
      <c r="C24" s="527">
        <v>230908366.69999999</v>
      </c>
      <c r="D24" s="528">
        <v>5.5577000000000001E-2</v>
      </c>
      <c r="E24" s="529">
        <f t="shared" si="1"/>
        <v>3.2041603854709388E-3</v>
      </c>
    </row>
    <row r="25" spans="2:5" s="519" customFormat="1" outlineLevel="1">
      <c r="B25" s="526" t="s">
        <v>1261</v>
      </c>
      <c r="C25" s="527">
        <v>161029225.80645153</v>
      </c>
      <c r="D25" s="528">
        <v>5.5573999999999998E-2</v>
      </c>
      <c r="E25" s="529">
        <f t="shared" si="1"/>
        <v>2.2343738441743645E-3</v>
      </c>
    </row>
    <row r="26" spans="2:5" s="519" customFormat="1" outlineLevel="1">
      <c r="B26" s="526" t="s">
        <v>1262</v>
      </c>
      <c r="C26" s="527">
        <v>137213870.96774188</v>
      </c>
      <c r="D26" s="528">
        <v>5.5544999999999997E-2</v>
      </c>
      <c r="E26" s="529">
        <f t="shared" si="1"/>
        <v>1.9029284744475617E-3</v>
      </c>
    </row>
    <row r="27" spans="2:5" s="519" customFormat="1">
      <c r="B27" s="526" t="s">
        <v>1263</v>
      </c>
      <c r="C27" s="527">
        <v>131467066.66666673</v>
      </c>
      <c r="D27" s="528">
        <v>5.4132E-2</v>
      </c>
      <c r="E27" s="529">
        <f t="shared" si="1"/>
        <v>1.7768490041640971E-3</v>
      </c>
    </row>
    <row r="28" spans="2:5" s="519" customFormat="1">
      <c r="B28" s="526"/>
      <c r="C28" s="527"/>
      <c r="D28" s="530"/>
    </row>
    <row r="29" spans="2:5" s="519" customFormat="1">
      <c r="B29" s="520"/>
      <c r="C29" s="531" t="str">
        <f>IF($E$32&lt;0,"Average FERC Rate","Average ST Debt Rate")</f>
        <v>Average ST Debt Rate</v>
      </c>
      <c r="D29" s="532"/>
      <c r="E29" s="540">
        <f>IF(E32&lt;0,AVERAGE(E7:E28)*12,SUM(E7:E28))</f>
        <v>5.3610339569697116E-2</v>
      </c>
    </row>
    <row r="30" spans="2:5" s="519" customFormat="1">
      <c r="B30" s="520"/>
      <c r="C30" s="531"/>
      <c r="D30" s="532"/>
      <c r="E30" s="532"/>
    </row>
    <row r="31" spans="2:5" s="519" customFormat="1">
      <c r="B31" s="520"/>
      <c r="C31" s="531"/>
      <c r="D31" s="532"/>
      <c r="E31" s="532"/>
    </row>
    <row r="32" spans="2:5" s="519" customFormat="1">
      <c r="D32" s="531" t="str">
        <f>IF(E32&lt;0,"Over Collected Amount","Under Collected Amount")</f>
        <v>Under Collected Amount</v>
      </c>
      <c r="E32" s="533">
        <f>'Sch 1 - True up'!G24</f>
        <v>1232575</v>
      </c>
    </row>
    <row r="33" spans="4:5" s="519" customFormat="1">
      <c r="D33" s="531"/>
      <c r="E33" s="533"/>
    </row>
    <row r="34" spans="4:5" s="519" customFormat="1">
      <c r="D34" s="531" t="s">
        <v>883</v>
      </c>
      <c r="E34" s="519">
        <v>2</v>
      </c>
    </row>
    <row r="35" spans="4:5" s="519" customFormat="1">
      <c r="D35" s="531" t="s">
        <v>882</v>
      </c>
      <c r="E35" s="534">
        <f>ROUND(IF(E32&lt;0,-FV(E29/4,E34*4,0,E32)-E32,FV(E29/4,E34*4,0,-E32)-E32),2)</f>
        <v>138525.9</v>
      </c>
    </row>
    <row r="36" spans="4:5" s="519" customFormat="1"/>
    <row r="37" spans="4:5" s="519" customFormat="1" ht="15.75" thickBot="1">
      <c r="E37" s="536">
        <f>E32+E35</f>
        <v>1371100.9</v>
      </c>
    </row>
  </sheetData>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B2:L18"/>
  <sheetViews>
    <sheetView showGridLines="0" zoomScaleNormal="100" zoomScaleSheetLayoutView="100" workbookViewId="0">
      <pane xSplit="2" ySplit="4" topLeftCell="C5" activePane="bottomRight" state="frozen"/>
      <selection activeCell="C6" sqref="C6"/>
      <selection pane="topRight" activeCell="C6" sqref="C6"/>
      <selection pane="bottomLeft" activeCell="C6" sqref="C6"/>
      <selection pane="bottomRight" activeCell="F24" sqref="F24"/>
    </sheetView>
  </sheetViews>
  <sheetFormatPr defaultRowHeight="12.75"/>
  <cols>
    <col min="1" max="1" width="9.140625" style="37"/>
    <col min="2" max="2" width="16.42578125" style="37" customWidth="1"/>
    <col min="3" max="3" width="14" style="37" bestFit="1" customWidth="1"/>
    <col min="4" max="6" width="11.5703125" style="37" customWidth="1"/>
    <col min="7" max="7" width="14" style="37" customWidth="1"/>
    <col min="8" max="8" width="12.28515625" style="37" bestFit="1" customWidth="1"/>
    <col min="9" max="9" width="15.140625" style="37" customWidth="1"/>
    <col min="10" max="10" width="11.5703125" style="37" customWidth="1"/>
    <col min="11" max="11" width="9.140625" style="37"/>
    <col min="12" max="12" width="24.28515625" style="38" customWidth="1"/>
    <col min="13" max="16384" width="9.140625" style="37"/>
  </cols>
  <sheetData>
    <row r="2" spans="2:9">
      <c r="B2" s="27" t="s">
        <v>357</v>
      </c>
    </row>
    <row r="3" spans="2:9" ht="38.25">
      <c r="B3" s="29" t="s">
        <v>350</v>
      </c>
      <c r="C3" s="39" t="s">
        <v>358</v>
      </c>
      <c r="D3" s="39" t="s">
        <v>359</v>
      </c>
      <c r="E3" s="39" t="s">
        <v>360</v>
      </c>
      <c r="F3" s="39" t="s">
        <v>361</v>
      </c>
      <c r="G3" s="39" t="s">
        <v>362</v>
      </c>
      <c r="H3" s="39" t="s">
        <v>363</v>
      </c>
      <c r="I3" s="39" t="s">
        <v>346</v>
      </c>
    </row>
    <row r="4" spans="2:9">
      <c r="B4" s="32" t="s">
        <v>353</v>
      </c>
      <c r="C4" s="40"/>
      <c r="D4" s="40"/>
      <c r="E4" s="40"/>
      <c r="F4" s="40"/>
      <c r="G4" s="40"/>
      <c r="H4" s="40"/>
      <c r="I4" s="41">
        <v>20</v>
      </c>
    </row>
    <row r="5" spans="2:9">
      <c r="B5" s="686">
        <v>45627</v>
      </c>
      <c r="C5" s="569">
        <v>1043853921.8886614</v>
      </c>
      <c r="D5" s="38">
        <v>0</v>
      </c>
      <c r="E5" s="42">
        <v>365</v>
      </c>
      <c r="F5" s="42">
        <v>365</v>
      </c>
      <c r="G5" s="43">
        <f>D5/E5*F5</f>
        <v>0</v>
      </c>
      <c r="H5" s="568">
        <v>0</v>
      </c>
      <c r="I5" s="43">
        <f>C5</f>
        <v>1043853921.8886614</v>
      </c>
    </row>
    <row r="6" spans="2:9">
      <c r="B6" s="681">
        <v>45658</v>
      </c>
      <c r="C6" s="569">
        <v>1043447018.6082623</v>
      </c>
      <c r="D6" s="43">
        <f t="shared" ref="D6:D17" si="0">C6-C5</f>
        <v>-406903.28039908409</v>
      </c>
      <c r="E6" s="42">
        <v>335</v>
      </c>
      <c r="F6" s="42">
        <v>365</v>
      </c>
      <c r="G6" s="43">
        <f t="shared" ref="G6:G17" si="1">D6/F6*E6</f>
        <v>-373459.17516080319</v>
      </c>
      <c r="H6" s="569">
        <v>0</v>
      </c>
      <c r="I6" s="43">
        <f t="shared" ref="I6:I17" si="2">I5+G6+H6</f>
        <v>1043480462.7135006</v>
      </c>
    </row>
    <row r="7" spans="2:9">
      <c r="B7" s="682">
        <v>45689</v>
      </c>
      <c r="C7" s="569">
        <v>1044036571.8276098</v>
      </c>
      <c r="D7" s="43">
        <f t="shared" si="0"/>
        <v>589553.21934747696</v>
      </c>
      <c r="E7" s="42">
        <v>307</v>
      </c>
      <c r="F7" s="42">
        <v>365</v>
      </c>
      <c r="G7" s="43">
        <f t="shared" si="1"/>
        <v>495870.7899717135</v>
      </c>
      <c r="H7" s="569">
        <v>0</v>
      </c>
      <c r="I7" s="43">
        <f t="shared" si="2"/>
        <v>1043976333.5034723</v>
      </c>
    </row>
    <row r="8" spans="2:9">
      <c r="B8" s="682">
        <v>45717</v>
      </c>
      <c r="C8" s="569">
        <v>1050937980.0466261</v>
      </c>
      <c r="D8" s="43">
        <f t="shared" si="0"/>
        <v>6901408.2190163136</v>
      </c>
      <c r="E8" s="42">
        <v>276</v>
      </c>
      <c r="F8" s="42">
        <v>365</v>
      </c>
      <c r="G8" s="43">
        <f t="shared" si="1"/>
        <v>5218599.0916397329</v>
      </c>
      <c r="H8" s="569">
        <v>0</v>
      </c>
      <c r="I8" s="43">
        <f t="shared" si="2"/>
        <v>1049194932.5951121</v>
      </c>
    </row>
    <row r="9" spans="2:9">
      <c r="B9" s="682">
        <v>45748</v>
      </c>
      <c r="C9" s="569">
        <v>1050619578.6378988</v>
      </c>
      <c r="D9" s="43">
        <f t="shared" si="0"/>
        <v>-318401.40872728825</v>
      </c>
      <c r="E9" s="42">
        <v>246</v>
      </c>
      <c r="F9" s="42">
        <v>365</v>
      </c>
      <c r="G9" s="43">
        <f t="shared" si="1"/>
        <v>-214593.82615592578</v>
      </c>
      <c r="H9" s="569">
        <v>0</v>
      </c>
      <c r="I9" s="43">
        <f t="shared" si="2"/>
        <v>1048980338.7689562</v>
      </c>
    </row>
    <row r="10" spans="2:9">
      <c r="B10" s="682">
        <v>45778</v>
      </c>
      <c r="C10" s="569">
        <v>1050660989.1449244</v>
      </c>
      <c r="D10" s="43">
        <f t="shared" si="0"/>
        <v>41410.50702559948</v>
      </c>
      <c r="E10" s="42">
        <v>215</v>
      </c>
      <c r="F10" s="42">
        <v>365</v>
      </c>
      <c r="G10" s="43">
        <f t="shared" si="1"/>
        <v>24392.490439736681</v>
      </c>
      <c r="H10" s="569">
        <v>0</v>
      </c>
      <c r="I10" s="43">
        <f t="shared" si="2"/>
        <v>1049004731.259396</v>
      </c>
    </row>
    <row r="11" spans="2:9">
      <c r="B11" s="682">
        <v>45809</v>
      </c>
      <c r="C11" s="569">
        <v>1052040277.0910883</v>
      </c>
      <c r="D11" s="43">
        <f t="shared" si="0"/>
        <v>1379287.9461638927</v>
      </c>
      <c r="E11" s="42">
        <v>185</v>
      </c>
      <c r="F11" s="42">
        <v>365</v>
      </c>
      <c r="G11" s="43">
        <f t="shared" si="1"/>
        <v>699091.1507953977</v>
      </c>
      <c r="H11" s="569">
        <v>0</v>
      </c>
      <c r="I11" s="43">
        <f t="shared" si="2"/>
        <v>1049703822.4101913</v>
      </c>
    </row>
    <row r="12" spans="2:9">
      <c r="B12" s="682">
        <v>45839</v>
      </c>
      <c r="C12" s="569">
        <v>1052023390.0429432</v>
      </c>
      <c r="D12" s="43">
        <f t="shared" si="0"/>
        <v>-16887.048145055771</v>
      </c>
      <c r="E12" s="42">
        <v>154</v>
      </c>
      <c r="F12" s="42">
        <v>365</v>
      </c>
      <c r="G12" s="43">
        <f t="shared" si="1"/>
        <v>-7124.9463406536679</v>
      </c>
      <c r="H12" s="569">
        <v>0</v>
      </c>
      <c r="I12" s="43">
        <f t="shared" si="2"/>
        <v>1049696697.4638506</v>
      </c>
    </row>
    <row r="13" spans="2:9">
      <c r="B13" s="682">
        <v>45870</v>
      </c>
      <c r="C13" s="569">
        <v>1051649423.3814614</v>
      </c>
      <c r="D13" s="43">
        <f t="shared" si="0"/>
        <v>-373966.6614818573</v>
      </c>
      <c r="E13" s="42">
        <v>123</v>
      </c>
      <c r="F13" s="42">
        <v>365</v>
      </c>
      <c r="G13" s="43">
        <f t="shared" si="1"/>
        <v>-126021.6420884067</v>
      </c>
      <c r="H13" s="569">
        <v>0</v>
      </c>
      <c r="I13" s="43">
        <f t="shared" si="2"/>
        <v>1049570675.8217622</v>
      </c>
    </row>
    <row r="14" spans="2:9">
      <c r="B14" s="682">
        <v>45901</v>
      </c>
      <c r="C14" s="569">
        <v>1051418881.6519657</v>
      </c>
      <c r="D14" s="43">
        <f t="shared" si="0"/>
        <v>-230541.72949564457</v>
      </c>
      <c r="E14" s="42">
        <v>93</v>
      </c>
      <c r="F14" s="42">
        <v>365</v>
      </c>
      <c r="G14" s="43">
        <f t="shared" si="1"/>
        <v>-58740.769433136833</v>
      </c>
      <c r="H14" s="569">
        <v>0</v>
      </c>
      <c r="I14" s="43">
        <f t="shared" si="2"/>
        <v>1049511935.0523291</v>
      </c>
    </row>
    <row r="15" spans="2:9">
      <c r="B15" s="682">
        <v>45931</v>
      </c>
      <c r="C15" s="569">
        <v>1053654041.2839152</v>
      </c>
      <c r="D15" s="43">
        <f t="shared" si="0"/>
        <v>2235159.6319494247</v>
      </c>
      <c r="E15" s="42">
        <v>62</v>
      </c>
      <c r="F15" s="42">
        <v>365</v>
      </c>
      <c r="G15" s="43">
        <f t="shared" si="1"/>
        <v>379670.95118045021</v>
      </c>
      <c r="H15" s="569">
        <v>0</v>
      </c>
      <c r="I15" s="43">
        <f t="shared" si="2"/>
        <v>1049891606.0035095</v>
      </c>
    </row>
    <row r="16" spans="2:9" ht="13.5" thickBot="1">
      <c r="B16" s="682">
        <v>45962</v>
      </c>
      <c r="C16" s="569">
        <v>1054595963.2753689</v>
      </c>
      <c r="D16" s="43">
        <f t="shared" si="0"/>
        <v>941921.99145376682</v>
      </c>
      <c r="E16" s="42">
        <v>32</v>
      </c>
      <c r="F16" s="42">
        <v>365</v>
      </c>
      <c r="G16" s="43">
        <f t="shared" si="1"/>
        <v>82579.462264439833</v>
      </c>
      <c r="H16" s="569">
        <v>0</v>
      </c>
      <c r="I16" s="43">
        <f t="shared" si="2"/>
        <v>1049974185.4657739</v>
      </c>
    </row>
    <row r="17" spans="2:9" ht="13.5" thickBot="1">
      <c r="B17" s="681">
        <v>45992</v>
      </c>
      <c r="C17" s="569">
        <v>1062810261.6028523</v>
      </c>
      <c r="D17" s="43">
        <f t="shared" si="0"/>
        <v>8214298.3274834156</v>
      </c>
      <c r="E17" s="42">
        <v>1</v>
      </c>
      <c r="F17" s="42">
        <v>365</v>
      </c>
      <c r="G17" s="43">
        <f t="shared" si="1"/>
        <v>22504.926924612097</v>
      </c>
      <c r="H17" s="569">
        <v>0</v>
      </c>
      <c r="I17" s="567">
        <f t="shared" si="2"/>
        <v>1049996690.3926985</v>
      </c>
    </row>
    <row r="18" spans="2:9">
      <c r="B18" s="44"/>
      <c r="C18" s="45"/>
      <c r="D18" s="45"/>
      <c r="E18" s="45"/>
      <c r="F18" s="45"/>
      <c r="G18" s="45"/>
      <c r="H18" s="45"/>
    </row>
  </sheetData>
  <pageMargins left="0.7" right="0.7" top="0.75" bottom="0.75" header="0.3" footer="0.3"/>
  <pageSetup orientation="landscape" r:id="rId1"/>
  <headerFooter>
    <oddHeader xml:space="preserve">&amp;R
</oddHead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B1:N33"/>
  <sheetViews>
    <sheetView showGridLines="0" zoomScaleNormal="100" zoomScaleSheetLayoutView="100" workbookViewId="0">
      <pane ySplit="1" topLeftCell="A2" activePane="bottomLeft" state="frozen"/>
      <selection pane="bottomLeft" activeCell="K27" sqref="K27"/>
    </sheetView>
  </sheetViews>
  <sheetFormatPr defaultRowHeight="12.75"/>
  <cols>
    <col min="1" max="1" width="9.140625" style="23"/>
    <col min="2" max="2" width="14.5703125" style="23" customWidth="1"/>
    <col min="3" max="4" width="14" style="23" customWidth="1"/>
    <col min="5" max="5" width="13" style="23" customWidth="1"/>
    <col min="6" max="6" width="12.85546875" style="23" customWidth="1"/>
    <col min="7" max="7" width="14.140625" style="23" customWidth="1"/>
    <col min="8" max="14" width="14" style="23" customWidth="1"/>
    <col min="15" max="15" width="15.140625" style="23" customWidth="1"/>
    <col min="16" max="16384" width="9.140625" style="23"/>
  </cols>
  <sheetData>
    <row r="1" spans="2:14">
      <c r="B1" s="28"/>
      <c r="C1" s="28"/>
      <c r="D1" s="28"/>
      <c r="E1" s="28"/>
      <c r="F1" s="28"/>
      <c r="G1" s="28"/>
      <c r="H1" s="28"/>
      <c r="I1" s="28"/>
      <c r="J1" s="28"/>
      <c r="K1" s="28"/>
      <c r="L1" s="28"/>
      <c r="M1" s="28"/>
      <c r="N1" s="28"/>
    </row>
    <row r="3" spans="2:14" s="46" customFormat="1" ht="51">
      <c r="C3" s="46" t="s">
        <v>68</v>
      </c>
      <c r="D3" s="46" t="s">
        <v>364</v>
      </c>
      <c r="E3" s="46" t="s">
        <v>365</v>
      </c>
      <c r="F3" s="46" t="s">
        <v>366</v>
      </c>
      <c r="G3" s="46" t="s">
        <v>342</v>
      </c>
      <c r="H3" s="46" t="s">
        <v>344</v>
      </c>
      <c r="I3" s="46" t="s">
        <v>1056</v>
      </c>
      <c r="J3" s="46" t="s">
        <v>367</v>
      </c>
      <c r="K3" s="46" t="s">
        <v>368</v>
      </c>
      <c r="L3" s="46" t="s">
        <v>369</v>
      </c>
      <c r="M3" s="46" t="s">
        <v>370</v>
      </c>
      <c r="N3" s="46" t="s">
        <v>178</v>
      </c>
    </row>
    <row r="4" spans="2:14">
      <c r="B4" s="47" t="s">
        <v>353</v>
      </c>
      <c r="C4" s="21">
        <v>1</v>
      </c>
      <c r="D4" s="21">
        <v>3</v>
      </c>
      <c r="E4" s="21">
        <v>5</v>
      </c>
      <c r="F4" s="21" t="s">
        <v>149</v>
      </c>
      <c r="G4" s="21">
        <v>9</v>
      </c>
      <c r="H4" s="21">
        <v>10</v>
      </c>
      <c r="I4" s="756" t="s">
        <v>1048</v>
      </c>
      <c r="J4" s="21">
        <v>13</v>
      </c>
      <c r="K4" s="21">
        <v>16</v>
      </c>
      <c r="L4" s="21">
        <v>18</v>
      </c>
      <c r="M4" s="21" t="s">
        <v>176</v>
      </c>
      <c r="N4" s="21" t="s">
        <v>177</v>
      </c>
    </row>
    <row r="5" spans="2:14">
      <c r="B5" s="681">
        <v>45658</v>
      </c>
      <c r="C5" s="650">
        <v>12485789.895999998</v>
      </c>
      <c r="D5" s="650">
        <v>4421664.6240000017</v>
      </c>
      <c r="E5" s="650">
        <v>198734.23</v>
      </c>
      <c r="F5" s="650">
        <v>48734.23</v>
      </c>
      <c r="G5" s="650">
        <v>17613001.446469307</v>
      </c>
      <c r="H5" s="650">
        <v>2091949.6155968837</v>
      </c>
      <c r="I5" s="650">
        <v>38074.3125</v>
      </c>
      <c r="J5" s="650">
        <v>689673</v>
      </c>
      <c r="K5" s="650">
        <v>1681522.3333330001</v>
      </c>
      <c r="L5" s="650">
        <v>766358.75453829998</v>
      </c>
      <c r="M5" s="650">
        <v>432369</v>
      </c>
      <c r="N5" s="650">
        <v>10037.057538159263</v>
      </c>
    </row>
    <row r="6" spans="2:14">
      <c r="B6" s="682">
        <v>45689</v>
      </c>
      <c r="C6" s="650">
        <v>12071540.517999999</v>
      </c>
      <c r="D6" s="650">
        <v>4122070.9920000006</v>
      </c>
      <c r="E6" s="650">
        <v>63734.23</v>
      </c>
      <c r="F6" s="650">
        <v>48734.23</v>
      </c>
      <c r="G6" s="650">
        <v>17638923.007509835</v>
      </c>
      <c r="H6" s="650">
        <v>2129560.2004697118</v>
      </c>
      <c r="I6" s="650">
        <v>38074.3125</v>
      </c>
      <c r="J6" s="650">
        <v>493035</v>
      </c>
      <c r="K6" s="650">
        <v>1681522.3333330001</v>
      </c>
      <c r="L6" s="650">
        <v>766358.75463829993</v>
      </c>
      <c r="M6" s="650">
        <v>432369</v>
      </c>
      <c r="N6" s="650">
        <v>10037.184517803971</v>
      </c>
    </row>
    <row r="7" spans="2:14">
      <c r="B7" s="682">
        <v>45717</v>
      </c>
      <c r="C7" s="650">
        <v>11592895.162</v>
      </c>
      <c r="D7" s="650">
        <v>4110730.7280000001</v>
      </c>
      <c r="E7" s="650">
        <v>63734.23</v>
      </c>
      <c r="F7" s="650">
        <v>48734.23</v>
      </c>
      <c r="G7" s="650">
        <v>17855993.767475598</v>
      </c>
      <c r="H7" s="650">
        <v>2155418.7355631283</v>
      </c>
      <c r="I7" s="650">
        <v>38074.3125</v>
      </c>
      <c r="J7" s="650">
        <v>497103</v>
      </c>
      <c r="K7" s="650">
        <v>1681522.3333330001</v>
      </c>
      <c r="L7" s="650">
        <v>766358.75453829998</v>
      </c>
      <c r="M7" s="650">
        <v>432369</v>
      </c>
      <c r="N7" s="650">
        <v>10037.260669192765</v>
      </c>
    </row>
    <row r="8" spans="2:14">
      <c r="B8" s="682">
        <v>45748</v>
      </c>
      <c r="C8" s="650">
        <v>12149025.389999999</v>
      </c>
      <c r="D8" s="650">
        <v>4417671.9600000028</v>
      </c>
      <c r="E8" s="650">
        <v>63734.23</v>
      </c>
      <c r="F8" s="650">
        <v>48734.23</v>
      </c>
      <c r="G8" s="650">
        <v>18085741.23957178</v>
      </c>
      <c r="H8" s="650">
        <v>2147583.2144128405</v>
      </c>
      <c r="I8" s="650">
        <v>38074.3125</v>
      </c>
      <c r="J8" s="650">
        <v>538242</v>
      </c>
      <c r="K8" s="650">
        <v>1681522.3333330001</v>
      </c>
      <c r="L8" s="650">
        <v>766358.75453829998</v>
      </c>
      <c r="M8" s="650">
        <v>432369</v>
      </c>
      <c r="N8" s="650">
        <v>10037.351845215155</v>
      </c>
    </row>
    <row r="9" spans="2:14">
      <c r="B9" s="682">
        <v>45778</v>
      </c>
      <c r="C9" s="650">
        <v>11869597.364</v>
      </c>
      <c r="D9" s="650">
        <v>4324860.6960000005</v>
      </c>
      <c r="E9" s="650">
        <v>63734.23</v>
      </c>
      <c r="F9" s="650">
        <v>48734.23</v>
      </c>
      <c r="G9" s="650">
        <v>18090135.426373053</v>
      </c>
      <c r="H9" s="650">
        <v>2211551.1591748712</v>
      </c>
      <c r="I9" s="650">
        <v>38074.3125</v>
      </c>
      <c r="J9" s="650">
        <v>473347</v>
      </c>
      <c r="K9" s="650">
        <v>1681522.3333330003</v>
      </c>
      <c r="L9" s="650">
        <v>766405.33201729995</v>
      </c>
      <c r="M9" s="650">
        <v>432369</v>
      </c>
      <c r="N9" s="650">
        <v>10037.439895663212</v>
      </c>
    </row>
    <row r="10" spans="2:14">
      <c r="B10" s="682">
        <v>45809</v>
      </c>
      <c r="C10" s="650">
        <v>11904659.173999999</v>
      </c>
      <c r="D10" s="650">
        <v>4184969.256000001</v>
      </c>
      <c r="E10" s="650">
        <v>63734.23</v>
      </c>
      <c r="F10" s="650">
        <v>48734.23</v>
      </c>
      <c r="G10" s="650">
        <v>18121862.109261319</v>
      </c>
      <c r="H10" s="650">
        <v>2309136.4846963082</v>
      </c>
      <c r="I10" s="650">
        <v>38074.3125</v>
      </c>
      <c r="J10" s="650">
        <v>485366</v>
      </c>
      <c r="K10" s="650">
        <v>1681522.3333330001</v>
      </c>
      <c r="L10" s="650">
        <v>766438.54195829993</v>
      </c>
      <c r="M10" s="650">
        <v>432369</v>
      </c>
      <c r="N10" s="650">
        <v>10037.527385306219</v>
      </c>
    </row>
    <row r="11" spans="2:14">
      <c r="B11" s="682">
        <v>45839</v>
      </c>
      <c r="C11" s="650">
        <v>13743289.483999999</v>
      </c>
      <c r="D11" s="650">
        <v>4407022.7759999987</v>
      </c>
      <c r="E11" s="650">
        <v>63734.23</v>
      </c>
      <c r="F11" s="650">
        <v>48734.23</v>
      </c>
      <c r="G11" s="650">
        <v>18280847.632660981</v>
      </c>
      <c r="H11" s="650">
        <v>2337742.6893699691</v>
      </c>
      <c r="I11" s="650">
        <v>38074.3125</v>
      </c>
      <c r="J11" s="650">
        <v>493344</v>
      </c>
      <c r="K11" s="650">
        <v>1681522.3333329998</v>
      </c>
      <c r="L11" s="650">
        <v>766438.52873699996</v>
      </c>
      <c r="M11" s="650">
        <v>432369</v>
      </c>
      <c r="N11" s="650">
        <v>10037.60758315967</v>
      </c>
    </row>
    <row r="12" spans="2:14">
      <c r="B12" s="682">
        <v>45870</v>
      </c>
      <c r="C12" s="650">
        <v>13716179.479999999</v>
      </c>
      <c r="D12" s="650">
        <v>4337339.7600000035</v>
      </c>
      <c r="E12" s="650">
        <v>63734.23</v>
      </c>
      <c r="F12" s="650">
        <v>48734.23</v>
      </c>
      <c r="G12" s="650">
        <v>18327687.238578435</v>
      </c>
      <c r="H12" s="650">
        <v>2361714.5024311356</v>
      </c>
      <c r="I12" s="650">
        <v>38074.3125</v>
      </c>
      <c r="J12" s="650">
        <v>465930</v>
      </c>
      <c r="K12" s="650">
        <v>1681522.3333330001</v>
      </c>
      <c r="L12" s="650">
        <v>766254.87833700003</v>
      </c>
      <c r="M12" s="650">
        <v>432369</v>
      </c>
      <c r="N12" s="650">
        <v>10037.680457624905</v>
      </c>
    </row>
    <row r="13" spans="2:14">
      <c r="B13" s="682">
        <v>45901</v>
      </c>
      <c r="C13" s="650">
        <v>13462117.487999998</v>
      </c>
      <c r="D13" s="650">
        <v>4150041.7920000032</v>
      </c>
      <c r="E13" s="650">
        <v>63734.23</v>
      </c>
      <c r="F13" s="650">
        <v>48734.23</v>
      </c>
      <c r="G13" s="650">
        <v>18334291.822152644</v>
      </c>
      <c r="H13" s="650">
        <v>2385391.7663995521</v>
      </c>
      <c r="I13" s="650">
        <v>38074.3125</v>
      </c>
      <c r="J13" s="650">
        <v>486313</v>
      </c>
      <c r="K13" s="650">
        <v>1681522.3333330001</v>
      </c>
      <c r="L13" s="650">
        <v>766254.87833700003</v>
      </c>
      <c r="M13" s="650">
        <v>432369</v>
      </c>
      <c r="N13" s="650">
        <v>10037.757667758271</v>
      </c>
    </row>
    <row r="14" spans="2:14">
      <c r="B14" s="682">
        <v>45931</v>
      </c>
      <c r="C14" s="650">
        <v>13975242.805999998</v>
      </c>
      <c r="D14" s="650">
        <v>4494365.3040000014</v>
      </c>
      <c r="E14" s="650">
        <v>63734.23</v>
      </c>
      <c r="F14" s="650">
        <v>48734.23</v>
      </c>
      <c r="G14" s="650">
        <v>18354241.105498139</v>
      </c>
      <c r="H14" s="650">
        <v>2405099.9616737189</v>
      </c>
      <c r="I14" s="650">
        <v>38074.3125</v>
      </c>
      <c r="J14" s="650">
        <v>493150</v>
      </c>
      <c r="K14" s="650">
        <v>1681522.3333330001</v>
      </c>
      <c r="L14" s="650">
        <v>766254.87833700003</v>
      </c>
      <c r="M14" s="650">
        <v>432369</v>
      </c>
      <c r="N14" s="650">
        <v>10037.838646278287</v>
      </c>
    </row>
    <row r="15" spans="2:14">
      <c r="B15" s="682">
        <v>45962</v>
      </c>
      <c r="C15" s="650">
        <v>12101056.184</v>
      </c>
      <c r="D15" s="650">
        <v>3716289.0960000008</v>
      </c>
      <c r="E15" s="650">
        <v>63734.23</v>
      </c>
      <c r="F15" s="650">
        <v>48734.23</v>
      </c>
      <c r="G15" s="650">
        <v>18536023.597508885</v>
      </c>
      <c r="H15" s="650">
        <v>2569944.259232325</v>
      </c>
      <c r="I15" s="650">
        <v>38074.3125</v>
      </c>
      <c r="J15" s="650">
        <v>336153</v>
      </c>
      <c r="K15" s="650">
        <v>1681522.3333330001</v>
      </c>
      <c r="L15" s="650">
        <v>766254.87833700003</v>
      </c>
      <c r="M15" s="650">
        <v>432369</v>
      </c>
      <c r="N15" s="650">
        <v>10037.920033414177</v>
      </c>
    </row>
    <row r="16" spans="2:14">
      <c r="B16" s="681">
        <v>45992</v>
      </c>
      <c r="C16" s="650">
        <v>12106744.857999999</v>
      </c>
      <c r="D16" s="650">
        <v>3672260.5920000002</v>
      </c>
      <c r="E16" s="650">
        <v>63734.23</v>
      </c>
      <c r="F16" s="650">
        <v>48734.23</v>
      </c>
      <c r="G16" s="650">
        <v>18571893.487718783</v>
      </c>
      <c r="H16" s="650">
        <v>2657230.4545247545</v>
      </c>
      <c r="I16" s="650">
        <v>38074.3125</v>
      </c>
      <c r="J16" s="650">
        <v>316371</v>
      </c>
      <c r="K16" s="650">
        <v>1681522.3333330001</v>
      </c>
      <c r="L16" s="650">
        <v>759713.910148</v>
      </c>
      <c r="M16" s="650">
        <v>432369</v>
      </c>
      <c r="N16" s="650">
        <v>10038.008618172818</v>
      </c>
    </row>
    <row r="17" spans="2:14" ht="15">
      <c r="B17" s="22" t="s">
        <v>15</v>
      </c>
      <c r="C17" s="48">
        <f t="shared" ref="C17:N17" si="0">SUM(C5:C16)</f>
        <v>151178137.80399999</v>
      </c>
      <c r="D17" s="48">
        <f t="shared" si="0"/>
        <v>50359287.576000012</v>
      </c>
      <c r="E17" s="48">
        <f>SUM(E5:E16)</f>
        <v>899810.75999999989</v>
      </c>
      <c r="F17" s="48">
        <f t="shared" si="0"/>
        <v>584810.75999999989</v>
      </c>
      <c r="G17" s="48">
        <f t="shared" si="0"/>
        <v>217810641.88077876</v>
      </c>
      <c r="H17" s="48">
        <f t="shared" si="0"/>
        <v>27762323.043545198</v>
      </c>
      <c r="I17" s="48">
        <f t="shared" ref="I17" si="1">SUM(I5:I16)</f>
        <v>456891.75</v>
      </c>
      <c r="J17" s="48">
        <f t="shared" si="0"/>
        <v>5768027</v>
      </c>
      <c r="K17" s="48">
        <f t="shared" si="0"/>
        <v>20178267.999996003</v>
      </c>
      <c r="L17" s="48">
        <f t="shared" si="0"/>
        <v>9189450.8444617987</v>
      </c>
      <c r="M17" s="48">
        <f t="shared" si="0"/>
        <v>5188428</v>
      </c>
      <c r="N17" s="48">
        <f t="shared" si="0"/>
        <v>120450.63485774869</v>
      </c>
    </row>
    <row r="19" spans="2:14">
      <c r="B19" s="59"/>
    </row>
    <row r="22" spans="2:14">
      <c r="B22" s="49" t="s">
        <v>371</v>
      </c>
      <c r="C22" s="49"/>
      <c r="E22" s="50"/>
    </row>
    <row r="23" spans="2:14" s="50" customFormat="1" ht="51">
      <c r="B23" s="51"/>
      <c r="C23" s="46" t="s">
        <v>372</v>
      </c>
    </row>
    <row r="24" spans="2:14" s="50" customFormat="1">
      <c r="B24" s="47" t="s">
        <v>353</v>
      </c>
      <c r="C24" s="21">
        <v>24</v>
      </c>
    </row>
    <row r="25" spans="2:14" ht="15">
      <c r="B25" s="651">
        <v>2025</v>
      </c>
      <c r="C25" s="650">
        <v>38060.000004000001</v>
      </c>
      <c r="I25" s="52"/>
    </row>
    <row r="26" spans="2:14">
      <c r="B26" s="651">
        <v>2026</v>
      </c>
      <c r="C26" s="650">
        <v>38060.000004000001</v>
      </c>
    </row>
    <row r="27" spans="2:14">
      <c r="B27" s="651">
        <v>2027</v>
      </c>
      <c r="C27" s="650">
        <v>38060.000004000001</v>
      </c>
    </row>
    <row r="28" spans="2:14">
      <c r="B28" s="651">
        <v>2028</v>
      </c>
      <c r="C28" s="650">
        <v>38060.000004000001</v>
      </c>
    </row>
    <row r="29" spans="2:14">
      <c r="B29" s="651">
        <v>2029</v>
      </c>
      <c r="C29" s="650">
        <v>38060.000004000001</v>
      </c>
    </row>
    <row r="30" spans="2:14">
      <c r="B30" s="651">
        <v>2030</v>
      </c>
      <c r="C30" s="650">
        <v>38060.000004000001</v>
      </c>
    </row>
    <row r="31" spans="2:14">
      <c r="B31" s="651">
        <v>2031</v>
      </c>
      <c r="C31" s="650">
        <v>38060.000004000001</v>
      </c>
    </row>
    <row r="32" spans="2:14">
      <c r="B32" s="651">
        <v>2032</v>
      </c>
      <c r="C32" s="650">
        <v>38060.000004000001</v>
      </c>
    </row>
    <row r="33" spans="2:3">
      <c r="B33" s="651">
        <v>2033</v>
      </c>
      <c r="C33" s="650">
        <v>38060.000004000001</v>
      </c>
    </row>
  </sheetData>
  <pageMargins left="0.7" right="0.7" top="0.75" bottom="0.75" header="0.3" footer="0.3"/>
  <pageSetup scale="68"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B18"/>
  <sheetViews>
    <sheetView showGridLines="0" topLeftCell="A3" zoomScaleNormal="100" zoomScaleSheetLayoutView="100" workbookViewId="0">
      <selection activeCell="B18" sqref="B18"/>
    </sheetView>
  </sheetViews>
  <sheetFormatPr defaultRowHeight="12.75"/>
  <cols>
    <col min="1" max="1" width="18.7109375" style="53" customWidth="1"/>
    <col min="2" max="2" width="12.28515625" style="53" customWidth="1"/>
    <col min="3" max="16384" width="9.140625" style="53"/>
  </cols>
  <sheetData>
    <row r="1" spans="1:2" ht="15">
      <c r="A1" s="562" t="s">
        <v>943</v>
      </c>
      <c r="B1" s="563">
        <v>2025</v>
      </c>
    </row>
    <row r="3" spans="1:2">
      <c r="A3" s="54" t="s">
        <v>213</v>
      </c>
    </row>
    <row r="4" spans="1:2">
      <c r="A4" s="55"/>
      <c r="B4" s="55" t="s">
        <v>68</v>
      </c>
    </row>
    <row r="5" spans="1:2">
      <c r="A5" s="49" t="s">
        <v>353</v>
      </c>
      <c r="B5" s="51">
        <v>13</v>
      </c>
    </row>
    <row r="6" spans="1:2">
      <c r="A6" s="681">
        <f>DATE($B$1,1,1)</f>
        <v>45658</v>
      </c>
      <c r="B6" s="650">
        <v>5960656.5606945679</v>
      </c>
    </row>
    <row r="7" spans="1:2">
      <c r="A7" s="682">
        <f>DATE($B$1,2,1)</f>
        <v>45689</v>
      </c>
      <c r="B7" s="650">
        <v>5287519.6316386191</v>
      </c>
    </row>
    <row r="8" spans="1:2">
      <c r="A8" s="682">
        <f>DATE($B$1,3,1)</f>
        <v>45717</v>
      </c>
      <c r="B8" s="650">
        <v>5598749.3795848293</v>
      </c>
    </row>
    <row r="9" spans="1:2">
      <c r="A9" s="682">
        <f>DATE($B$1,4,1)</f>
        <v>45748</v>
      </c>
      <c r="B9" s="650">
        <v>5483049.4261670783</v>
      </c>
    </row>
    <row r="10" spans="1:2">
      <c r="A10" s="682">
        <f>DATE($B$1,5,1)</f>
        <v>45778</v>
      </c>
      <c r="B10" s="650">
        <v>5948996.1956067504</v>
      </c>
    </row>
    <row r="11" spans="1:2">
      <c r="A11" s="682">
        <f>DATE($B$1,6,1)</f>
        <v>45809</v>
      </c>
      <c r="B11" s="650">
        <v>5319581.8250651313</v>
      </c>
    </row>
    <row r="12" spans="1:2">
      <c r="A12" s="682">
        <f>DATE($B$1,7,1)</f>
        <v>45839</v>
      </c>
      <c r="B12" s="650">
        <v>5600320.8003984122</v>
      </c>
    </row>
    <row r="13" spans="1:2">
      <c r="A13" s="682">
        <f>DATE($B$1,8,1)</f>
        <v>45870</v>
      </c>
      <c r="B13" s="650">
        <v>5618097.7702116678</v>
      </c>
    </row>
    <row r="14" spans="1:2">
      <c r="A14" s="682">
        <f>DATE($B$1,9,1)</f>
        <v>45901</v>
      </c>
      <c r="B14" s="650">
        <v>5372854.6653006291</v>
      </c>
    </row>
    <row r="15" spans="1:2">
      <c r="A15" s="682">
        <f>DATE($B$1,10,1)</f>
        <v>45931</v>
      </c>
      <c r="B15" s="650">
        <v>6127725.5217753472</v>
      </c>
    </row>
    <row r="16" spans="1:2">
      <c r="A16" s="682">
        <f>DATE($B$1,11,1)</f>
        <v>45962</v>
      </c>
      <c r="B16" s="650">
        <v>4112408.0154172475</v>
      </c>
    </row>
    <row r="17" spans="1:2">
      <c r="A17" s="681">
        <f>DATE($B$1,12,1)</f>
        <v>45992</v>
      </c>
      <c r="B17" s="650">
        <v>5096949.2081397129</v>
      </c>
    </row>
    <row r="18" spans="1:2" ht="15">
      <c r="A18" s="652" t="s">
        <v>15</v>
      </c>
      <c r="B18" s="653">
        <f>SUM(B6:B17)</f>
        <v>65526908.999999993</v>
      </c>
    </row>
  </sheetData>
  <pageMargins left="0.7" right="0.7" top="0.75" bottom="0.75" header="0.3" footer="0.3"/>
  <pageSetup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H68"/>
  <sheetViews>
    <sheetView showGridLines="0" zoomScale="90" zoomScaleNormal="90" zoomScaleSheetLayoutView="100" workbookViewId="0">
      <pane ySplit="7" topLeftCell="A38" activePane="bottomLeft" state="frozen"/>
      <selection activeCell="C6" sqref="C6"/>
      <selection pane="bottomLeft" activeCell="E57" sqref="E57"/>
    </sheetView>
  </sheetViews>
  <sheetFormatPr defaultRowHeight="15"/>
  <cols>
    <col min="1" max="1" width="30.5703125" style="60" bestFit="1" customWidth="1"/>
    <col min="2" max="2" width="17.85546875" style="60" customWidth="1"/>
    <col min="3" max="3" width="15.42578125" style="61" customWidth="1"/>
    <col min="4" max="4" width="17.85546875" style="60" customWidth="1"/>
    <col min="5" max="5" width="17.28515625" style="60" customWidth="1"/>
    <col min="6" max="6" width="3.5703125" style="60" customWidth="1"/>
    <col min="7" max="8" width="17.28515625" style="60" customWidth="1"/>
    <col min="9" max="9" width="9.140625" style="60"/>
    <col min="10" max="10" width="19.7109375" style="60" bestFit="1" customWidth="1"/>
    <col min="11" max="11" width="17.28515625" style="60" bestFit="1" customWidth="1"/>
    <col min="12" max="12" width="9.140625" style="60"/>
    <col min="13" max="13" width="33.5703125" style="60" bestFit="1" customWidth="1"/>
    <col min="14" max="14" width="9.140625" style="60"/>
    <col min="15" max="16" width="15.7109375" style="60" customWidth="1"/>
    <col min="17" max="16384" width="9.140625" style="60"/>
  </cols>
  <sheetData>
    <row r="1" spans="1:8">
      <c r="A1" s="562"/>
      <c r="B1" s="562"/>
      <c r="C1" s="562"/>
      <c r="D1" s="562"/>
    </row>
    <row r="2" spans="1:8">
      <c r="A2" s="78" t="s">
        <v>459</v>
      </c>
    </row>
    <row r="3" spans="1:8">
      <c r="A3" s="77" t="s">
        <v>458</v>
      </c>
    </row>
    <row r="4" spans="1:8">
      <c r="A4" s="76" t="s">
        <v>1232</v>
      </c>
    </row>
    <row r="6" spans="1:8" ht="26.25">
      <c r="A6" s="75" t="s">
        <v>457</v>
      </c>
      <c r="B6" s="75" t="s">
        <v>456</v>
      </c>
      <c r="C6" s="74" t="s">
        <v>455</v>
      </c>
      <c r="D6" s="72" t="s">
        <v>454</v>
      </c>
      <c r="E6" s="72" t="s">
        <v>453</v>
      </c>
      <c r="F6" s="72"/>
      <c r="G6" s="73" t="s">
        <v>452</v>
      </c>
      <c r="H6" s="72" t="s">
        <v>451</v>
      </c>
    </row>
    <row r="7" spans="1:8">
      <c r="A7" s="71"/>
      <c r="B7" s="68" t="s">
        <v>283</v>
      </c>
      <c r="C7" s="70" t="s">
        <v>285</v>
      </c>
      <c r="D7" s="68" t="s">
        <v>450</v>
      </c>
      <c r="E7" s="69" t="s">
        <v>287</v>
      </c>
      <c r="F7" s="68"/>
      <c r="G7" s="67" t="s">
        <v>289</v>
      </c>
      <c r="H7" s="66" t="s">
        <v>449</v>
      </c>
    </row>
    <row r="8" spans="1:8">
      <c r="C8" s="60"/>
    </row>
    <row r="9" spans="1:8">
      <c r="C9" s="60"/>
    </row>
    <row r="10" spans="1:8">
      <c r="A10" s="60" t="s">
        <v>1101</v>
      </c>
      <c r="B10" s="60">
        <v>32500000</v>
      </c>
      <c r="C10" s="61">
        <f t="shared" ref="C10:C34" si="0">IF(D10=0,0,D10/B10)</f>
        <v>12</v>
      </c>
      <c r="D10" s="60">
        <v>390000000</v>
      </c>
      <c r="E10" s="63">
        <f t="shared" ref="E10:E46" si="1">D10/$D$62</f>
        <v>9.413072724255787E-3</v>
      </c>
      <c r="G10" s="63">
        <v>7.1278351342996399E-2</v>
      </c>
      <c r="H10" s="542">
        <f t="shared" ref="H10:H34" si="2">G10*E10</f>
        <v>6.7094830485668025E-4</v>
      </c>
    </row>
    <row r="11" spans="1:8">
      <c r="A11" s="60" t="s">
        <v>1102</v>
      </c>
      <c r="B11" s="60">
        <v>17500000</v>
      </c>
      <c r="C11" s="61">
        <f t="shared" si="0"/>
        <v>12</v>
      </c>
      <c r="D11" s="60">
        <v>210000000</v>
      </c>
      <c r="E11" s="63">
        <f t="shared" si="1"/>
        <v>5.0685776207531159E-3</v>
      </c>
      <c r="G11" s="63">
        <v>7.1188037527686293E-2</v>
      </c>
      <c r="H11" s="542">
        <f t="shared" si="2"/>
        <v>3.6082209387816372E-4</v>
      </c>
    </row>
    <row r="12" spans="1:8">
      <c r="A12" s="60" t="s">
        <v>1103</v>
      </c>
      <c r="B12" s="60">
        <v>99500000</v>
      </c>
      <c r="C12" s="61">
        <f t="shared" si="0"/>
        <v>11.819095477386934</v>
      </c>
      <c r="D12" s="60">
        <v>1176000000</v>
      </c>
      <c r="E12" s="63">
        <f t="shared" si="1"/>
        <v>2.8384034676217449E-2</v>
      </c>
      <c r="G12" s="63">
        <v>6.8513400000000002E-2</v>
      </c>
      <c r="H12" s="542">
        <f t="shared" si="2"/>
        <v>1.9446867213855567E-3</v>
      </c>
    </row>
    <row r="13" spans="1:8">
      <c r="A13" s="60" t="s">
        <v>1104</v>
      </c>
      <c r="B13" s="60">
        <v>100000000</v>
      </c>
      <c r="C13" s="61">
        <f t="shared" si="0"/>
        <v>12</v>
      </c>
      <c r="D13" s="60">
        <v>1200000000</v>
      </c>
      <c r="E13" s="63">
        <f t="shared" si="1"/>
        <v>2.8963300690017804E-2</v>
      </c>
      <c r="G13" s="63">
        <v>5.6384070000000001E-2</v>
      </c>
      <c r="H13" s="542">
        <f t="shared" si="2"/>
        <v>1.6330687735370121E-3</v>
      </c>
    </row>
    <row r="14" spans="1:8">
      <c r="A14" s="60" t="s">
        <v>1105</v>
      </c>
      <c r="B14" s="60">
        <v>250000000</v>
      </c>
      <c r="C14" s="61">
        <f t="shared" si="0"/>
        <v>12</v>
      </c>
      <c r="D14" s="60">
        <v>3000000000</v>
      </c>
      <c r="E14" s="63">
        <f t="shared" si="1"/>
        <v>7.2408251725044517E-2</v>
      </c>
      <c r="G14" s="63">
        <v>5.9594920000000003E-2</v>
      </c>
      <c r="H14" s="542">
        <f t="shared" si="2"/>
        <v>4.3151639688938899E-3</v>
      </c>
    </row>
    <row r="15" spans="1:8">
      <c r="A15" s="60" t="s">
        <v>1106</v>
      </c>
      <c r="B15" s="60">
        <v>50000000</v>
      </c>
      <c r="C15" s="61">
        <f t="shared" si="0"/>
        <v>12</v>
      </c>
      <c r="D15" s="60">
        <v>600000000</v>
      </c>
      <c r="E15" s="63">
        <f t="shared" si="1"/>
        <v>1.4481650345008902E-2</v>
      </c>
      <c r="G15" s="63">
        <v>5.7704030000000003E-2</v>
      </c>
      <c r="H15" s="542">
        <f t="shared" si="2"/>
        <v>8.356495859579041E-4</v>
      </c>
    </row>
    <row r="16" spans="1:8">
      <c r="A16" s="60" t="s">
        <v>1107</v>
      </c>
      <c r="B16" s="60">
        <v>75000000</v>
      </c>
      <c r="C16" s="61">
        <f t="shared" si="0"/>
        <v>12</v>
      </c>
      <c r="D16" s="60">
        <v>900000000</v>
      </c>
      <c r="E16" s="63">
        <f t="shared" si="1"/>
        <v>2.1722475517513353E-2</v>
      </c>
      <c r="G16" s="63">
        <v>4.22301E-2</v>
      </c>
      <c r="H16" s="542">
        <f t="shared" si="2"/>
        <v>9.1734231335214059E-4</v>
      </c>
    </row>
    <row r="17" spans="1:8">
      <c r="A17" s="60" t="s">
        <v>1108</v>
      </c>
      <c r="B17" s="60">
        <v>75000000</v>
      </c>
      <c r="C17" s="61">
        <f t="shared" si="0"/>
        <v>12</v>
      </c>
      <c r="D17" s="60">
        <v>900000000</v>
      </c>
      <c r="E17" s="63">
        <f t="shared" si="1"/>
        <v>2.1722475517513353E-2</v>
      </c>
      <c r="G17" s="63">
        <v>4.3236339999999998E-2</v>
      </c>
      <c r="H17" s="542">
        <f t="shared" si="2"/>
        <v>9.392003371168833E-4</v>
      </c>
    </row>
    <row r="18" spans="1:8">
      <c r="A18" s="60" t="s">
        <v>1109</v>
      </c>
      <c r="B18" s="60">
        <v>150000000</v>
      </c>
      <c r="C18" s="61">
        <f t="shared" si="0"/>
        <v>12</v>
      </c>
      <c r="D18" s="60">
        <v>1800000000</v>
      </c>
      <c r="E18" s="63">
        <f t="shared" si="1"/>
        <v>4.3444951035026706E-2</v>
      </c>
      <c r="G18" s="63">
        <v>5.2139390000000001E-2</v>
      </c>
      <c r="H18" s="542">
        <f t="shared" si="2"/>
        <v>2.2651932455461611E-3</v>
      </c>
    </row>
    <row r="19" spans="1:8">
      <c r="A19" s="60" t="s">
        <v>1110</v>
      </c>
      <c r="B19" s="60">
        <v>150000000</v>
      </c>
      <c r="C19" s="61">
        <f t="shared" si="0"/>
        <v>12</v>
      </c>
      <c r="D19" s="60">
        <v>1800000000</v>
      </c>
      <c r="E19" s="63">
        <f t="shared" si="1"/>
        <v>4.3444951035026706E-2</v>
      </c>
      <c r="G19" s="63">
        <v>4.4115910000000001E-2</v>
      </c>
      <c r="H19" s="542">
        <f t="shared" si="2"/>
        <v>1.916613549815645E-3</v>
      </c>
    </row>
    <row r="20" spans="1:8">
      <c r="A20" s="60" t="s">
        <v>1111</v>
      </c>
      <c r="B20" s="60">
        <v>50000000</v>
      </c>
      <c r="C20" s="61">
        <f t="shared" si="0"/>
        <v>12</v>
      </c>
      <c r="D20" s="60">
        <v>600000000</v>
      </c>
      <c r="E20" s="63">
        <f t="shared" si="1"/>
        <v>1.4481650345008902E-2</v>
      </c>
      <c r="G20" s="63">
        <v>3.7961979999999999E-2</v>
      </c>
      <c r="H20" s="542">
        <f t="shared" si="2"/>
        <v>5.4975212076422103E-4</v>
      </c>
    </row>
    <row r="21" spans="1:8">
      <c r="A21" s="60" t="s">
        <v>1112</v>
      </c>
      <c r="B21" s="60">
        <v>50000000</v>
      </c>
      <c r="C21" s="61">
        <f t="shared" si="0"/>
        <v>12</v>
      </c>
      <c r="D21" s="60">
        <v>600000000</v>
      </c>
      <c r="E21" s="63">
        <f t="shared" si="1"/>
        <v>1.4481650345008902E-2</v>
      </c>
      <c r="G21" s="63">
        <v>4.7147309999999998E-2</v>
      </c>
      <c r="H21" s="542">
        <f t="shared" si="2"/>
        <v>6.8277085812774158E-4</v>
      </c>
    </row>
    <row r="22" spans="1:8">
      <c r="A22" s="60" t="s">
        <v>1113</v>
      </c>
      <c r="B22" s="60">
        <v>29000000</v>
      </c>
      <c r="C22" s="61">
        <f t="shared" si="0"/>
        <v>12</v>
      </c>
      <c r="D22" s="60">
        <v>348000000</v>
      </c>
      <c r="E22" s="63">
        <f t="shared" si="1"/>
        <v>8.399357200105163E-3</v>
      </c>
      <c r="G22" s="63">
        <v>3.6534560000000001E-2</v>
      </c>
      <c r="H22" s="542">
        <f t="shared" si="2"/>
        <v>3.0686681958867409E-4</v>
      </c>
    </row>
    <row r="23" spans="1:8">
      <c r="A23" s="60" t="s">
        <v>1114</v>
      </c>
      <c r="B23" s="60">
        <v>47000000</v>
      </c>
      <c r="C23" s="61">
        <f t="shared" si="0"/>
        <v>12</v>
      </c>
      <c r="D23" s="60">
        <v>564000000</v>
      </c>
      <c r="E23" s="63">
        <f t="shared" si="1"/>
        <v>1.3612751324308368E-2</v>
      </c>
      <c r="G23" s="63">
        <v>4.3497840000000003E-2</v>
      </c>
      <c r="H23" s="542">
        <f t="shared" si="2"/>
        <v>5.9212527906455357E-4</v>
      </c>
    </row>
    <row r="24" spans="1:8">
      <c r="A24" s="60" t="s">
        <v>1115</v>
      </c>
      <c r="B24" s="60">
        <v>50000000</v>
      </c>
      <c r="C24" s="61">
        <f t="shared" si="0"/>
        <v>3.4666666666666668</v>
      </c>
      <c r="D24" s="60">
        <v>173333333.33333334</v>
      </c>
      <c r="E24" s="63">
        <f t="shared" si="1"/>
        <v>4.1835878774470169E-3</v>
      </c>
      <c r="G24" s="63">
        <v>3.5195499999999998E-2</v>
      </c>
      <c r="H24" s="542">
        <f t="shared" si="2"/>
        <v>1.4724346714068648E-4</v>
      </c>
    </row>
    <row r="25" spans="1:8">
      <c r="A25" s="60" t="s">
        <v>1116</v>
      </c>
      <c r="B25" s="60">
        <v>21000000</v>
      </c>
      <c r="C25" s="61">
        <f t="shared" si="0"/>
        <v>12</v>
      </c>
      <c r="D25" s="60">
        <v>252000000</v>
      </c>
      <c r="E25" s="63">
        <f t="shared" si="1"/>
        <v>6.0822931449037391E-3</v>
      </c>
      <c r="G25" s="63">
        <v>3.7555764301321598E-2</v>
      </c>
      <c r="H25" s="542">
        <f t="shared" si="2"/>
        <v>2.2842516776154891E-4</v>
      </c>
    </row>
    <row r="26" spans="1:8">
      <c r="A26" s="60" t="s">
        <v>1117</v>
      </c>
      <c r="B26" s="60">
        <v>28000000</v>
      </c>
      <c r="C26" s="61">
        <f t="shared" si="0"/>
        <v>12</v>
      </c>
      <c r="D26" s="60">
        <v>336000000</v>
      </c>
      <c r="E26" s="63">
        <f t="shared" si="1"/>
        <v>8.1097241932049854E-3</v>
      </c>
      <c r="G26" s="63">
        <v>4.45173351187826E-2</v>
      </c>
      <c r="H26" s="542">
        <f t="shared" si="2"/>
        <v>3.6102330962980517E-4</v>
      </c>
    </row>
    <row r="27" spans="1:8">
      <c r="A27" s="60" t="s">
        <v>1118</v>
      </c>
      <c r="B27" s="60">
        <v>150000000</v>
      </c>
      <c r="C27" s="61">
        <f t="shared" si="0"/>
        <v>12</v>
      </c>
      <c r="D27" s="60">
        <v>1800000000</v>
      </c>
      <c r="E27" s="63">
        <f t="shared" si="1"/>
        <v>4.3444951035026706E-2</v>
      </c>
      <c r="G27" s="63">
        <v>4.0099477260809098E-2</v>
      </c>
      <c r="H27" s="542">
        <f t="shared" si="2"/>
        <v>1.7421198261260182E-3</v>
      </c>
    </row>
    <row r="28" spans="1:8">
      <c r="A28" s="60" t="s">
        <v>1119</v>
      </c>
      <c r="B28" s="60">
        <v>50000000</v>
      </c>
      <c r="C28" s="61">
        <f t="shared" si="0"/>
        <v>12</v>
      </c>
      <c r="D28" s="60">
        <v>600000000</v>
      </c>
      <c r="E28" s="63">
        <f t="shared" si="1"/>
        <v>1.4481650345008902E-2</v>
      </c>
      <c r="G28" s="63">
        <v>3.2665647958933598E-2</v>
      </c>
      <c r="H28" s="542">
        <f t="shared" si="2"/>
        <v>4.7305249203443008E-4</v>
      </c>
    </row>
    <row r="29" spans="1:8">
      <c r="A29" s="60" t="s">
        <v>1120</v>
      </c>
      <c r="B29" s="60">
        <v>75000000</v>
      </c>
      <c r="C29" s="61">
        <f t="shared" si="0"/>
        <v>12</v>
      </c>
      <c r="D29" s="60">
        <v>900000000</v>
      </c>
      <c r="E29" s="63">
        <f t="shared" si="1"/>
        <v>2.1722475517513353E-2</v>
      </c>
      <c r="G29" s="63">
        <v>3.9695457099301001E-2</v>
      </c>
      <c r="H29" s="542">
        <f t="shared" si="2"/>
        <v>8.6228359499606764E-4</v>
      </c>
    </row>
    <row r="30" spans="1:8">
      <c r="A30" s="60" t="s">
        <v>1121</v>
      </c>
      <c r="B30" s="60">
        <v>100000000</v>
      </c>
      <c r="C30" s="61">
        <f t="shared" si="0"/>
        <v>12</v>
      </c>
      <c r="D30" s="60">
        <v>1200000000</v>
      </c>
      <c r="E30" s="63">
        <f t="shared" si="1"/>
        <v>2.8963300690017804E-2</v>
      </c>
      <c r="G30" s="63">
        <v>3.7697291507074002E-2</v>
      </c>
      <c r="H30" s="542">
        <f t="shared" si="2"/>
        <v>1.0918379891186388E-3</v>
      </c>
    </row>
    <row r="31" spans="1:8">
      <c r="A31" s="60" t="s">
        <v>1122</v>
      </c>
      <c r="B31" s="60">
        <v>100000000</v>
      </c>
      <c r="C31" s="61">
        <f t="shared" si="0"/>
        <v>12</v>
      </c>
      <c r="D31" s="60">
        <v>1200000000</v>
      </c>
      <c r="E31" s="63">
        <f t="shared" si="1"/>
        <v>2.8963300690017804E-2</v>
      </c>
      <c r="G31" s="63">
        <v>4.0018115066643399E-2</v>
      </c>
      <c r="H31" s="542">
        <f t="shared" si="2"/>
        <v>1.1590566997229247E-3</v>
      </c>
    </row>
    <row r="32" spans="1:8">
      <c r="A32" s="60" t="s">
        <v>1123</v>
      </c>
      <c r="B32" s="60">
        <v>100000000</v>
      </c>
      <c r="C32" s="61">
        <f>IF(D32=0,0,D32/B32)</f>
        <v>12</v>
      </c>
      <c r="D32" s="60">
        <v>1200000000</v>
      </c>
      <c r="E32" s="63">
        <f t="shared" si="1"/>
        <v>2.8963300690017804E-2</v>
      </c>
      <c r="G32" s="63">
        <v>4.1586644349136198E-2</v>
      </c>
      <c r="H32" s="542">
        <f>G32*E32</f>
        <v>1.2044864849728614E-3</v>
      </c>
    </row>
    <row r="33" spans="1:8">
      <c r="A33" s="60" t="s">
        <v>1124</v>
      </c>
      <c r="B33" s="60">
        <v>200000000</v>
      </c>
      <c r="C33" s="61">
        <f t="shared" si="0"/>
        <v>12</v>
      </c>
      <c r="D33" s="60">
        <v>2400000000</v>
      </c>
      <c r="E33" s="63">
        <f t="shared" si="1"/>
        <v>5.7926601380035608E-2</v>
      </c>
      <c r="G33" s="63">
        <v>3.58877047725496E-2</v>
      </c>
      <c r="H33" s="542">
        <f t="shared" si="2"/>
        <v>2.0788527688038821E-3</v>
      </c>
    </row>
    <row r="34" spans="1:8">
      <c r="A34" s="60" t="s">
        <v>1125</v>
      </c>
      <c r="B34" s="60">
        <v>100000000</v>
      </c>
      <c r="C34" s="61">
        <f t="shared" si="0"/>
        <v>12</v>
      </c>
      <c r="D34" s="60">
        <v>1200000000</v>
      </c>
      <c r="E34" s="63">
        <f t="shared" si="1"/>
        <v>2.8963300690017804E-2</v>
      </c>
      <c r="G34" s="63">
        <v>3.8421363085919001E-2</v>
      </c>
      <c r="H34" s="542">
        <f t="shared" si="2"/>
        <v>1.1128094919778224E-3</v>
      </c>
    </row>
    <row r="35" spans="1:8">
      <c r="A35" s="60" t="s">
        <v>1126</v>
      </c>
      <c r="B35" s="60">
        <v>100000000</v>
      </c>
      <c r="C35" s="61">
        <f t="shared" ref="C35:C41" si="3">IF(D35=0,0,D35/B35)</f>
        <v>12</v>
      </c>
      <c r="D35" s="60">
        <v>1200000000</v>
      </c>
      <c r="E35" s="543">
        <f t="shared" si="1"/>
        <v>2.8963300690017804E-2</v>
      </c>
      <c r="G35" s="63">
        <v>3.8872911154685698E-2</v>
      </c>
      <c r="H35" s="544">
        <f t="shared" ref="H35:H41" si="4">G35*E35</f>
        <v>1.1258878144695091E-3</v>
      </c>
    </row>
    <row r="36" spans="1:8">
      <c r="A36" s="60" t="s">
        <v>1127</v>
      </c>
      <c r="B36" s="60">
        <v>100000000</v>
      </c>
      <c r="C36" s="61">
        <f t="shared" si="3"/>
        <v>12</v>
      </c>
      <c r="D36" s="60">
        <v>1200000000</v>
      </c>
      <c r="E36" s="543">
        <f t="shared" si="1"/>
        <v>2.8963300690017804E-2</v>
      </c>
      <c r="G36" s="63">
        <v>3.2893776818093197E-2</v>
      </c>
      <c r="H36" s="544">
        <f t="shared" si="4"/>
        <v>9.5271234881277032E-4</v>
      </c>
    </row>
    <row r="37" spans="1:8">
      <c r="A37" s="60" t="s">
        <v>1060</v>
      </c>
      <c r="B37" s="60">
        <v>100000000</v>
      </c>
      <c r="C37" s="61">
        <f t="shared" si="3"/>
        <v>12</v>
      </c>
      <c r="D37" s="60">
        <v>1200000000</v>
      </c>
      <c r="E37" s="543">
        <f t="shared" si="1"/>
        <v>2.8963300690017804E-2</v>
      </c>
      <c r="G37" s="63">
        <v>3.1641521700655803E-2</v>
      </c>
      <c r="H37" s="544">
        <f t="shared" si="4"/>
        <v>9.1644290730581756E-4</v>
      </c>
    </row>
    <row r="38" spans="1:8">
      <c r="A38" s="60" t="s">
        <v>995</v>
      </c>
      <c r="B38" s="60">
        <v>50000000</v>
      </c>
      <c r="C38" s="61">
        <f t="shared" si="3"/>
        <v>12</v>
      </c>
      <c r="D38" s="60">
        <v>600000000</v>
      </c>
      <c r="E38" s="543">
        <f t="shared" si="1"/>
        <v>1.4481650345008902E-2</v>
      </c>
      <c r="G38" s="63">
        <v>2.3963656006906801E-2</v>
      </c>
      <c r="H38" s="544">
        <f t="shared" si="4"/>
        <v>3.4703328728009653E-4</v>
      </c>
    </row>
    <row r="39" spans="1:8">
      <c r="A39" s="60" t="s">
        <v>996</v>
      </c>
      <c r="B39" s="60">
        <v>50000000</v>
      </c>
      <c r="C39" s="61">
        <f t="shared" si="3"/>
        <v>12</v>
      </c>
      <c r="D39" s="60">
        <v>600000000</v>
      </c>
      <c r="E39" s="543">
        <f t="shared" si="1"/>
        <v>1.4481650345008902E-2</v>
      </c>
      <c r="G39" s="63">
        <v>3.2145575595014901E-2</v>
      </c>
      <c r="H39" s="544">
        <f t="shared" si="4"/>
        <v>4.6552098590605729E-4</v>
      </c>
    </row>
    <row r="40" spans="1:8">
      <c r="A40" s="60" t="s">
        <v>1099</v>
      </c>
      <c r="B40" s="60">
        <v>50000000</v>
      </c>
      <c r="C40" s="714">
        <f t="shared" si="3"/>
        <v>12</v>
      </c>
      <c r="D40" s="639">
        <v>600000000</v>
      </c>
      <c r="E40" s="543">
        <f t="shared" si="1"/>
        <v>1.4481650345008902E-2</v>
      </c>
      <c r="G40" s="63">
        <v>5.4578156908208997E-2</v>
      </c>
      <c r="H40" s="544">
        <f t="shared" si="4"/>
        <v>7.903817848197148E-4</v>
      </c>
    </row>
    <row r="41" spans="1:8">
      <c r="A41" s="60" t="s">
        <v>1100</v>
      </c>
      <c r="B41" s="60">
        <v>50000000</v>
      </c>
      <c r="C41" s="714">
        <f t="shared" si="3"/>
        <v>12</v>
      </c>
      <c r="D41" s="639">
        <v>600000000</v>
      </c>
      <c r="E41" s="543">
        <f t="shared" si="1"/>
        <v>1.4481650345008902E-2</v>
      </c>
      <c r="G41" s="63">
        <v>5.9784845845678697E-2</v>
      </c>
      <c r="H41" s="544">
        <f t="shared" si="4"/>
        <v>8.657832334673769E-4</v>
      </c>
    </row>
    <row r="42" spans="1:8">
      <c r="A42" s="60" t="s">
        <v>1072</v>
      </c>
      <c r="B42" s="60">
        <v>100000000</v>
      </c>
      <c r="C42" s="714">
        <f t="shared" ref="C42" si="5">IF(D42=0,0,D42/B42)</f>
        <v>12</v>
      </c>
      <c r="D42" s="639">
        <v>1200000000</v>
      </c>
      <c r="E42" s="543">
        <f t="shared" si="1"/>
        <v>2.8963300690017804E-2</v>
      </c>
      <c r="G42" s="63">
        <v>6.0788061660656097E-2</v>
      </c>
      <c r="H42" s="544">
        <f t="shared" ref="H42" si="6">G42*E42</f>
        <v>1.7606229082409255E-3</v>
      </c>
    </row>
    <row r="43" spans="1:8">
      <c r="A43" s="639" t="s">
        <v>1167</v>
      </c>
      <c r="B43" s="60">
        <v>125000000</v>
      </c>
      <c r="C43" s="714">
        <f t="shared" ref="C43:C46" si="7">IF(D43=0,0,D43/B43)</f>
        <v>12</v>
      </c>
      <c r="D43" s="639">
        <v>1500000000</v>
      </c>
      <c r="E43" s="543">
        <f t="shared" si="1"/>
        <v>3.6204125862522259E-2</v>
      </c>
      <c r="G43" s="543">
        <v>5.8975306949749798E-2</v>
      </c>
      <c r="H43" s="544">
        <f t="shared" ref="H43:H46" si="8">G43*E43</f>
        <v>2.1351494355896254E-3</v>
      </c>
    </row>
    <row r="44" spans="1:8">
      <c r="A44" s="639" t="s">
        <v>1168</v>
      </c>
      <c r="B44" s="60">
        <v>125000000</v>
      </c>
      <c r="C44" s="714">
        <f t="shared" si="7"/>
        <v>12</v>
      </c>
      <c r="D44" s="639">
        <v>1500000000</v>
      </c>
      <c r="E44" s="543">
        <f t="shared" si="1"/>
        <v>3.6204125862522259E-2</v>
      </c>
      <c r="G44" s="543">
        <v>6.1281415294167398E-2</v>
      </c>
      <c r="H44" s="544">
        <f t="shared" si="8"/>
        <v>2.2186400723435331E-3</v>
      </c>
    </row>
    <row r="45" spans="1:8">
      <c r="A45" s="639" t="s">
        <v>1169</v>
      </c>
      <c r="B45" s="60">
        <v>125000000</v>
      </c>
      <c r="C45" s="714">
        <f t="shared" si="7"/>
        <v>12</v>
      </c>
      <c r="D45" s="639">
        <v>1500000000</v>
      </c>
      <c r="E45" s="543">
        <f t="shared" si="1"/>
        <v>3.6204125862522259E-2</v>
      </c>
      <c r="G45" s="543">
        <v>6.13E-2</v>
      </c>
      <c r="H45" s="544">
        <f t="shared" si="8"/>
        <v>2.2193129153726143E-3</v>
      </c>
    </row>
    <row r="46" spans="1:8">
      <c r="A46" s="639" t="s">
        <v>1170</v>
      </c>
      <c r="B46" s="60">
        <v>100000000</v>
      </c>
      <c r="C46" s="714">
        <f t="shared" si="7"/>
        <v>11.916666666666664</v>
      </c>
      <c r="D46" s="639">
        <v>1191666666.6666665</v>
      </c>
      <c r="E46" s="543">
        <f t="shared" si="1"/>
        <v>2.8762166657448233E-2</v>
      </c>
      <c r="G46" s="543">
        <v>5.5E-2</v>
      </c>
      <c r="H46" s="544">
        <f t="shared" si="8"/>
        <v>1.5819191661596529E-3</v>
      </c>
    </row>
    <row r="47" spans="1:8">
      <c r="A47" s="678"/>
      <c r="C47" s="714"/>
      <c r="D47" s="639"/>
      <c r="E47" s="543"/>
      <c r="G47" s="63"/>
      <c r="H47" s="544"/>
    </row>
    <row r="48" spans="1:8">
      <c r="E48" s="63"/>
      <c r="G48" s="63"/>
      <c r="H48" s="542"/>
    </row>
    <row r="49" spans="1:8">
      <c r="A49" s="60" t="s">
        <v>448</v>
      </c>
      <c r="B49" s="60">
        <v>254070939.13159204</v>
      </c>
      <c r="C49" s="61">
        <v>1</v>
      </c>
      <c r="D49" s="60">
        <f t="shared" ref="D49:D60" si="9">B49</f>
        <v>254070939.13159204</v>
      </c>
      <c r="E49" s="63">
        <f t="shared" ref="E49:E60" si="10">D49/$D$62</f>
        <v>6.1322775055529261E-3</v>
      </c>
      <c r="G49" s="543">
        <v>4.65E-2</v>
      </c>
      <c r="H49" s="542">
        <f t="shared" ref="H49:H60" si="11">G49*E49</f>
        <v>2.8515090400821108E-4</v>
      </c>
    </row>
    <row r="50" spans="1:8">
      <c r="A50" s="60" t="s">
        <v>447</v>
      </c>
      <c r="B50" s="60">
        <v>233938463.98353955</v>
      </c>
      <c r="C50" s="61">
        <v>1</v>
      </c>
      <c r="D50" s="60">
        <f t="shared" si="9"/>
        <v>233938463.98353955</v>
      </c>
      <c r="E50" s="63">
        <f t="shared" si="10"/>
        <v>5.6463583960967975E-3</v>
      </c>
      <c r="G50" s="543">
        <v>4.65E-2</v>
      </c>
      <c r="H50" s="542">
        <f t="shared" si="11"/>
        <v>2.625556654185011E-4</v>
      </c>
    </row>
    <row r="51" spans="1:8">
      <c r="A51" s="60" t="s">
        <v>446</v>
      </c>
      <c r="B51" s="60">
        <v>297310023.96208888</v>
      </c>
      <c r="C51" s="61">
        <v>1</v>
      </c>
      <c r="D51" s="60">
        <f t="shared" si="9"/>
        <v>297310023.96208888</v>
      </c>
      <c r="E51" s="63">
        <f t="shared" si="10"/>
        <v>7.1758996851419826E-3</v>
      </c>
      <c r="G51" s="543">
        <v>4.65E-2</v>
      </c>
      <c r="H51" s="542">
        <f t="shared" si="11"/>
        <v>3.3367933535910217E-4</v>
      </c>
    </row>
    <row r="52" spans="1:8">
      <c r="A52" s="60" t="s">
        <v>445</v>
      </c>
      <c r="B52" s="60">
        <v>188822514.08273351</v>
      </c>
      <c r="C52" s="61">
        <v>1</v>
      </c>
      <c r="D52" s="60">
        <f t="shared" si="9"/>
        <v>188822514.08273351</v>
      </c>
      <c r="E52" s="63">
        <f t="shared" si="10"/>
        <v>4.5574360436861101E-3</v>
      </c>
      <c r="G52" s="543">
        <v>4.3499999999999997E-2</v>
      </c>
      <c r="H52" s="542">
        <f t="shared" si="11"/>
        <v>1.9824846790034576E-4</v>
      </c>
    </row>
    <row r="53" spans="1:8">
      <c r="A53" s="60" t="s">
        <v>444</v>
      </c>
      <c r="B53" s="60">
        <v>281075689.29228377</v>
      </c>
      <c r="C53" s="61">
        <v>1</v>
      </c>
      <c r="D53" s="60">
        <f t="shared" si="9"/>
        <v>281075689.29228377</v>
      </c>
      <c r="E53" s="63">
        <f t="shared" si="10"/>
        <v>6.7840664213553604E-3</v>
      </c>
      <c r="G53" s="543">
        <v>4.3499999999999997E-2</v>
      </c>
      <c r="H53" s="542">
        <f t="shared" si="11"/>
        <v>2.9510688932895814E-4</v>
      </c>
    </row>
    <row r="54" spans="1:8">
      <c r="A54" s="60" t="s">
        <v>443</v>
      </c>
      <c r="B54" s="60">
        <v>288200423.37244594</v>
      </c>
      <c r="C54" s="61">
        <v>1</v>
      </c>
      <c r="D54" s="60">
        <f>B54</f>
        <v>288200423.37244594</v>
      </c>
      <c r="E54" s="63">
        <f t="shared" si="10"/>
        <v>6.9560296009388229E-3</v>
      </c>
      <c r="G54" s="543">
        <v>4.3499999999999997E-2</v>
      </c>
      <c r="H54" s="542">
        <f t="shared" si="11"/>
        <v>3.0258728764083877E-4</v>
      </c>
    </row>
    <row r="55" spans="1:8">
      <c r="A55" s="60" t="s">
        <v>442</v>
      </c>
      <c r="B55" s="60">
        <v>295916981.46973896</v>
      </c>
      <c r="C55" s="61">
        <v>1</v>
      </c>
      <c r="D55" s="60">
        <f t="shared" si="9"/>
        <v>295916981.46973896</v>
      </c>
      <c r="E55" s="63">
        <f t="shared" si="10"/>
        <v>7.1422770946587303E-3</v>
      </c>
      <c r="G55" s="543">
        <v>4.0500000000000001E-2</v>
      </c>
      <c r="H55" s="542">
        <f t="shared" si="11"/>
        <v>2.8926222233367858E-4</v>
      </c>
    </row>
    <row r="56" spans="1:8">
      <c r="A56" s="60" t="s">
        <v>441</v>
      </c>
      <c r="B56" s="60">
        <v>340280598.01024836</v>
      </c>
      <c r="C56" s="61">
        <v>1</v>
      </c>
      <c r="D56" s="60">
        <f t="shared" si="9"/>
        <v>340280598.01024836</v>
      </c>
      <c r="E56" s="63">
        <f t="shared" si="10"/>
        <v>8.2130410659582483E-3</v>
      </c>
      <c r="G56" s="543">
        <v>4.0500000000000001E-2</v>
      </c>
      <c r="H56" s="542">
        <f t="shared" si="11"/>
        <v>3.3262816317130905E-4</v>
      </c>
    </row>
    <row r="57" spans="1:8">
      <c r="A57" s="60" t="s">
        <v>440</v>
      </c>
      <c r="B57" s="60">
        <v>243677546.00280923</v>
      </c>
      <c r="C57" s="61">
        <v>1</v>
      </c>
      <c r="D57" s="60">
        <f t="shared" si="9"/>
        <v>243677546.00280923</v>
      </c>
      <c r="E57" s="63">
        <f t="shared" si="10"/>
        <v>5.8814216969041745E-3</v>
      </c>
      <c r="G57" s="543">
        <v>4.0500000000000001E-2</v>
      </c>
      <c r="H57" s="542">
        <f t="shared" si="11"/>
        <v>2.3819757872461909E-4</v>
      </c>
    </row>
    <row r="58" spans="1:8">
      <c r="A58" s="60" t="s">
        <v>439</v>
      </c>
      <c r="B58" s="60">
        <v>250855664.58500993</v>
      </c>
      <c r="C58" s="61">
        <v>1</v>
      </c>
      <c r="D58" s="60">
        <f t="shared" si="9"/>
        <v>250855664.58500993</v>
      </c>
      <c r="E58" s="63">
        <f t="shared" si="10"/>
        <v>6.0546733693082446E-3</v>
      </c>
      <c r="G58" s="543">
        <v>3.85E-2</v>
      </c>
      <c r="H58" s="542">
        <f t="shared" si="11"/>
        <v>2.331049247183674E-4</v>
      </c>
    </row>
    <row r="59" spans="1:8">
      <c r="A59" s="60" t="s">
        <v>438</v>
      </c>
      <c r="B59" s="60">
        <v>296436723.67038387</v>
      </c>
      <c r="C59" s="61">
        <v>1</v>
      </c>
      <c r="D59" s="60">
        <f t="shared" si="9"/>
        <v>296436723.67038387</v>
      </c>
      <c r="E59" s="63">
        <f t="shared" si="10"/>
        <v>7.1548216360242051E-3</v>
      </c>
      <c r="G59" s="543">
        <v>3.85E-2</v>
      </c>
      <c r="H59" s="542">
        <f t="shared" si="11"/>
        <v>2.7546063298693191E-4</v>
      </c>
    </row>
    <row r="60" spans="1:8">
      <c r="A60" s="60" t="s">
        <v>437</v>
      </c>
      <c r="B60" s="60">
        <v>220156375.21852544</v>
      </c>
      <c r="C60" s="61">
        <v>1</v>
      </c>
      <c r="D60" s="60">
        <f t="shared" si="9"/>
        <v>220156375.21852544</v>
      </c>
      <c r="E60" s="63">
        <f t="shared" si="10"/>
        <v>5.3137127452321138E-3</v>
      </c>
      <c r="G60" s="543">
        <v>3.85E-2</v>
      </c>
      <c r="H60" s="542">
        <f t="shared" si="11"/>
        <v>2.0457794069143637E-4</v>
      </c>
    </row>
    <row r="61" spans="1:8">
      <c r="G61" s="63"/>
      <c r="H61" s="542"/>
    </row>
    <row r="62" spans="1:8">
      <c r="B62" s="65">
        <f>SUM(B10:B60)</f>
        <v>6415241942.7813997</v>
      </c>
      <c r="D62" s="65">
        <f>SUM(D10:D60)</f>
        <v>41431741942.781395</v>
      </c>
      <c r="E62" s="64">
        <f>SUM(E10:E60)</f>
        <v>1.0000000000000004</v>
      </c>
      <c r="H62" s="64">
        <f>SUM(H10:H60)</f>
        <v>4.7021362136219928E-2</v>
      </c>
    </row>
    <row r="63" spans="1:8">
      <c r="H63" s="63"/>
    </row>
    <row r="64" spans="1:8">
      <c r="A64" s="60" t="s">
        <v>405</v>
      </c>
      <c r="H64" s="62"/>
    </row>
    <row r="65" spans="1:8">
      <c r="A65" s="860" t="s">
        <v>436</v>
      </c>
      <c r="B65" s="860"/>
      <c r="C65" s="860"/>
      <c r="D65" s="860"/>
      <c r="E65" s="860"/>
      <c r="F65" s="860"/>
      <c r="G65" s="860"/>
      <c r="H65" s="860"/>
    </row>
    <row r="66" spans="1:8">
      <c r="A66" s="860" t="s">
        <v>435</v>
      </c>
      <c r="B66" s="860"/>
      <c r="C66" s="860"/>
      <c r="D66" s="860"/>
      <c r="E66" s="860"/>
      <c r="F66" s="860"/>
      <c r="G66" s="860"/>
      <c r="H66" s="860"/>
    </row>
    <row r="67" spans="1:8">
      <c r="A67" s="860" t="s">
        <v>434</v>
      </c>
      <c r="B67" s="860"/>
      <c r="C67" s="860"/>
      <c r="D67" s="860"/>
      <c r="E67" s="860"/>
      <c r="F67" s="860"/>
      <c r="G67" s="860"/>
      <c r="H67" s="860"/>
    </row>
    <row r="68" spans="1:8" ht="33.75" customHeight="1">
      <c r="A68" s="860" t="s">
        <v>433</v>
      </c>
      <c r="B68" s="860"/>
      <c r="C68" s="860"/>
      <c r="D68" s="860"/>
      <c r="E68" s="860"/>
      <c r="F68" s="860"/>
      <c r="G68" s="860"/>
      <c r="H68" s="860"/>
    </row>
  </sheetData>
  <mergeCells count="4">
    <mergeCell ref="A68:H68"/>
    <mergeCell ref="A67:H67"/>
    <mergeCell ref="A66:H66"/>
    <mergeCell ref="A65:H65"/>
  </mergeCells>
  <phoneticPr fontId="67" type="noConversion"/>
  <conditionalFormatting sqref="C10:C48">
    <cfRule type="cellIs" dxfId="6" priority="1" operator="equal">
      <formula>0</formula>
    </cfRule>
    <cfRule type="cellIs" dxfId="5" priority="2" operator="notEqual">
      <formula>12</formula>
    </cfRule>
  </conditionalFormatting>
  <pageMargins left="0.7" right="0.7" top="0.75" bottom="0.75" header="0.3" footer="0.3"/>
  <pageSetup scale="61"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B1:J19"/>
  <sheetViews>
    <sheetView showGridLines="0" zoomScaleNormal="100" zoomScaleSheetLayoutView="100" workbookViewId="0">
      <pane xSplit="2" ySplit="5" topLeftCell="C6" activePane="bottomRight" state="frozen"/>
      <selection activeCell="C6" sqref="C6"/>
      <selection pane="topRight" activeCell="C6" sqref="C6"/>
      <selection pane="bottomLeft" activeCell="C6" sqref="C6"/>
      <selection pane="bottomRight" activeCell="E27" sqref="E27"/>
    </sheetView>
  </sheetViews>
  <sheetFormatPr defaultRowHeight="15"/>
  <cols>
    <col min="2" max="2" width="14.42578125" customWidth="1"/>
    <col min="3" max="10" width="18.42578125" customWidth="1"/>
    <col min="12" max="12" width="18.42578125" customWidth="1"/>
  </cols>
  <sheetData>
    <row r="1" spans="2:10" s="60" customFormat="1">
      <c r="B1" s="562"/>
      <c r="C1" s="562"/>
      <c r="D1" s="562"/>
      <c r="E1" s="562"/>
      <c r="F1"/>
    </row>
    <row r="2" spans="2:10" ht="30">
      <c r="C2" s="26" t="s">
        <v>373</v>
      </c>
      <c r="D2" s="26" t="s">
        <v>374</v>
      </c>
      <c r="E2" s="26" t="s">
        <v>375</v>
      </c>
      <c r="F2" s="26" t="s">
        <v>376</v>
      </c>
      <c r="G2" s="26" t="s">
        <v>15</v>
      </c>
      <c r="H2" s="26" t="s">
        <v>377</v>
      </c>
      <c r="I2" s="26" t="s">
        <v>378</v>
      </c>
      <c r="J2" s="26" t="s">
        <v>379</v>
      </c>
    </row>
    <row r="3" spans="2:10">
      <c r="C3" s="25" t="s">
        <v>419</v>
      </c>
      <c r="D3" s="25" t="s">
        <v>420</v>
      </c>
      <c r="E3" s="25" t="s">
        <v>421</v>
      </c>
      <c r="F3" s="25" t="s">
        <v>422</v>
      </c>
      <c r="G3" s="25" t="s">
        <v>423</v>
      </c>
      <c r="H3" s="25" t="s">
        <v>424</v>
      </c>
      <c r="I3" s="25" t="s">
        <v>428</v>
      </c>
      <c r="J3" s="25" t="s">
        <v>425</v>
      </c>
    </row>
    <row r="4" spans="2:10">
      <c r="C4" s="25" t="s">
        <v>429</v>
      </c>
      <c r="D4" s="25" t="s">
        <v>426</v>
      </c>
      <c r="E4" s="25" t="s">
        <v>427</v>
      </c>
      <c r="F4" s="25" t="s">
        <v>430</v>
      </c>
      <c r="G4" s="25"/>
      <c r="H4" s="25" t="s">
        <v>431</v>
      </c>
      <c r="I4" s="25"/>
      <c r="J4" s="25"/>
    </row>
    <row r="5" spans="2:10">
      <c r="C5" s="25"/>
      <c r="D5" s="25"/>
      <c r="E5" s="25"/>
      <c r="G5" s="25"/>
      <c r="I5" s="25"/>
      <c r="J5" s="25"/>
    </row>
    <row r="6" spans="2:10">
      <c r="B6" s="681">
        <v>45658</v>
      </c>
      <c r="C6" s="650">
        <v>62944423.6381815</v>
      </c>
      <c r="D6" s="650">
        <v>8390257.7203794438</v>
      </c>
      <c r="E6" s="650">
        <v>5777819.53940426</v>
      </c>
      <c r="F6" s="650">
        <v>839054.88</v>
      </c>
      <c r="G6" s="650">
        <v>77951555.777965203</v>
      </c>
      <c r="H6" s="650">
        <v>133333.3328</v>
      </c>
      <c r="I6" s="650">
        <v>78084889.110765204</v>
      </c>
      <c r="J6" s="650">
        <v>1411799.1130416663</v>
      </c>
    </row>
    <row r="7" spans="2:10">
      <c r="B7" s="682">
        <v>45689</v>
      </c>
      <c r="C7" s="650">
        <v>62567239.113711357</v>
      </c>
      <c r="D7" s="650">
        <v>8516350.2070533019</v>
      </c>
      <c r="E7" s="650">
        <v>5772320.4444666319</v>
      </c>
      <c r="F7" s="650">
        <v>905693.8</v>
      </c>
      <c r="G7" s="650">
        <v>77761603.565231293</v>
      </c>
      <c r="H7" s="650">
        <v>133333.3328</v>
      </c>
      <c r="I7" s="650">
        <v>77894936.898031294</v>
      </c>
      <c r="J7" s="650">
        <v>1411799.1130416661</v>
      </c>
    </row>
    <row r="8" spans="2:10">
      <c r="B8" s="682">
        <v>45717</v>
      </c>
      <c r="C8" s="650">
        <v>62747759.477347314</v>
      </c>
      <c r="D8" s="650">
        <v>8471314.5862061866</v>
      </c>
      <c r="E8" s="650">
        <v>5797683.0293697668</v>
      </c>
      <c r="F8" s="650">
        <v>746954.13</v>
      </c>
      <c r="G8" s="650">
        <v>77763711.222923264</v>
      </c>
      <c r="H8" s="650">
        <v>133333.3328</v>
      </c>
      <c r="I8" s="650">
        <v>77897044.555723265</v>
      </c>
      <c r="J8" s="650">
        <v>1411799.1130416666</v>
      </c>
    </row>
    <row r="9" spans="2:10">
      <c r="B9" s="682">
        <v>45748</v>
      </c>
      <c r="C9" s="650">
        <v>64054432.511434436</v>
      </c>
      <c r="D9" s="650">
        <v>8596115.0988483466</v>
      </c>
      <c r="E9" s="650">
        <v>5951904.6571867391</v>
      </c>
      <c r="F9" s="650">
        <v>750058.70000000007</v>
      </c>
      <c r="G9" s="650">
        <v>79352510.967469528</v>
      </c>
      <c r="H9" s="650">
        <v>133333.3328</v>
      </c>
      <c r="I9" s="650">
        <v>79485844.300269529</v>
      </c>
      <c r="J9" s="650">
        <v>1411799.1130416659</v>
      </c>
    </row>
    <row r="10" spans="2:10">
      <c r="B10" s="682">
        <v>45778</v>
      </c>
      <c r="C10" s="650">
        <v>63865618.581523821</v>
      </c>
      <c r="D10" s="650">
        <v>8562194.4395380691</v>
      </c>
      <c r="E10" s="650">
        <v>6103616.631001479</v>
      </c>
      <c r="F10" s="650">
        <v>806416.61</v>
      </c>
      <c r="G10" s="650">
        <v>79337846.262063369</v>
      </c>
      <c r="H10" s="650">
        <v>133333.3328</v>
      </c>
      <c r="I10" s="650">
        <v>79471179.59486337</v>
      </c>
      <c r="J10" s="650">
        <v>1411799.1130416668</v>
      </c>
    </row>
    <row r="11" spans="2:10">
      <c r="B11" s="682">
        <v>45809</v>
      </c>
      <c r="C11" s="650">
        <v>64208959.843856603</v>
      </c>
      <c r="D11" s="650">
        <v>8573448.5979465861</v>
      </c>
      <c r="E11" s="650">
        <v>6198287.3815718545</v>
      </c>
      <c r="F11" s="650">
        <v>766469.76</v>
      </c>
      <c r="G11" s="650">
        <v>79747165.583375052</v>
      </c>
      <c r="H11" s="650">
        <v>133333.3328</v>
      </c>
      <c r="I11" s="650">
        <v>79880498.916175053</v>
      </c>
      <c r="J11" s="650">
        <v>1411799.1130416652</v>
      </c>
    </row>
    <row r="12" spans="2:10">
      <c r="B12" s="682">
        <v>45839</v>
      </c>
      <c r="C12" s="650">
        <v>66495031.56216199</v>
      </c>
      <c r="D12" s="650">
        <v>8606621.2798140645</v>
      </c>
      <c r="E12" s="650">
        <v>6219001.1227647951</v>
      </c>
      <c r="F12" s="650">
        <v>895232.83</v>
      </c>
      <c r="G12" s="650">
        <v>82215886.794740841</v>
      </c>
      <c r="H12" s="650">
        <v>133333.3328</v>
      </c>
      <c r="I12" s="650">
        <v>82349220.127540842</v>
      </c>
      <c r="J12" s="650">
        <v>1411799.1130416687</v>
      </c>
    </row>
    <row r="13" spans="2:10">
      <c r="B13" s="682">
        <v>45870</v>
      </c>
      <c r="C13" s="650">
        <v>66668801.04672464</v>
      </c>
      <c r="D13" s="650">
        <v>8575327.3676306698</v>
      </c>
      <c r="E13" s="650">
        <v>6188246.0892270822</v>
      </c>
      <c r="F13" s="650">
        <v>939623.6</v>
      </c>
      <c r="G13" s="650">
        <v>82371998.103582382</v>
      </c>
      <c r="H13" s="650">
        <v>133333.3328</v>
      </c>
      <c r="I13" s="650">
        <v>82505331.436382383</v>
      </c>
      <c r="J13" s="650">
        <v>1411799.1130416642</v>
      </c>
    </row>
    <row r="14" spans="2:10">
      <c r="B14" s="682">
        <v>45901</v>
      </c>
      <c r="C14" s="650">
        <v>66876310.947611228</v>
      </c>
      <c r="D14" s="650">
        <v>8508300.9805851486</v>
      </c>
      <c r="E14" s="650">
        <v>6243168.5293934681</v>
      </c>
      <c r="F14" s="650">
        <v>804912.55999999994</v>
      </c>
      <c r="G14" s="650">
        <v>82432693.017589837</v>
      </c>
      <c r="H14" s="650">
        <v>133333.3328</v>
      </c>
      <c r="I14" s="650">
        <v>82566026.350389838</v>
      </c>
      <c r="J14" s="650">
        <v>1411799.1130416675</v>
      </c>
    </row>
    <row r="15" spans="2:10">
      <c r="B15" s="682">
        <v>45931</v>
      </c>
      <c r="C15" s="650">
        <v>68105168.642556041</v>
      </c>
      <c r="D15" s="650">
        <v>8612034.476261301</v>
      </c>
      <c r="E15" s="650">
        <v>6140388.4126621457</v>
      </c>
      <c r="F15" s="650">
        <v>875854.24</v>
      </c>
      <c r="G15" s="650">
        <v>83733445.771479487</v>
      </c>
      <c r="H15" s="650">
        <v>133333.3328</v>
      </c>
      <c r="I15" s="650">
        <v>83866779.104279488</v>
      </c>
      <c r="J15" s="650">
        <v>1411799.1130416654</v>
      </c>
    </row>
    <row r="16" spans="2:10">
      <c r="B16" s="682">
        <v>45962</v>
      </c>
      <c r="C16" s="650">
        <v>66492749.982708879</v>
      </c>
      <c r="D16" s="650">
        <v>8312352.0596284149</v>
      </c>
      <c r="E16" s="650">
        <v>6021972.6423590472</v>
      </c>
      <c r="F16" s="650">
        <v>803797.63000000012</v>
      </c>
      <c r="G16" s="650">
        <v>81630872.314696342</v>
      </c>
      <c r="H16" s="650">
        <v>133333.3328</v>
      </c>
      <c r="I16" s="650">
        <v>81764205.647496343</v>
      </c>
      <c r="J16" s="650">
        <v>1411799.1130416654</v>
      </c>
    </row>
    <row r="17" spans="2:10">
      <c r="B17" s="681">
        <v>45992</v>
      </c>
      <c r="C17" s="650">
        <v>67148915.25887309</v>
      </c>
      <c r="D17" s="650">
        <v>8323146.6191563383</v>
      </c>
      <c r="E17" s="650">
        <v>5968277.464927149</v>
      </c>
      <c r="F17" s="650">
        <v>865931.25000000012</v>
      </c>
      <c r="G17" s="650">
        <v>82306270.592956588</v>
      </c>
      <c r="H17" s="650">
        <v>133333.3328</v>
      </c>
      <c r="I17" s="650">
        <v>82439603.925756589</v>
      </c>
      <c r="J17" s="650">
        <v>1411799.1130416647</v>
      </c>
    </row>
    <row r="18" spans="2:10">
      <c r="B18" s="22" t="s">
        <v>15</v>
      </c>
      <c r="C18" s="888">
        <f>ROUND(SUM(C6:C17),0)</f>
        <v>782175411</v>
      </c>
      <c r="D18" s="888">
        <f t="shared" ref="D18:I18" si="0">ROUND(SUM(D6:D17),0)</f>
        <v>102047463</v>
      </c>
      <c r="E18" s="888">
        <f t="shared" si="0"/>
        <v>72382686</v>
      </c>
      <c r="F18" s="888">
        <f t="shared" si="0"/>
        <v>10000000</v>
      </c>
      <c r="G18" s="888">
        <f t="shared" si="0"/>
        <v>966605560</v>
      </c>
      <c r="H18" s="889">
        <f t="shared" si="0"/>
        <v>1600000</v>
      </c>
      <c r="I18" s="889">
        <f t="shared" si="0"/>
        <v>968205560</v>
      </c>
      <c r="J18" s="889">
        <f t="shared" ref="J18" si="1">ROUND(SUM(J6:J17),0)</f>
        <v>16941589</v>
      </c>
    </row>
    <row r="19" spans="2:10">
      <c r="C19" s="517"/>
      <c r="D19" s="517"/>
      <c r="E19" s="517"/>
      <c r="F19" s="517"/>
      <c r="G19" s="517"/>
      <c r="H19" s="518"/>
      <c r="I19" s="518"/>
      <c r="J19" s="518"/>
    </row>
  </sheetData>
  <pageMargins left="0.7" right="0.7" top="0.75" bottom="0.75" header="0.3" footer="0.3"/>
  <pageSetup scale="76" orientation="landscape" verticalDpi="597" r:id="rId1"/>
  <headerFooter>
    <oddHeader>&amp;R&amp;A</oddHead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pageSetUpPr fitToPage="1"/>
  </sheetPr>
  <dimension ref="A3:D24"/>
  <sheetViews>
    <sheetView showGridLines="0" topLeftCell="A4" zoomScaleNormal="100" zoomScaleSheetLayoutView="100" workbookViewId="0">
      <selection activeCell="B21" sqref="B21"/>
    </sheetView>
  </sheetViews>
  <sheetFormatPr defaultRowHeight="15"/>
  <cols>
    <col min="1" max="1" width="45.28515625" style="23" bestFit="1" customWidth="1"/>
    <col min="2" max="2" width="11.28515625" style="23" customWidth="1"/>
    <col min="3" max="3" width="9.140625" style="23"/>
    <col min="4" max="4" width="15" style="24" customWidth="1"/>
    <col min="5" max="5" width="13.28515625" style="23" customWidth="1"/>
    <col min="6" max="16384" width="9.140625" style="23"/>
  </cols>
  <sheetData>
    <row r="3" spans="1:4">
      <c r="A3" s="654"/>
      <c r="B3" s="654"/>
      <c r="C3" s="654"/>
      <c r="D3" s="541"/>
    </row>
    <row r="4" spans="1:4">
      <c r="A4" s="654" t="s">
        <v>5</v>
      </c>
      <c r="B4" s="654"/>
      <c r="C4" s="654"/>
      <c r="D4" s="541"/>
    </row>
    <row r="5" spans="1:4">
      <c r="A5" s="654" t="s">
        <v>407</v>
      </c>
      <c r="B5" s="654"/>
      <c r="C5" s="654"/>
      <c r="D5" s="541"/>
    </row>
    <row r="6" spans="1:4">
      <c r="A6" s="654" t="s">
        <v>1231</v>
      </c>
      <c r="B6" s="654"/>
      <c r="C6" s="654"/>
      <c r="D6" s="541"/>
    </row>
    <row r="7" spans="1:4">
      <c r="A7" s="654"/>
      <c r="B7" s="654"/>
      <c r="C7" s="654"/>
      <c r="D7" s="541"/>
    </row>
    <row r="8" spans="1:4">
      <c r="A8" s="654"/>
      <c r="B8" s="654"/>
      <c r="C8" s="654"/>
      <c r="D8" s="541"/>
    </row>
    <row r="9" spans="1:4">
      <c r="A9" s="654"/>
      <c r="B9" s="654"/>
      <c r="C9" s="654"/>
      <c r="D9" s="541"/>
    </row>
    <row r="10" spans="1:4">
      <c r="A10" s="654"/>
      <c r="B10" s="654"/>
      <c r="C10" s="654"/>
      <c r="D10" s="541"/>
    </row>
    <row r="11" spans="1:4" ht="12.75">
      <c r="A11" s="654" t="s">
        <v>408</v>
      </c>
      <c r="B11" s="654"/>
      <c r="C11" s="654"/>
      <c r="D11" s="655">
        <f>+'SIT (pg. 5)'!C5</f>
        <v>417665278.95196092</v>
      </c>
    </row>
    <row r="12" spans="1:4">
      <c r="A12" s="654"/>
      <c r="B12" s="654"/>
      <c r="C12" s="654"/>
      <c r="D12" s="541"/>
    </row>
    <row r="13" spans="1:4">
      <c r="A13" s="654" t="s">
        <v>409</v>
      </c>
      <c r="B13" s="654"/>
      <c r="C13" s="660">
        <f>'ATC Att O ER22-1602'!I274</f>
        <v>5.2400000000000002E-2</v>
      </c>
      <c r="D13" s="541"/>
    </row>
    <row r="14" spans="1:4">
      <c r="A14" s="654" t="s">
        <v>386</v>
      </c>
      <c r="B14" s="654"/>
      <c r="C14" s="660">
        <f>'ATC Att O ER22-1602'!I275</f>
        <v>7.591068106810997E-2</v>
      </c>
      <c r="D14" s="541"/>
    </row>
    <row r="15" spans="1:4" ht="12.75">
      <c r="A15" s="654" t="s">
        <v>410</v>
      </c>
      <c r="B15" s="654"/>
      <c r="C15" s="654"/>
      <c r="D15" s="671">
        <f>+C13/C14</f>
        <v>0.69028494096877768</v>
      </c>
    </row>
    <row r="16" spans="1:4">
      <c r="A16" s="654"/>
      <c r="B16" s="654"/>
      <c r="C16" s="654"/>
      <c r="D16" s="541"/>
    </row>
    <row r="17" spans="1:4" ht="12.75">
      <c r="A17" s="654" t="s">
        <v>411</v>
      </c>
      <c r="B17" s="654"/>
      <c r="C17" s="654"/>
      <c r="D17" s="655">
        <f>+D11*D15</f>
        <v>288308052.42606241</v>
      </c>
    </row>
    <row r="18" spans="1:4">
      <c r="A18" s="654"/>
      <c r="B18" s="654"/>
      <c r="C18" s="654"/>
      <c r="D18" s="658"/>
    </row>
    <row r="19" spans="1:4" ht="12.75">
      <c r="A19" s="654" t="s">
        <v>412</v>
      </c>
      <c r="B19" s="654"/>
      <c r="C19" s="654"/>
      <c r="D19" s="672">
        <f>+'SIT (pg. 5)'!C6</f>
        <v>86073160.518181652</v>
      </c>
    </row>
    <row r="20" spans="1:4">
      <c r="A20" s="654"/>
      <c r="B20" s="654"/>
      <c r="C20" s="654"/>
      <c r="D20" s="658"/>
    </row>
    <row r="21" spans="1:4" ht="12.75">
      <c r="A21" s="654" t="s">
        <v>413</v>
      </c>
      <c r="B21" s="654"/>
      <c r="C21" s="654"/>
      <c r="D21" s="655">
        <f>+D17+D19</f>
        <v>374381212.94424403</v>
      </c>
    </row>
    <row r="22" spans="1:4" ht="12.75">
      <c r="A22" s="654" t="s">
        <v>414</v>
      </c>
      <c r="B22" s="654"/>
      <c r="C22" s="654"/>
      <c r="D22" s="655">
        <f>(D21-D19)*(1-'SIT (pg. 5)'!C22)</f>
        <v>34547122.730099916</v>
      </c>
    </row>
    <row r="23" spans="1:4">
      <c r="A23" s="654"/>
      <c r="B23" s="654"/>
      <c r="C23" s="654"/>
      <c r="D23" s="541"/>
    </row>
    <row r="24" spans="1:4" ht="13.5" thickBot="1">
      <c r="A24" s="654" t="s">
        <v>415</v>
      </c>
      <c r="B24" s="654"/>
      <c r="C24" s="654"/>
      <c r="D24" s="565">
        <f>D22/D21</f>
        <v>9.227792831379325E-2</v>
      </c>
    </row>
  </sheetData>
  <pageMargins left="0.7" right="0.7" top="0.75" bottom="0.75" header="0.3" footer="0.3"/>
  <pageSetup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A1:E40"/>
  <sheetViews>
    <sheetView showGridLines="0" zoomScaleNormal="100" zoomScaleSheetLayoutView="100" workbookViewId="0">
      <selection activeCell="H18" sqref="H18"/>
    </sheetView>
  </sheetViews>
  <sheetFormatPr defaultRowHeight="15"/>
  <cols>
    <col min="1" max="1" width="47.140625" style="23" bestFit="1" customWidth="1"/>
    <col min="2" max="2" width="9.140625" style="23"/>
    <col min="3" max="3" width="14.7109375" style="24" customWidth="1"/>
    <col min="4" max="5" width="14.7109375" style="23" customWidth="1"/>
    <col min="6" max="16384" width="9.140625" style="23"/>
  </cols>
  <sheetData>
    <row r="1" spans="1:5">
      <c r="A1" s="654" t="s">
        <v>5</v>
      </c>
      <c r="B1" s="654"/>
      <c r="C1" s="541"/>
      <c r="D1" s="654"/>
      <c r="E1" s="654"/>
    </row>
    <row r="2" spans="1:5">
      <c r="A2" s="654" t="s">
        <v>380</v>
      </c>
      <c r="B2" s="654"/>
      <c r="C2" s="541"/>
      <c r="D2" s="654"/>
      <c r="E2" s="654"/>
    </row>
    <row r="3" spans="1:5">
      <c r="A3" s="654" t="s">
        <v>1231</v>
      </c>
      <c r="B3" s="654"/>
      <c r="C3" s="541"/>
      <c r="D3" s="654"/>
      <c r="E3" s="654"/>
    </row>
    <row r="4" spans="1:5">
      <c r="A4" s="654"/>
      <c r="B4" s="654"/>
      <c r="C4" s="541"/>
      <c r="D4" s="654"/>
      <c r="E4" s="654"/>
    </row>
    <row r="5" spans="1:5" ht="13.5" thickBot="1">
      <c r="A5" s="654" t="s">
        <v>381</v>
      </c>
      <c r="B5" s="654"/>
      <c r="C5" s="655">
        <f>'ATC Att O ER22-1602'!I203</f>
        <v>417665278.95196092</v>
      </c>
      <c r="D5" s="654"/>
      <c r="E5" s="654"/>
    </row>
    <row r="6" spans="1:5" ht="13.5" thickBot="1">
      <c r="A6" s="654" t="s">
        <v>382</v>
      </c>
      <c r="B6" s="654"/>
      <c r="C6" s="661">
        <v>86073160.518181652</v>
      </c>
      <c r="D6" s="654"/>
      <c r="E6" s="848">
        <f>C6-'ATC Att O ER22-1602'!I201</f>
        <v>-8.538365364074707E-6</v>
      </c>
    </row>
    <row r="7" spans="1:5">
      <c r="A7" s="654" t="s">
        <v>383</v>
      </c>
      <c r="B7" s="654"/>
      <c r="C7" s="656">
        <v>0</v>
      </c>
      <c r="D7" s="654"/>
      <c r="E7" s="654"/>
    </row>
    <row r="8" spans="1:5" ht="12.75">
      <c r="A8" s="654" t="s">
        <v>384</v>
      </c>
      <c r="B8" s="654"/>
      <c r="C8" s="657">
        <f>SUM(C5:C7)</f>
        <v>503738439.4701426</v>
      </c>
      <c r="D8" s="654"/>
      <c r="E8" s="654"/>
    </row>
    <row r="9" spans="1:5">
      <c r="A9" s="654"/>
      <c r="B9" s="654"/>
      <c r="C9" s="658"/>
      <c r="D9" s="654"/>
      <c r="E9" s="659"/>
    </row>
    <row r="10" spans="1:5" ht="12.75">
      <c r="A10" s="654" t="s">
        <v>385</v>
      </c>
      <c r="B10" s="660">
        <f>'ATC Att O ER22-1602'!I272</f>
        <v>2.3510681068109964E-2</v>
      </c>
      <c r="C10" s="654"/>
      <c r="D10" s="654"/>
      <c r="E10" s="659"/>
    </row>
    <row r="11" spans="1:5" ht="12.75">
      <c r="A11" s="654" t="s">
        <v>386</v>
      </c>
      <c r="B11" s="660">
        <f>'ATC Att O ER22-1602'!I275</f>
        <v>7.591068106810997E-2</v>
      </c>
      <c r="C11" s="654"/>
      <c r="D11" s="654"/>
      <c r="E11" s="659"/>
    </row>
    <row r="12" spans="1:5" ht="12.75">
      <c r="A12" s="654" t="s">
        <v>387</v>
      </c>
      <c r="B12" s="654"/>
      <c r="C12" s="661">
        <f>B10/B11*C5</f>
        <v>129357226.52589849</v>
      </c>
      <c r="D12" s="654"/>
      <c r="E12" s="662"/>
    </row>
    <row r="13" spans="1:5" ht="12.75">
      <c r="A13" s="654" t="s">
        <v>388</v>
      </c>
      <c r="B13" s="654"/>
      <c r="C13" s="657">
        <f>C8-C12</f>
        <v>374381212.94424415</v>
      </c>
      <c r="D13" s="654"/>
      <c r="E13" s="654"/>
    </row>
    <row r="14" spans="1:5">
      <c r="A14" s="654"/>
      <c r="B14" s="654"/>
      <c r="C14" s="658"/>
      <c r="D14" s="654"/>
      <c r="E14" s="654"/>
    </row>
    <row r="15" spans="1:5" ht="12.75">
      <c r="A15" s="654" t="s">
        <v>389</v>
      </c>
      <c r="B15" s="654"/>
      <c r="C15" s="663">
        <f>C5*C22</f>
        <v>367617652.70414662</v>
      </c>
      <c r="D15" s="654"/>
      <c r="E15" s="654"/>
    </row>
    <row r="16" spans="1:5" ht="12.75">
      <c r="A16" s="654" t="s">
        <v>390</v>
      </c>
      <c r="B16" s="654"/>
      <c r="C16" s="660">
        <f>C35</f>
        <v>7.3803841954999991E-2</v>
      </c>
      <c r="D16" s="654"/>
      <c r="E16" s="661"/>
    </row>
    <row r="17" spans="1:5" ht="12.75">
      <c r="A17" s="654" t="s">
        <v>391</v>
      </c>
      <c r="B17" s="654"/>
      <c r="C17" s="657">
        <f>+C15*C16</f>
        <v>27131595.140044913</v>
      </c>
      <c r="D17" s="654"/>
      <c r="E17" s="654"/>
    </row>
    <row r="18" spans="1:5">
      <c r="A18" s="654"/>
      <c r="B18" s="654"/>
      <c r="C18" s="541"/>
      <c r="D18" s="654"/>
      <c r="E18" s="654"/>
    </row>
    <row r="19" spans="1:5" ht="13.5" thickBot="1">
      <c r="A19" s="654" t="s">
        <v>392</v>
      </c>
      <c r="B19" s="654"/>
      <c r="C19" s="565">
        <f>+C17/C15</f>
        <v>7.3803841954999991E-2</v>
      </c>
      <c r="D19" s="654"/>
      <c r="E19" s="664"/>
    </row>
    <row r="20" spans="1:5" ht="15.75" thickTop="1">
      <c r="A20" s="654"/>
      <c r="B20" s="654"/>
      <c r="C20" s="541"/>
      <c r="D20" s="654"/>
      <c r="E20" s="654"/>
    </row>
    <row r="21" spans="1:5" ht="12.75">
      <c r="A21" s="654"/>
      <c r="B21" s="654"/>
      <c r="C21" s="654"/>
      <c r="D21" s="654"/>
      <c r="E21" s="654"/>
    </row>
    <row r="22" spans="1:5" ht="12.75">
      <c r="A22" s="570" t="s">
        <v>393</v>
      </c>
      <c r="B22" s="654"/>
      <c r="C22" s="660">
        <v>0.88017288299999996</v>
      </c>
      <c r="D22" s="654"/>
      <c r="E22" s="654"/>
    </row>
    <row r="23" spans="1:5" ht="12.75">
      <c r="A23" s="654"/>
      <c r="B23" s="654"/>
      <c r="C23" s="654"/>
      <c r="D23" s="654"/>
      <c r="E23" s="654"/>
    </row>
    <row r="24" spans="1:5" ht="12.75">
      <c r="A24" s="570" t="s">
        <v>394</v>
      </c>
      <c r="B24" s="654"/>
      <c r="C24" s="660">
        <v>0.21</v>
      </c>
      <c r="D24" s="654"/>
      <c r="E24" s="654"/>
    </row>
    <row r="25" spans="1:5" ht="12.75">
      <c r="A25" s="570"/>
      <c r="B25" s="654"/>
      <c r="C25" s="665"/>
      <c r="D25" s="654"/>
      <c r="E25" s="654"/>
    </row>
    <row r="26" spans="1:5" ht="38.25">
      <c r="A26" s="570" t="s">
        <v>395</v>
      </c>
      <c r="B26" s="654"/>
      <c r="C26" s="666" t="s">
        <v>396</v>
      </c>
      <c r="D26" s="667" t="s">
        <v>397</v>
      </c>
      <c r="E26" s="667" t="s">
        <v>398</v>
      </c>
    </row>
    <row r="27" spans="1:5" ht="12.75">
      <c r="A27" s="570"/>
      <c r="B27" s="654"/>
      <c r="C27" s="665"/>
      <c r="D27" s="570"/>
      <c r="E27" s="570"/>
    </row>
    <row r="28" spans="1:5" ht="12.75">
      <c r="A28" s="570" t="s">
        <v>399</v>
      </c>
      <c r="B28" s="654"/>
      <c r="C28" s="665">
        <f t="shared" ref="C28:C33" si="0">E28*D28</f>
        <v>6.2599285658999998E-2</v>
      </c>
      <c r="D28" s="660">
        <v>7.9000000000000001E-2</v>
      </c>
      <c r="E28" s="668">
        <v>0.79239602099999995</v>
      </c>
    </row>
    <row r="29" spans="1:5" ht="12.75">
      <c r="A29" s="570" t="s">
        <v>400</v>
      </c>
      <c r="B29" s="654"/>
      <c r="C29" s="665">
        <f t="shared" si="0"/>
        <v>5.3312957460000003E-3</v>
      </c>
      <c r="D29" s="660">
        <v>9.8000000000000004E-2</v>
      </c>
      <c r="E29" s="668">
        <v>5.4400977000000003E-2</v>
      </c>
    </row>
    <row r="30" spans="1:5" ht="12.75">
      <c r="A30" s="570" t="s">
        <v>401</v>
      </c>
      <c r="B30" s="654"/>
      <c r="C30" s="665">
        <f t="shared" si="0"/>
        <v>5.6469881E-4</v>
      </c>
      <c r="D30" s="660">
        <v>9.5000000000000001E-2</v>
      </c>
      <c r="E30" s="668">
        <v>5.9441980000000004E-3</v>
      </c>
    </row>
    <row r="31" spans="1:5" ht="12.75">
      <c r="A31" s="570" t="s">
        <v>402</v>
      </c>
      <c r="B31" s="654"/>
      <c r="C31" s="665">
        <f t="shared" si="0"/>
        <v>0</v>
      </c>
      <c r="D31" s="660">
        <v>0</v>
      </c>
      <c r="E31" s="668">
        <v>0</v>
      </c>
    </row>
    <row r="32" spans="1:5" ht="12.75">
      <c r="A32" s="570" t="s">
        <v>403</v>
      </c>
      <c r="B32" s="654"/>
      <c r="C32" s="665">
        <f t="shared" si="0"/>
        <v>5.3085617399999995E-3</v>
      </c>
      <c r="D32" s="660">
        <v>0.06</v>
      </c>
      <c r="E32" s="668">
        <v>8.8476028999999998E-2</v>
      </c>
    </row>
    <row r="33" spans="1:5" ht="12.75">
      <c r="A33" s="570" t="s">
        <v>404</v>
      </c>
      <c r="B33" s="654"/>
      <c r="C33" s="665">
        <f t="shared" si="0"/>
        <v>0</v>
      </c>
      <c r="D33" s="660">
        <v>0.03</v>
      </c>
      <c r="E33" s="668">
        <v>0</v>
      </c>
    </row>
    <row r="34" spans="1:5" ht="12.75">
      <c r="A34" s="566"/>
      <c r="B34" s="654"/>
      <c r="C34" s="570"/>
      <c r="D34" s="669"/>
      <c r="E34" s="669"/>
    </row>
    <row r="35" spans="1:5" ht="13.5" thickBot="1">
      <c r="A35" s="566"/>
      <c r="B35" s="654"/>
      <c r="C35" s="565">
        <f>SUM(C28:C34)</f>
        <v>7.3803841954999991E-2</v>
      </c>
      <c r="D35" s="669"/>
      <c r="E35" s="670">
        <f>SUM(E28:E34)</f>
        <v>0.94121722499999994</v>
      </c>
    </row>
    <row r="36" spans="1:5" ht="15.75" thickTop="1">
      <c r="A36" s="566"/>
      <c r="B36" s="654"/>
      <c r="C36" s="541"/>
      <c r="D36" s="654"/>
      <c r="E36" s="654"/>
    </row>
    <row r="37" spans="1:5">
      <c r="A37" s="57" t="s">
        <v>405</v>
      </c>
      <c r="B37" s="654"/>
      <c r="C37" s="541"/>
      <c r="D37" s="654"/>
      <c r="E37" s="654"/>
    </row>
    <row r="38" spans="1:5">
      <c r="A38" s="570"/>
      <c r="B38" s="654"/>
      <c r="C38" s="541"/>
      <c r="D38" s="654"/>
      <c r="E38" s="654"/>
    </row>
    <row r="39" spans="1:5">
      <c r="A39" s="570" t="s">
        <v>406</v>
      </c>
      <c r="B39" s="654"/>
      <c r="C39" s="541"/>
      <c r="D39" s="654"/>
      <c r="E39" s="654"/>
    </row>
    <row r="40" spans="1:5">
      <c r="A40" s="654"/>
      <c r="B40" s="654"/>
      <c r="C40" s="541"/>
      <c r="D40" s="654"/>
      <c r="E40" s="654"/>
    </row>
  </sheetData>
  <pageMargins left="0.7" right="0.7" top="0.75" bottom="0.75" header="0.3" footer="0.3"/>
  <pageSetup scale="90"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ATC Att O ER22-1602</vt:lpstr>
      <vt:lpstr>Plant Balances (pg. 2) </vt:lpstr>
      <vt:lpstr>Deferred Taxes (pg. 2)</vt:lpstr>
      <vt:lpstr>Expense (pg. 3) </vt:lpstr>
      <vt:lpstr>Wages &amp; Salaries (pg. 4)</vt:lpstr>
      <vt:lpstr>Wgt. Avg Debt Rate (pg.4)</vt:lpstr>
      <vt:lpstr>Revenue (pg.4)</vt:lpstr>
      <vt:lpstr>TEP (pg. 5)</vt:lpstr>
      <vt:lpstr>SIT (pg. 5)</vt:lpstr>
      <vt:lpstr>Precert Exp</vt:lpstr>
      <vt:lpstr>ATC Att GG ER21-2601</vt:lpstr>
      <vt:lpstr>GG Support Data</vt:lpstr>
      <vt:lpstr>GG True-up Template</vt:lpstr>
      <vt:lpstr>GG TU Interest</vt:lpstr>
      <vt:lpstr>GG Project Descriptions</vt:lpstr>
      <vt:lpstr>ATC Att MM ER21-2601</vt:lpstr>
      <vt:lpstr>MM Support Data</vt:lpstr>
      <vt:lpstr>MM True-up Template</vt:lpstr>
      <vt:lpstr>MM TU Interest</vt:lpstr>
      <vt:lpstr>MM Project Descriptions</vt:lpstr>
      <vt:lpstr>Gross Plant Reporting Form</vt:lpstr>
      <vt:lpstr>Sch 9</vt:lpstr>
      <vt:lpstr>Sch 7,8</vt:lpstr>
      <vt:lpstr>Sch 9 TU Interest</vt:lpstr>
      <vt:lpstr>Sch 1</vt:lpstr>
      <vt:lpstr>Sch 1 - True up</vt:lpstr>
      <vt:lpstr>Sch 1 TU Interest</vt:lpstr>
      <vt:lpstr>'ATC Att GG ER21-2601'!Print_Area</vt:lpstr>
      <vt:lpstr>'ATC Att MM ER21-2601'!Print_Area</vt:lpstr>
      <vt:lpstr>'ATC Att O ER22-1602'!Print_Area</vt:lpstr>
      <vt:lpstr>'Deferred Taxes (pg. 2)'!Print_Area</vt:lpstr>
      <vt:lpstr>'Expense (pg. 3) '!Print_Area</vt:lpstr>
      <vt:lpstr>'GG Project Descriptions'!Print_Area</vt:lpstr>
      <vt:lpstr>'GG Support Data'!Print_Area</vt:lpstr>
      <vt:lpstr>'GG True-up Template'!Print_Area</vt:lpstr>
      <vt:lpstr>'GG TU Interest'!Print_Area</vt:lpstr>
      <vt:lpstr>'MM Project Descriptions'!Print_Area</vt:lpstr>
      <vt:lpstr>'MM Support Data'!Print_Area</vt:lpstr>
      <vt:lpstr>'MM True-up Template'!Print_Area</vt:lpstr>
      <vt:lpstr>'MM TU Interest'!Print_Area</vt:lpstr>
      <vt:lpstr>'Plant Balances (pg. 2) '!Print_Area</vt:lpstr>
      <vt:lpstr>'Precert Exp'!Print_Area</vt:lpstr>
      <vt:lpstr>'Revenue (pg.4)'!Print_Area</vt:lpstr>
      <vt:lpstr>'Sch 1 - True up'!Print_Area</vt:lpstr>
      <vt:lpstr>'Sch 1 TU Interest'!Print_Area</vt:lpstr>
      <vt:lpstr>'Sch 7,8'!Print_Area</vt:lpstr>
      <vt:lpstr>'Sch 9'!Print_Area</vt:lpstr>
      <vt:lpstr>'Sch 9 TU Interest'!Print_Area</vt:lpstr>
      <vt:lpstr>'SIT (pg. 5)'!Print_Area</vt:lpstr>
      <vt:lpstr>'TEP (pg. 5)'!Print_Area</vt:lpstr>
      <vt:lpstr>'Wages &amp; Salaries (pg. 4)'!Print_Area</vt:lpstr>
      <vt:lpstr>'Wgt. Avg Debt Rate (pg.4)'!Print_Area</vt:lpstr>
      <vt:lpstr>'GG Support Data'!Print_Titles</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Degenhardt, Michael</cp:lastModifiedBy>
  <cp:lastPrinted>2024-09-30T13:58:40Z</cp:lastPrinted>
  <dcterms:created xsi:type="dcterms:W3CDTF">2017-06-08T16:04:55Z</dcterms:created>
  <dcterms:modified xsi:type="dcterms:W3CDTF">2024-11-21T20:41:57Z</dcterms:modified>
</cp:coreProperties>
</file>