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T:\Financial Planning and Capital Allocation\2026 Budget Planning\OASIS Posting (2026)\"/>
    </mc:Choice>
  </mc:AlternateContent>
  <xr:revisionPtr revIDLastSave="0" documentId="13_ncr:1_{477D7544-8A9F-4863-AA27-7C3C1B64F49A}" xr6:coauthVersionLast="47" xr6:coauthVersionMax="47" xr10:uidLastSave="{00000000-0000-0000-0000-000000000000}"/>
  <bookViews>
    <workbookView xWindow="29415" yWindow="1830" windowWidth="25995" windowHeight="13110" tabRatio="883" xr2:uid="{00000000-000D-0000-FFFF-FFFF00000000}"/>
  </bookViews>
  <sheets>
    <sheet name="ATC Attach O ER22-1602" sheetId="435" r:id="rId1"/>
    <sheet name="Plant Balances (pg. 2) " sheetId="3" r:id="rId2"/>
    <sheet name="Deferred Taxes (pg. 2)" sheetId="4" r:id="rId3"/>
    <sheet name="Expense (pg. 3) " sheetId="5" r:id="rId4"/>
    <sheet name="Wages &amp; Salaries (pg. 4)" sheetId="6" r:id="rId5"/>
    <sheet name="Wgt. Avg Debt Rate (pg.4)" sheetId="12" r:id="rId6"/>
    <sheet name="Revenue (pg.4)" sheetId="11" r:id="rId7"/>
    <sheet name="SIT (pg. 5)" sheetId="8" r:id="rId8"/>
    <sheet name="TEP (pg. 5)" sheetId="9" r:id="rId9"/>
    <sheet name="Software-Comm Equip" sheetId="438" r:id="rId10"/>
    <sheet name="Precert Exp" sheetId="10" r:id="rId11"/>
    <sheet name="ATC Att GG ER21-2601" sheetId="436" r:id="rId12"/>
    <sheet name="GG Support Data" sheetId="14" r:id="rId13"/>
    <sheet name="GG True-up Template" sheetId="26" r:id="rId14"/>
    <sheet name="GG TU Interest" sheetId="36" r:id="rId15"/>
    <sheet name="GG Project Descriptions" sheetId="15" r:id="rId16"/>
    <sheet name="ATC Attach MM ER24-224" sheetId="437" r:id="rId17"/>
    <sheet name="MM Support Data" sheetId="17" r:id="rId18"/>
    <sheet name="MM True-up Template" sheetId="27" r:id="rId19"/>
    <sheet name="MM TU Interest" sheetId="37" r:id="rId20"/>
    <sheet name="MM Project Descriptions" sheetId="18" r:id="rId21"/>
    <sheet name="Gross Plant Reporting Form" sheetId="484" r:id="rId22"/>
    <sheet name="Sch 9" sheetId="19" r:id="rId23"/>
    <sheet name="Sch 7,8" sheetId="20" r:id="rId24"/>
    <sheet name="Sch 9 TU Interest" sheetId="41" r:id="rId25"/>
    <sheet name="Sch 1" sheetId="22" r:id="rId26"/>
    <sheet name="Sch 1 - True up" sheetId="23" r:id="rId27"/>
    <sheet name="Sch 1 TU Interest" sheetId="39" r:id="rId28"/>
  </sheets>
  <definedNames>
    <definedName name="\___C_._RIGHT_">#REF!</definedName>
    <definedName name="\0">#N/A</definedName>
    <definedName name="\1">#REF!</definedName>
    <definedName name="\b">#N/A</definedName>
    <definedName name="\C">#REF!</definedName>
    <definedName name="\D">#REF!</definedName>
    <definedName name="\E">#REF!</definedName>
    <definedName name="\f">#N/A</definedName>
    <definedName name="\m">#N/A</definedName>
    <definedName name="\p">#REF!</definedName>
    <definedName name="\S">#REF!</definedName>
    <definedName name="\U">#REF!</definedName>
    <definedName name="\V">#REF!</definedName>
    <definedName name="\W">#REF!</definedName>
    <definedName name="____C_._DOWN_">#REF!</definedName>
    <definedName name="__123Graph_A" localSheetId="21" hidden="1">#REF!</definedName>
    <definedName name="__123Graph_A" hidden="1">#REF!</definedName>
    <definedName name="__123Graph_A1991" localSheetId="21" hidden="1">#REF!</definedName>
    <definedName name="__123Graph_A1991" hidden="1">#REF!</definedName>
    <definedName name="__123Graph_A1992" localSheetId="21" hidden="1">#REF!</definedName>
    <definedName name="__123Graph_A1992" hidden="1">#REF!</definedName>
    <definedName name="__123Graph_A1993" localSheetId="21" hidden="1">#REF!</definedName>
    <definedName name="__123Graph_A1993" hidden="1">#REF!</definedName>
    <definedName name="__123Graph_A1994" localSheetId="21" hidden="1">#REF!</definedName>
    <definedName name="__123Graph_A1994" hidden="1">#REF!</definedName>
    <definedName name="__123Graph_A1995" localSheetId="21" hidden="1">#REF!</definedName>
    <definedName name="__123Graph_A1995" hidden="1">#REF!</definedName>
    <definedName name="__123Graph_A1996" localSheetId="21" hidden="1">#REF!</definedName>
    <definedName name="__123Graph_A1996" hidden="1">#REF!</definedName>
    <definedName name="__123Graph_ABAR" localSheetId="21" hidden="1">#REF!</definedName>
    <definedName name="__123Graph_ABAR" hidden="1">#REF!</definedName>
    <definedName name="__123Graph_B" localSheetId="21" hidden="1">#REF!</definedName>
    <definedName name="__123Graph_B" hidden="1">#REF!</definedName>
    <definedName name="__123Graph_B1991" localSheetId="21" hidden="1">#REF!</definedName>
    <definedName name="__123Graph_B1991" hidden="1">#REF!</definedName>
    <definedName name="__123Graph_B1992" localSheetId="21" hidden="1">#REF!</definedName>
    <definedName name="__123Graph_B1992" hidden="1">#REF!</definedName>
    <definedName name="__123Graph_B1993" localSheetId="21" hidden="1">#REF!</definedName>
    <definedName name="__123Graph_B1993" hidden="1">#REF!</definedName>
    <definedName name="__123Graph_B1994" localSheetId="21" hidden="1">#REF!</definedName>
    <definedName name="__123Graph_B1994" hidden="1">#REF!</definedName>
    <definedName name="__123Graph_B1995" localSheetId="21" hidden="1">#REF!</definedName>
    <definedName name="__123Graph_B1995" hidden="1">#REF!</definedName>
    <definedName name="__123Graph_B1996" localSheetId="21" hidden="1">#REF!</definedName>
    <definedName name="__123Graph_B1996" hidden="1">#REF!</definedName>
    <definedName name="__123Graph_BBAR" localSheetId="21" hidden="1">#REF!</definedName>
    <definedName name="__123Graph_BBAR" hidden="1">#REF!</definedName>
    <definedName name="__123Graph_C" localSheetId="21" hidden="1">#REF!</definedName>
    <definedName name="__123Graph_C" hidden="1">#REF!</definedName>
    <definedName name="__123Graph_CBAR" localSheetId="21" hidden="1">#REF!</definedName>
    <definedName name="__123Graph_CBAR" hidden="1">#REF!</definedName>
    <definedName name="__123Graph_D" localSheetId="21" hidden="1">#REF!</definedName>
    <definedName name="__123Graph_D" hidden="1">#REF!</definedName>
    <definedName name="__123Graph_DBAR" localSheetId="21" hidden="1">#REF!</definedName>
    <definedName name="__123Graph_DBAR" hidden="1">#REF!</definedName>
    <definedName name="__123Graph_E" localSheetId="21" hidden="1">#REF!</definedName>
    <definedName name="__123Graph_E" hidden="1">#REF!</definedName>
    <definedName name="__123Graph_EBAR" localSheetId="21" hidden="1">#REF!</definedName>
    <definedName name="__123Graph_EBAR" hidden="1">#REF!</definedName>
    <definedName name="__123Graph_F" localSheetId="21" hidden="1">#REF!</definedName>
    <definedName name="__123Graph_F" hidden="1">#REF!</definedName>
    <definedName name="__123Graph_FBAR" localSheetId="21" hidden="1">#REF!</definedName>
    <definedName name="__123Graph_FBAR" hidden="1">#REF!</definedName>
    <definedName name="__123Graph_X" localSheetId="21" hidden="1">#REF!</definedName>
    <definedName name="__123Graph_X" hidden="1">#REF!</definedName>
    <definedName name="__123Graph_X1991" localSheetId="21" hidden="1">#REF!</definedName>
    <definedName name="__123Graph_X1991" hidden="1">#REF!</definedName>
    <definedName name="__123Graph_X1992" localSheetId="21" hidden="1">#REF!</definedName>
    <definedName name="__123Graph_X1992" hidden="1">#REF!</definedName>
    <definedName name="__123Graph_X1993" localSheetId="21" hidden="1">#REF!</definedName>
    <definedName name="__123Graph_X1993" hidden="1">#REF!</definedName>
    <definedName name="__123Graph_X1994" localSheetId="21" hidden="1">#REF!</definedName>
    <definedName name="__123Graph_X1994" hidden="1">#REF!</definedName>
    <definedName name="__123Graph_X1995" localSheetId="21" hidden="1">#REF!</definedName>
    <definedName name="__123Graph_X1995" hidden="1">#REF!</definedName>
    <definedName name="__123Graph_X1996" localSheetId="21" hidden="1">#REF!</definedName>
    <definedName name="__123Graph_X1996" hidden="1">#REF!</definedName>
    <definedName name="__CPK1">#REF!</definedName>
    <definedName name="__CPK2">#REF!</definedName>
    <definedName name="__CPK3">#REF!</definedName>
    <definedName name="__EGR1">#N/A</definedName>
    <definedName name="__EGR2">#N/A</definedName>
    <definedName name="__EGR3">#N/A</definedName>
    <definedName name="_123Graph_B.1" hidden="1">#REF!</definedName>
    <definedName name="_31_Dec_00" localSheetId="11">#REF!</definedName>
    <definedName name="_31_Dec_00">#REF!</definedName>
    <definedName name="_31_Jan_01" localSheetId="11">#REF!</definedName>
    <definedName name="_31_Jan_01">#REF!</definedName>
    <definedName name="_Check_Input">#REF!</definedName>
    <definedName name="_Checks">#REF!</definedName>
    <definedName name="_CPK1">#REF!</definedName>
    <definedName name="_CPK2">#REF!</definedName>
    <definedName name="_CPK3">#REF!</definedName>
    <definedName name="_CurrCase">#REF!</definedName>
    <definedName name="_Data_Query">#REF!</definedName>
    <definedName name="_Data_Query2">#REF!</definedName>
    <definedName name="_DATE_87__?___?">#REF!</definedName>
    <definedName name="_Dist_Bin" hidden="1">#REF!</definedName>
    <definedName name="_Dist_Values" hidden="1">#REF!</definedName>
    <definedName name="_EGR1">#N/A</definedName>
    <definedName name="_EGR2">#N/A</definedName>
    <definedName name="_EGR3">#N/A</definedName>
    <definedName name="_End_Yr">#REF!</definedName>
    <definedName name="_EndYr2">#REF!</definedName>
    <definedName name="_FC_ID">#REF!</definedName>
    <definedName name="_FC_Query">#REF!</definedName>
    <definedName name="_FC_Table">#REF!</definedName>
    <definedName name="_Fill" localSheetId="21" hidden="1">#REF!</definedName>
    <definedName name="_Fill" hidden="1">#REF!</definedName>
    <definedName name="_Fill.1" hidden="1">#REF!</definedName>
    <definedName name="_FS_R">#REF!</definedName>
    <definedName name="_Key.1" hidden="1">#REF!</definedName>
    <definedName name="_Key1" localSheetId="21" hidden="1">#REF!</definedName>
    <definedName name="_Key1" hidden="1">#REF!</definedName>
    <definedName name="_lookup1">#REF!</definedName>
    <definedName name="_lookup2">#REF!</definedName>
    <definedName name="_lookup3">#REF!</definedName>
    <definedName name="_MatInverse_In" hidden="1">#REF!</definedName>
    <definedName name="_MatInverse_Out" hidden="1">#REF!</definedName>
    <definedName name="_MatMult_A" hidden="1">#REF!</definedName>
    <definedName name="_MatMult_AxB" hidden="1">#REF!</definedName>
    <definedName name="_MatMult_B" hidden="1">#REF!</definedName>
    <definedName name="_Meter_Pt">#REF!</definedName>
    <definedName name="_Order.1" hidden="1">255</definedName>
    <definedName name="_Order1" hidden="1">255</definedName>
    <definedName name="_Order2" hidden="1">255</definedName>
    <definedName name="_Parse_In" hidden="1">#REF!</definedName>
    <definedName name="_Parse_Out" hidden="1">#REF!</definedName>
    <definedName name="_PPR_?__AGAQ">#REF!</definedName>
    <definedName name="_Query1a">#REF!</definedName>
    <definedName name="_Query1b">#REF!</definedName>
    <definedName name="_Query2a">#REF!</definedName>
    <definedName name="_Query2b">#REF!</definedName>
    <definedName name="_RE_">#REF!</definedName>
    <definedName name="_Regression_Out" hidden="1">#REF!</definedName>
    <definedName name="_Regression_X" hidden="1">#REF!</definedName>
    <definedName name="_Regression_Y" hidden="1">#REF!</definedName>
    <definedName name="_RFD1__WCS10_">#REF!</definedName>
    <definedName name="_RunCase">#REF!</definedName>
    <definedName name="_Sort" localSheetId="21" hidden="1">#REF!</definedName>
    <definedName name="_Sort" hidden="1">#REF!</definedName>
    <definedName name="_Sort.1" hidden="1">#REF!</definedName>
    <definedName name="_Split_Mthd">#REF!</definedName>
    <definedName name="_Start_Yr">#REF!</definedName>
    <definedName name="_StartYr2">#REF!</definedName>
    <definedName name="_Table1_Out" hidden="1">#REF!</definedName>
    <definedName name="_WCS_?__">#REF!</definedName>
    <definedName name="_WIC_">#REF!</definedName>
    <definedName name="_WIR_">#REF!</definedName>
    <definedName name="above">OFFSET(!A1,-1,0)</definedName>
    <definedName name="ACCTTextLen">#REF!</definedName>
    <definedName name="ACTTextLen">#REF!</definedName>
    <definedName name="ADIT_TST">#REF!</definedName>
    <definedName name="Adjusted_KW">#REF!</definedName>
    <definedName name="ADTL">#REF!</definedName>
    <definedName name="AG_TST">#REF!</definedName>
    <definedName name="AGXP">#REF!</definedName>
    <definedName name="Allocator.gross.plant">#REF!</definedName>
    <definedName name="Allocator.net.plant">#REF!</definedName>
    <definedName name="Allocator.wages.salary">#REF!</definedName>
    <definedName name="ALOC">#REF!</definedName>
    <definedName name="ALOC_2">#REF!</definedName>
    <definedName name="Amort_04">#REF!</definedName>
    <definedName name="Amort_05">#REF!</definedName>
    <definedName name="Amort_06">#REF!</definedName>
    <definedName name="Amort_07">#REF!</definedName>
    <definedName name="Amort_08">#REF!</definedName>
    <definedName name="Amort_09">#REF!</definedName>
    <definedName name="Amort_10">#REF!</definedName>
    <definedName name="Amort_11">#REF!</definedName>
    <definedName name="Amort_12">#REF!</definedName>
    <definedName name="AMOUNT">#REF!</definedName>
    <definedName name="APR">#N/A</definedName>
    <definedName name="ARB_04">#REF!</definedName>
    <definedName name="ARB_05">#REF!</definedName>
    <definedName name="ARB_06">#REF!</definedName>
    <definedName name="ARB_07">#REF!</definedName>
    <definedName name="ARB_08">#REF!</definedName>
    <definedName name="ARB_09">#REF!</definedName>
    <definedName name="ARB_10">#REF!</definedName>
    <definedName name="ARB_11">#REF!</definedName>
    <definedName name="AREA">#N/A</definedName>
    <definedName name="AS2DocOpenMode" hidden="1">"AS2DocumentEdit"</definedName>
    <definedName name="ASD_LEXTERNAL">#REF!</definedName>
    <definedName name="AUG">#N/A</definedName>
    <definedName name="AVG">#N/A</definedName>
    <definedName name="B">#REF!</definedName>
    <definedName name="BadErrMsg">#REF!</definedName>
    <definedName name="BalanceSheet">#REF!</definedName>
    <definedName name="below">OFFSET(!A1,1,0)</definedName>
    <definedName name="Bio_Flora">#REF!</definedName>
    <definedName name="BLANK_ACCOUNT">#REF!</definedName>
    <definedName name="C_">#REF!</definedName>
    <definedName name="CALC_C03">#REF!</definedName>
    <definedName name="CALC_C04">#REF!</definedName>
    <definedName name="CALC_C09">#REF!</definedName>
    <definedName name="CALC_LRG">#REF!</definedName>
    <definedName name="CALC_XLG">#REF!</definedName>
    <definedName name="CASCADE">#REF!</definedName>
    <definedName name="CC_TST">#REF!</definedName>
    <definedName name="CE">#REF!</definedName>
    <definedName name="CE_EAI">#REF!</definedName>
    <definedName name="CE_EGSI">#REF!</definedName>
    <definedName name="CE_ELI">#REF!</definedName>
    <definedName name="CE_EMI">#REF!</definedName>
    <definedName name="CE_ENOI">#REF!</definedName>
    <definedName name="CELL">#N/A</definedName>
    <definedName name="cell.above">!A1048576</definedName>
    <definedName name="cell.below">!A2</definedName>
    <definedName name="cell.left">!XFD1</definedName>
    <definedName name="cell.right">!B1</definedName>
    <definedName name="CH_COS" localSheetId="11">#REF!</definedName>
    <definedName name="CH_COS" localSheetId="16">#REF!</definedName>
    <definedName name="CH_COS">#REF!</definedName>
    <definedName name="CHECK_BAL">#REF!</definedName>
    <definedName name="CHECK_BLANK">#REF!</definedName>
    <definedName name="CHECK_CELLS">#REF!</definedName>
    <definedName name="CIP_Year">OFFSET(#REF!,0,0,COUNTA(#REF!)-1,1)</definedName>
    <definedName name="CLASSES">#N/A</definedName>
    <definedName name="Coincidence_Factor">#REF!</definedName>
    <definedName name="Columns" localSheetId="11">#REF!</definedName>
    <definedName name="Columns">#REF!</definedName>
    <definedName name="CompanyTextLen">#REF!</definedName>
    <definedName name="CP">#N/A</definedName>
    <definedName name="CP_1">#N/A</definedName>
    <definedName name="CP_PG1B">#REF!</definedName>
    <definedName name="cp_pg2">#REF!</definedName>
    <definedName name="cp_pg2b">#REF!</definedName>
    <definedName name="CP_PG3B">#REF!</definedName>
    <definedName name="CPK1X">#REF!</definedName>
    <definedName name="CPK2X">#REF!</definedName>
    <definedName name="CPUC_Cashflow_Summary_Table">#REF!</definedName>
    <definedName name="CR">#REF!</definedName>
    <definedName name="CREDITS">#REF!</definedName>
    <definedName name="CROD_S">#REF!</definedName>
    <definedName name="CSTextLen">#REF!</definedName>
    <definedName name="CTY_ANNUAL">#REF!</definedName>
    <definedName name="cty_peak_sum">#REF!</definedName>
    <definedName name="Current_Year">#REF!</definedName>
    <definedName name="CUST">#N/A</definedName>
    <definedName name="CUST1">#N/A</definedName>
    <definedName name="CUSTAR">#REF!</definedName>
    <definedName name="CUSTOM1">#REF!</definedName>
    <definedName name="CUSTOM2">#REF!</definedName>
    <definedName name="CUYAHOGA_FALLS">#REF!</definedName>
    <definedName name="D">#REF!</definedName>
    <definedName name="D_EAI">#REF!</definedName>
    <definedName name="D_EGSI">#REF!</definedName>
    <definedName name="D_EMI">#REF!</definedName>
    <definedName name="D_ENOI">#REF!</definedName>
    <definedName name="data_year">#REF!</definedName>
    <definedName name="_xlnm.Database">OFFSET(#REF!,0,0,COUNTA(#REF!),11)</definedName>
    <definedName name="DATALINE">#REF!</definedName>
    <definedName name="DB_CPK">#N/A</definedName>
    <definedName name="DB_CPK1">#REF!</definedName>
    <definedName name="DB_CPK2">#REF!</definedName>
    <definedName name="DB_CPK3">#REF!</definedName>
    <definedName name="DB_CUST">#N/A</definedName>
    <definedName name="DB_EGR">#N/A</definedName>
    <definedName name="DB_EGR1">#REF!</definedName>
    <definedName name="DB_EGR2">#REF!</definedName>
    <definedName name="DB_IMAX">#N/A</definedName>
    <definedName name="DB_NCPK">#N/A</definedName>
    <definedName name="DB_NCPK1">#REF!</definedName>
    <definedName name="DB_NCPK2">#REF!</definedName>
    <definedName name="DB_NCPK3">#REF!</definedName>
    <definedName name="DB_NCPK4">#REF!</definedName>
    <definedName name="DD.">#REF!</definedName>
    <definedName name="DEBITS">#REF!</definedName>
    <definedName name="DEC">#N/A</definedName>
    <definedName name="DecCP">#REF!</definedName>
    <definedName name="DefaultCopy" localSheetId="11">#REF!</definedName>
    <definedName name="DefaultCopy">#REF!</definedName>
    <definedName name="DefaultPaste" localSheetId="11">#REF!</definedName>
    <definedName name="DefaultPaste">#REF!</definedName>
    <definedName name="detail" localSheetId="11">#REF!</definedName>
    <definedName name="detail">#REF!</definedName>
    <definedName name="DFTSR">#REF!</definedName>
    <definedName name="DISPLAY">#N/A</definedName>
    <definedName name="DOFTSR">#REF!</definedName>
    <definedName name="Don_10" hidden="1">#REF!</definedName>
    <definedName name="Don_11" hidden="1">255</definedName>
    <definedName name="Don_12" hidden="1">#REF!</definedName>
    <definedName name="Don_13" hidden="1">#REF!</definedName>
    <definedName name="Don_14" hidden="1">#REF!</definedName>
    <definedName name="don_2" hidden="1">#REF!</definedName>
    <definedName name="Don_3" hidden="1">#REF!</definedName>
    <definedName name="Don_4" hidden="1">#REF!</definedName>
    <definedName name="Don_5" hidden="1">#REF!</definedName>
    <definedName name="Don_6" hidden="1">#REF!</definedName>
    <definedName name="Don_7" hidden="1">#REF!</definedName>
    <definedName name="Don_8" hidden="1">#REF!</definedName>
    <definedName name="Don_9" hidden="1">#REF!</definedName>
    <definedName name="DPLT">#REF!</definedName>
    <definedName name="DR">#REF!</definedName>
    <definedName name="DR_1">#N/A</definedName>
    <definedName name="ED8_BIOFLORA_Print">#REF!</definedName>
    <definedName name="EDGERTON">#REF!</definedName>
    <definedName name="EEI">#REF!</definedName>
    <definedName name="EFF_DATE">#REF!</definedName>
    <definedName name="EGR">#N/A</definedName>
    <definedName name="EGR1X">#REF!</definedName>
    <definedName name="EIGHT">#N/A</definedName>
    <definedName name="ELEVEN">#N/A</definedName>
    <definedName name="Ellwood_City">#REF!</definedName>
    <definedName name="ELMORE">#REF!</definedName>
    <definedName name="END">#REF!</definedName>
    <definedName name="ENERGY">#REF!</definedName>
    <definedName name="ENERGY_SUP">#REF!</definedName>
    <definedName name="ENERGY1">#N/A</definedName>
    <definedName name="ENVIRONMENTAL">#REF!</definedName>
    <definedName name="EPRI">#REF!</definedName>
    <definedName name="EST_BY_ACCT">#REF!</definedName>
    <definedName name="F">#REF!</definedName>
    <definedName name="FACE">#REF!</definedName>
    <definedName name="FACTORS">#REF!</definedName>
    <definedName name="FACTRS">#REF!</definedName>
    <definedName name="FF1_INPUT">#REF!</definedName>
    <definedName name="FF1_INPUT_columns">#REF!</definedName>
    <definedName name="Fibro_Q1">#REF!</definedName>
    <definedName name="Fibro_Q2">#REF!</definedName>
    <definedName name="Fibro_Q3">#REF!</definedName>
    <definedName name="FIVE">#N/A</definedName>
    <definedName name="FOUR">#N/A</definedName>
    <definedName name="FREV">#REF!</definedName>
    <definedName name="GALION">#REF!</definedName>
    <definedName name="GDR">#REF!</definedName>
    <definedName name="GDX">#REF!</definedName>
    <definedName name="GDX_TD">#REF!</definedName>
    <definedName name="GENOA">#REF!</definedName>
    <definedName name="GENOA_NORTH">#REF!</definedName>
    <definedName name="GENOA_SOUTH">#REF!</definedName>
    <definedName name="gIsBlank" localSheetId="21" hidden="1">ISBLANK(gIsRef)</definedName>
    <definedName name="gIsBlank" hidden="1">ISBLANK(gIsRef)</definedName>
    <definedName name="gIsError" localSheetId="21" hidden="1">ISERROR(gIsRef)</definedName>
    <definedName name="gIsError" hidden="1">ISERROR(gIsRef)</definedName>
    <definedName name="gIsInPrintArea" localSheetId="21" hidden="1">NOT(ISERROR(gIsRef !Print_Area))</definedName>
    <definedName name="gIsInPrintArea" hidden="1">NOT(ISERROR(gIsRef !Print_Area))</definedName>
    <definedName name="gIsInPrintTitles" localSheetId="21" hidden="1">NOT(ISERROR(gIsRef !Print_Titles))</definedName>
    <definedName name="gIsInPrintTitles" hidden="1">NOT(ISERROR(gIsRef !Print_Titles))</definedName>
    <definedName name="gIsNumber" localSheetId="21" hidden="1">ISNUMBER(gIsRef)</definedName>
    <definedName name="gIsNumber" hidden="1">ISNUMBER(gIsRef)</definedName>
    <definedName name="gIsPreviousSheet" localSheetId="21" hidden="1">PrevShtCellValue(gIsRef)&lt;&gt;gIsRef</definedName>
    <definedName name="gIsPreviousSheet" hidden="1">PrevShtCellValue(gIsRef)&lt;&gt;gIsRef</definedName>
    <definedName name="gIsRef" hidden="1">INDIRECT("rc",FALSE)</definedName>
    <definedName name="gIsText" localSheetId="21" hidden="1">ISTEXT(gIsRef)</definedName>
    <definedName name="gIsText" hidden="1">ISTEXT(gIsRef)</definedName>
    <definedName name="GJC_03">#REF!</definedName>
    <definedName name="GJC_04">#REF!</definedName>
    <definedName name="GJC_09">#REF!</definedName>
    <definedName name="GP">#REF!</definedName>
    <definedName name="GPLT">#REF!</definedName>
    <definedName name="GRAFTON">#REF!</definedName>
    <definedName name="Grove_City">#REF!</definedName>
    <definedName name="HASKINS">#REF!</definedName>
    <definedName name="HCTextLen">#REF!</definedName>
    <definedName name="head">#REF!</definedName>
    <definedName name="HONTSR">#REF!</definedName>
    <definedName name="hourending">#REF!</definedName>
    <definedName name="Hours">#REF!</definedName>
    <definedName name="HPNTSR">#REF!</definedName>
    <definedName name="HUBBARD">#REF!</definedName>
    <definedName name="IMAX1">#REF!</definedName>
    <definedName name="IMAX2">#REF!</definedName>
    <definedName name="IMAX3">#REF!</definedName>
    <definedName name="IncomeStatement">#REF!</definedName>
    <definedName name="IND.MAX">#N/A</definedName>
    <definedName name="IND.MAX1">#N/A</definedName>
    <definedName name="INPUT">#N/A</definedName>
    <definedName name="INPUT_AREA">#REF!</definedName>
    <definedName name="INPUT_DATA">#REF!</definedName>
    <definedName name="Input_Range">#REF!,#REF!,#REF!,#REF!,#REF!,#REF!,#REF!,#REF!,#REF!,#REF!,#REF!,#REF!,#REF!,#REF!,#REF!,#REF!,#REF!,#REF!,#REF!,#REF!,#REF!,#REF!</definedName>
    <definedName name="Inputs_EndYrBal">#REF!</definedName>
    <definedName name="Inputs_EndYrBal_prior">#REF!</definedName>
    <definedName name="Inputs_FF1_Map">#REF!</definedName>
    <definedName name="IPP">#REF!</definedName>
    <definedName name="IPPINT">#REF!</definedName>
    <definedName name="IPPIRB">#REF!</definedName>
    <definedName name="IPPRB">#REF!</definedName>
    <definedName name="ITC">#REF!</definedName>
    <definedName name="ITCWO">#REF!</definedName>
    <definedName name="JanCP">#REF!</definedName>
    <definedName name="jor">#REF!</definedName>
    <definedName name="JOUR_ENTRY">#REF!</definedName>
    <definedName name="JUL">#N/A</definedName>
    <definedName name="JUN">#N/A</definedName>
    <definedName name="kk" localSheetId="11">#REF!</definedName>
    <definedName name="kk">#REF!</definedName>
    <definedName name="left">OFFSET(!A1,0,-1)</definedName>
    <definedName name="LFTSR">#REF!</definedName>
    <definedName name="LHMonth">#REF!</definedName>
    <definedName name="LHYear">#REF!</definedName>
    <definedName name="Load_Factor">#REF!</definedName>
    <definedName name="LOCATE3">#N/A</definedName>
    <definedName name="LOCTABLE">#REF!</definedName>
    <definedName name="LOCTextLen">#REF!</definedName>
    <definedName name="LODI">#REF!</definedName>
    <definedName name="Loss_KW">#REF!</definedName>
    <definedName name="Loss_kWh">#REF!</definedName>
    <definedName name="Loss_Rate">#REF!</definedName>
    <definedName name="losses">#REF!</definedName>
    <definedName name="LRG_GE">#REF!</definedName>
    <definedName name="LRG_GJ">#REF!</definedName>
    <definedName name="LUCAS">#REF!</definedName>
    <definedName name="LYN">#REF!</definedName>
    <definedName name="M">#REF!</definedName>
    <definedName name="MACRO">#N/A</definedName>
    <definedName name="MAIN">#N/A</definedName>
    <definedName name="MAR">#N/A</definedName>
    <definedName name="MENUALL">#N/A</definedName>
    <definedName name="MENUALLOC">#N/A</definedName>
    <definedName name="MENUDBASE">#N/A</definedName>
    <definedName name="MENUDBS">#N/A</definedName>
    <definedName name="MENUPIC">#N/A</definedName>
    <definedName name="MENUPICK">#N/A</definedName>
    <definedName name="MENUPRNT">#N/A</definedName>
    <definedName name="MENUPRST">#N/A</definedName>
    <definedName name="MFTSR">#REF!</definedName>
    <definedName name="Mgmt" localSheetId="11">#REF!</definedName>
    <definedName name="Mgmt">#REF!</definedName>
    <definedName name="MILAN">#REF!</definedName>
    <definedName name="Mo_roll">#REF!</definedName>
    <definedName name="MONROEVILLE">#REF!</definedName>
    <definedName name="Monthly_Peak">#REF!</definedName>
    <definedName name="MONTHS">#N/A</definedName>
    <definedName name="MOVE">#N/A</definedName>
    <definedName name="MRES_Demand">#REF!</definedName>
    <definedName name="MRES_Energy">#REF!</definedName>
    <definedName name="MRES_KW_with_Loss">#REF!</definedName>
    <definedName name="MRES_kWh_with_Loss">#REF!</definedName>
    <definedName name="MREV">#REF!</definedName>
    <definedName name="MS">#REF!</definedName>
    <definedName name="MTH">#N/A</definedName>
    <definedName name="Multiplier">#REF!</definedName>
    <definedName name="N_A">#REF!</definedName>
    <definedName name="NAPOLEON">#REF!</definedName>
    <definedName name="NCP">#N/A</definedName>
    <definedName name="NCP_1">#N/A</definedName>
    <definedName name="NCPK1">#N/A</definedName>
    <definedName name="NCPK1X">#REF!</definedName>
    <definedName name="NCPK2">#REF!</definedName>
    <definedName name="NCPK2X">#REF!</definedName>
    <definedName name="NCPK3">#REF!</definedName>
    <definedName name="NEASG">#REF!</definedName>
    <definedName name="NET_TO_ZERO">#REF!</definedName>
    <definedName name="NETWK_TRANS_PK_RPT_Print_Area">#REF!</definedName>
    <definedName name="new" localSheetId="11">#REF!</definedName>
    <definedName name="new">#REF!</definedName>
    <definedName name="New_Wilmington">#REF!</definedName>
    <definedName name="NEWTON_FALLS">#REF!</definedName>
    <definedName name="NILES">#REF!</definedName>
    <definedName name="NINE">#N/A</definedName>
    <definedName name="NoErrMsg">#REF!</definedName>
    <definedName name="NormErrMsg">#REF!</definedName>
    <definedName name="NOTE">#REF!</definedName>
    <definedName name="NOTE_A">#REF!</definedName>
    <definedName name="NOTE_B">#REF!</definedName>
    <definedName name="NOTE2">#REF!</definedName>
    <definedName name="NOV">#N/A</definedName>
    <definedName name="NP">#REF!</definedName>
    <definedName name="NSP_COS" localSheetId="11">#REF!</definedName>
    <definedName name="NSP_COS" localSheetId="16">#REF!</definedName>
    <definedName name="NSP_COS">#REF!</definedName>
    <definedName name="NTDR">#REF!</definedName>
    <definedName name="NTPLT">#REF!</definedName>
    <definedName name="NTSRR">#REF!</definedName>
    <definedName name="NvsASD">"V1998-12-31"</definedName>
    <definedName name="NvsAutoDrillOk">"VN"</definedName>
    <definedName name="NvsElapsedTime">0.0393244212973514</definedName>
    <definedName name="NvsEndTime">36169.1265847222</definedName>
    <definedName name="NvsInstSpec">"%"</definedName>
    <definedName name="NvsLayoutType">"M3"</definedName>
    <definedName name="NvsNplSpec">"%,X,RZF..,CZF.."</definedName>
    <definedName name="NvsPanelEffdt">"V2050-01-01"</definedName>
    <definedName name="NvsPanelSetid">"VENT01"</definedName>
    <definedName name="NvsReqBU">"VENT02"</definedName>
    <definedName name="NvsReqBUOnly">"VY"</definedName>
    <definedName name="NvsTransLed">"VN"</definedName>
    <definedName name="NvsTreeASD">"V1998-12-31"</definedName>
    <definedName name="NvsValTbl.ACCOUNT">"GL_ACCOUNT_TBL"</definedName>
    <definedName name="NvsValTbl.E_LEGAL_ENTITY">"E_LE_TBL"</definedName>
    <definedName name="NWASG">#REF!</definedName>
    <definedName name="OAK_HARBOR">#REF!</definedName>
    <definedName name="OBERLIN">#REF!</definedName>
    <definedName name="OCT">#N/A</definedName>
    <definedName name="ONE">#N/A</definedName>
    <definedName name="OTR_TST">#REF!</definedName>
    <definedName name="P_TYPE">#N/A</definedName>
    <definedName name="PAGE.1">#REF!</definedName>
    <definedName name="PAGE.2">#REF!</definedName>
    <definedName name="PAGE.4">#REF!</definedName>
    <definedName name="PAGE.5">#REF!</definedName>
    <definedName name="PAGE.6">#REF!</definedName>
    <definedName name="PAGE.7">#REF!</definedName>
    <definedName name="PAGE_2A">#REF!</definedName>
    <definedName name="PAGE_3B">#REF!</definedName>
    <definedName name="PAGE1">#REF!</definedName>
    <definedName name="page10">#REF!</definedName>
    <definedName name="page11">#REF!</definedName>
    <definedName name="page12">#REF!</definedName>
    <definedName name="page13">#REF!</definedName>
    <definedName name="page14">#REF!</definedName>
    <definedName name="page15">#REF!</definedName>
    <definedName name="page16">#REF!</definedName>
    <definedName name="PAGE1A">#REF!</definedName>
    <definedName name="PAGE2">#REF!</definedName>
    <definedName name="PAGE3">#REF!</definedName>
    <definedName name="PAGE3A">#REF!</definedName>
    <definedName name="PAGE4">#REF!</definedName>
    <definedName name="PAGE4A">#REF!</definedName>
    <definedName name="PAGE5">#REF!</definedName>
    <definedName name="PAGE6">#REF!</definedName>
    <definedName name="PAGE7">#REF!</definedName>
    <definedName name="PAGE8">#REF!</definedName>
    <definedName name="PAGE9">#REF!</definedName>
    <definedName name="PageA">#REF!</definedName>
    <definedName name="PageB">#REF!</definedName>
    <definedName name="PageC">#REF!</definedName>
    <definedName name="PEAK">#REF!</definedName>
    <definedName name="PEMBERVILLE">#REF!</definedName>
    <definedName name="PF">#REF!</definedName>
    <definedName name="PF_EAI">#REF!</definedName>
    <definedName name="PF_EGSI">#REF!</definedName>
    <definedName name="PF_ELI">#REF!</definedName>
    <definedName name="PF_EMI">#REF!</definedName>
    <definedName name="PF_ENOI">#REF!</definedName>
    <definedName name="PIONEER">#REF!</definedName>
    <definedName name="PK_1">#N/A</definedName>
    <definedName name="PPLT">#REF!</definedName>
    <definedName name="PPT">#REF!</definedName>
    <definedName name="PR">#REF!</definedName>
    <definedName name="Previous_Meter_Reading">#REF!</definedName>
    <definedName name="_xlnm.Print_Area" localSheetId="11">'ATC Att GG ER21-2601'!$A$1:$P$150</definedName>
    <definedName name="_xlnm.Print_Area" localSheetId="16">'ATC Attach MM ER24-224'!$A$1:$S$133</definedName>
    <definedName name="_xlnm.Print_Area" localSheetId="0">'ATC Attach O ER22-1602'!$A$1:$K$355</definedName>
    <definedName name="_xlnm.Print_Area" localSheetId="2">'Deferred Taxes (pg. 2)'!$B$1:$I$18</definedName>
    <definedName name="_xlnm.Print_Area" localSheetId="3">'Expense (pg. 3) '!$B$1:$N$33</definedName>
    <definedName name="_xlnm.Print_Area" localSheetId="15">'GG Project Descriptions'!$B$1:$E$63</definedName>
    <definedName name="_xlnm.Print_Area" localSheetId="12">'GG Support Data'!$B$3:$AU$68</definedName>
    <definedName name="_xlnm.Print_Area" localSheetId="13">'GG True-up Template'!$A$1:$AH$108</definedName>
    <definedName name="_xlnm.Print_Area" localSheetId="14">'GG TU Interest'!$B$2:$E$23</definedName>
    <definedName name="_xlnm.Print_Area" localSheetId="20">'MM Project Descriptions'!$B$1:$E$39</definedName>
    <definedName name="_xlnm.Print_Area" localSheetId="17">'MM Support Data'!$B$1:$O$66</definedName>
    <definedName name="_xlnm.Print_Area" localSheetId="18">'MM True-up Template'!$A$1:$AP$74</definedName>
    <definedName name="_xlnm.Print_Area" localSheetId="19">'MM TU Interest'!$B$2:$E$37</definedName>
    <definedName name="_xlnm.Print_Area" localSheetId="1">'Plant Balances (pg. 2) '!$C$1:$J$51</definedName>
    <definedName name="_xlnm.Print_Area" localSheetId="10">'Precert Exp'!$B$1:$C$20</definedName>
    <definedName name="_xlnm.Print_Area" localSheetId="6">'Revenue (pg.4)'!$B$1:$J$17</definedName>
    <definedName name="_xlnm.Print_Area" localSheetId="26">'Sch 1 - True up'!$A$1:$G$35</definedName>
    <definedName name="_xlnm.Print_Area" localSheetId="27">'Sch 1 TU Interest'!$B$2:$E$37</definedName>
    <definedName name="_xlnm.Print_Area" localSheetId="23">'Sch 7,8'!$B$1:$I$80,'Sch 7,8'!$B$85:$I$148</definedName>
    <definedName name="_xlnm.Print_Area" localSheetId="22">'Sch 9'!$B$1:$I$63</definedName>
    <definedName name="_xlnm.Print_Area" localSheetId="24">'Sch 9 TU Interest'!$B$2:$E$23</definedName>
    <definedName name="_xlnm.Print_Area" localSheetId="7">'SIT (pg. 5)'!$A$3:$E$42</definedName>
    <definedName name="_xlnm.Print_Area" localSheetId="8">'TEP (pg. 5)'!$A$3:$D$24</definedName>
    <definedName name="_xlnm.Print_Area" localSheetId="4">'Wages &amp; Salaries (pg. 4)'!$A$1:$C$17</definedName>
    <definedName name="_xlnm.Print_Area" localSheetId="5">'Wgt. Avg Debt Rate (pg.4)'!$B$1:$I$74</definedName>
    <definedName name="_xlnm.Print_Area">#REF!</definedName>
    <definedName name="Print_Area_MI">#REF!</definedName>
    <definedName name="Print_Area_MI.1">#REF!</definedName>
    <definedName name="_xlnm.Print_Titles" localSheetId="12">'GG Support Data'!$B:$C</definedName>
    <definedName name="Print_Titles_MI">#REF!</definedName>
    <definedName name="Print1" localSheetId="11">#REF!</definedName>
    <definedName name="Print1" localSheetId="16">#REF!</definedName>
    <definedName name="Print1">#REF!</definedName>
    <definedName name="Print3" localSheetId="11">#REF!</definedName>
    <definedName name="Print3" localSheetId="16">#REF!</definedName>
    <definedName name="Print3">#REF!</definedName>
    <definedName name="Print4" localSheetId="11">#REF!</definedName>
    <definedName name="Print4" localSheetId="16">#REF!</definedName>
    <definedName name="Print4">#REF!</definedName>
    <definedName name="Print5" localSheetId="11">#REF!</definedName>
    <definedName name="Print5" localSheetId="16">#REF!</definedName>
    <definedName name="Print5">#REF!</definedName>
    <definedName name="PRINTFILE">#REF!</definedName>
    <definedName name="PROJ_WOTextLen">#REF!</definedName>
    <definedName name="Projection">#REF!</definedName>
    <definedName name="ProjIDList" localSheetId="11">#REF!</definedName>
    <definedName name="ProjIDList" localSheetId="16">#REF!</definedName>
    <definedName name="ProjIDList">#REF!</definedName>
    <definedName name="PROSPECT">#REF!</definedName>
    <definedName name="PSCo_COS" localSheetId="11">#REF!</definedName>
    <definedName name="PSCo_COS" localSheetId="16">#REF!</definedName>
    <definedName name="PSCo_COS">#REF!</definedName>
    <definedName name="PSLJ8LG">#N/A</definedName>
    <definedName name="PSOKI6">#N/A</definedName>
    <definedName name="PXAG">#REF!</definedName>
    <definedName name="PXAG_561">#REF!</definedName>
    <definedName name="PXAG_EAI">#REF!</definedName>
    <definedName name="PXAG_EGSI">#REF!</definedName>
    <definedName name="PXAG_ELI">#REF!</definedName>
    <definedName name="PXAG_EMI">#REF!</definedName>
    <definedName name="PXAG_ENOI">#REF!</definedName>
    <definedName name="PXAGBAD">#REF!</definedName>
    <definedName name="PYTX">#REF!</definedName>
    <definedName name="Q">#REF!</definedName>
    <definedName name="q_MTEP06_App_AB_Facility" localSheetId="11">#REF!</definedName>
    <definedName name="q_MTEP06_App_AB_Facility" localSheetId="16">#REF!</definedName>
    <definedName name="q_MTEP06_App_AB_Facility">#REF!</definedName>
    <definedName name="q_MTEP06_App_AB_Projects" localSheetId="11">#REF!</definedName>
    <definedName name="q_MTEP06_App_AB_Projects" localSheetId="16">#REF!</definedName>
    <definedName name="q_MTEP06_App_AB_Projects">#REF!</definedName>
    <definedName name="queryp1">#REF!</definedName>
    <definedName name="RA">#REF!</definedName>
    <definedName name="Reading_Date">#REF!</definedName>
    <definedName name="RECAP">#REF!</definedName>
    <definedName name="_xlnm.Recorder">#REF!</definedName>
    <definedName name="RES_CPB">#REF!</definedName>
    <definedName name="revreq" localSheetId="11">#REF!</definedName>
    <definedName name="revreq" localSheetId="16">#REF!</definedName>
    <definedName name="revreq">#REF!</definedName>
    <definedName name="RID">#REF!</definedName>
    <definedName name="right">OFFSET(!A1,0,1)</definedName>
    <definedName name="RRE">#REF!</definedName>
    <definedName name="RTX">#REF!</definedName>
    <definedName name="S">#REF!</definedName>
    <definedName name="SAPBEXrevision" hidden="1">1</definedName>
    <definedName name="SAPBEXsysID" hidden="1">"BWP"</definedName>
    <definedName name="SAPBEXwbID" hidden="1">"45EQYSCWE9WJMGB34OOD1BOQZ"</definedName>
    <definedName name="SECUR_GI">#REF!</definedName>
    <definedName name="SECUR_IS">#REF!</definedName>
    <definedName name="SECUR_KR">#REF!</definedName>
    <definedName name="SELECT">#N/A</definedName>
    <definedName name="SEP">#N/A</definedName>
    <definedName name="Service_Metered">#REF!</definedName>
    <definedName name="SEVEN">#N/A</definedName>
    <definedName name="SEVILLE">#REF!</definedName>
    <definedName name="SIX">#N/A</definedName>
    <definedName name="SORT">#N/A</definedName>
    <definedName name="SOUTH_VIENNA">#REF!</definedName>
    <definedName name="SPACE">#N/A</definedName>
    <definedName name="Spot_Purchases_and_Tailgate">#REF!</definedName>
    <definedName name="SPOTE_04">#REF!</definedName>
    <definedName name="SPS_COS" localSheetId="11">#REF!</definedName>
    <definedName name="SPS_COS" localSheetId="16">#REF!</definedName>
    <definedName name="SPS_COS">#REF!</definedName>
    <definedName name="START">#REF!</definedName>
    <definedName name="STARTCR">#REF!</definedName>
    <definedName name="STARTDR">#REF!</definedName>
    <definedName name="SUBTITLE">#N/A</definedName>
    <definedName name="SUMMARY">#REF!</definedName>
    <definedName name="SUPPORTING_DATA_TO_UPLOAD">#REF!</definedName>
    <definedName name="suz">#REF!</definedName>
    <definedName name="TABLE4_1">#REF!</definedName>
    <definedName name="TABLE4_2">#REF!</definedName>
    <definedName name="taxcalc" localSheetId="11">#REF!</definedName>
    <definedName name="taxcalc">#REF!</definedName>
    <definedName name="TDR_ITC">#REF!</definedName>
    <definedName name="TDR_TD">#REF!</definedName>
    <definedName name="TDRXS">#REF!</definedName>
    <definedName name="TDX">#REF!</definedName>
    <definedName name="TDX_TD">#REF!</definedName>
    <definedName name="TEN">#N/A</definedName>
    <definedName name="TEQ">#REF!</definedName>
    <definedName name="TextRefCopyRangeCount" hidden="1">1</definedName>
    <definedName name="THREE">#N/A</definedName>
    <definedName name="TKW">#REF!</definedName>
    <definedName name="TKWS">#REF!</definedName>
    <definedName name="TL">#REF!</definedName>
    <definedName name="TL_561">#REF!</definedName>
    <definedName name="TLR_TST">#REF!</definedName>
    <definedName name="Toggle">#REF!</definedName>
    <definedName name="TOM">#REF!</definedName>
    <definedName name="TOM_EAI">#REF!</definedName>
    <definedName name="TOM_EGSI">#REF!</definedName>
    <definedName name="TOM_ELI">#REF!</definedName>
    <definedName name="TOM_EMI">#REF!</definedName>
    <definedName name="TOM_ENOI">#REF!</definedName>
    <definedName name="TOM_ICTC">#REF!</definedName>
    <definedName name="TOTAL">#REF!</definedName>
    <definedName name="TOTAL_COLUMBIANA">#REF!</definedName>
    <definedName name="Total_Grove_City">#REF!</definedName>
    <definedName name="TOTAL_HUDSON">#REF!</definedName>
    <definedName name="Total_kWh">#REF!</definedName>
    <definedName name="TOTAL_MONTPELIER">#REF!</definedName>
    <definedName name="TOTAL_WOODVILLE">#REF!</definedName>
    <definedName name="TOTALS">#REF!</definedName>
    <definedName name="TP">#REF!</definedName>
    <definedName name="TPLT">#REF!</definedName>
    <definedName name="TPLT_ITC">#REF!</definedName>
    <definedName name="TPLTXS">#REF!</definedName>
    <definedName name="TPR_TST">#REF!</definedName>
    <definedName name="TRANSMISSION_PEAK">#REF!</definedName>
    <definedName name="TRB">#REF!</definedName>
    <definedName name="TREV">#REF!</definedName>
    <definedName name="True_up">#REF!</definedName>
    <definedName name="TWELVE">#N/A</definedName>
    <definedName name="TWO">#N/A</definedName>
    <definedName name="TX">#REF!</definedName>
    <definedName name="TXO">#REF!</definedName>
    <definedName name="TXP_TST">#REF!</definedName>
    <definedName name="TYE">#N/A</definedName>
    <definedName name="TYE_1">#N/A</definedName>
    <definedName name="TYPETextLen">#REF!</definedName>
    <definedName name="Underground_Storage_Activity">#REF!</definedName>
    <definedName name="URA">#REF!</definedName>
    <definedName name="username">#REF!</definedName>
    <definedName name="VSPAE">#REF!</definedName>
    <definedName name="VSPRB">#REF!</definedName>
    <definedName name="WADSWORTH">#REF!</definedName>
    <definedName name="WAPA_CROD">#REF!</definedName>
    <definedName name="WAPA_Demand">#REF!</definedName>
    <definedName name="WAPA_Energy">#REF!</definedName>
    <definedName name="WELL_HEAD_ESTIMATES">#REF!</definedName>
    <definedName name="WESTERN_DEMAND">#REF!</definedName>
    <definedName name="WESTERN_ENERGY">#REF!</definedName>
    <definedName name="WFTSR">#REF!</definedName>
    <definedName name="WITHSTD">#REF!</definedName>
    <definedName name="WS">#REF!</definedName>
    <definedName name="Xcel" localSheetId="11">#REF!</definedName>
    <definedName name="Xcel" localSheetId="16">#REF!</definedName>
    <definedName name="Xcel">#REF!</definedName>
    <definedName name="Xcel_COS" localSheetId="11">#REF!</definedName>
    <definedName name="Xcel_COS" localSheetId="16">#REF!</definedName>
    <definedName name="Xcel_COS">#REF!</definedName>
    <definedName name="XLRG_GE">#REF!</definedName>
    <definedName name="XLRG_GJ">#REF!</definedName>
    <definedName name="Year">OFFSET(#REF!,0,0,COUNTA(#REF!),1)</definedName>
    <definedName name="Z_26693155_D691_4427_8747_8AAE3A06AD6E_.wvu.PrintArea" localSheetId="0" hidden="1">'ATC Attach O ER22-1602'!$A$1:$K$353</definedName>
    <definedName name="Zone_Inputs">#REF!,#REF!,#REF!,#REF!,#REF!,#REF!,#REF!,#REF!,#REF!,#REF!,#REF!,#REF!,#REF!,#REF!,#REF!,#REF!,#REF!,#REF!,#REF!,#REF!,#REF!,#REF!,#REF!,#REF!,#REF!,#REF!,#REF!,#REF!,#REF!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2" i="20" l="1"/>
  <c r="G61" i="20"/>
  <c r="G50" i="20"/>
  <c r="G39" i="20"/>
  <c r="G28" i="20"/>
  <c r="R78" i="437" l="1"/>
  <c r="R79" i="437"/>
  <c r="R80" i="437"/>
  <c r="R81" i="437"/>
  <c r="R82" i="437"/>
  <c r="R83" i="437"/>
  <c r="R84" i="437"/>
  <c r="R85" i="437"/>
  <c r="R86" i="437"/>
  <c r="R87" i="437"/>
  <c r="R88" i="437"/>
  <c r="R89" i="437"/>
  <c r="R90" i="437"/>
  <c r="R91" i="437"/>
  <c r="R92" i="437"/>
  <c r="R93" i="437"/>
  <c r="R94" i="437"/>
  <c r="R95" i="437"/>
  <c r="R96" i="437"/>
  <c r="R97" i="437"/>
  <c r="J56" i="27" l="1"/>
  <c r="J55" i="27"/>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47" i="26"/>
  <c r="C99" i="26"/>
  <c r="F99" i="26"/>
  <c r="I99" i="26"/>
  <c r="J99" i="26"/>
  <c r="S99" i="26" l="1"/>
  <c r="V99" i="26"/>
  <c r="Y99" i="26"/>
  <c r="Z99" i="26"/>
  <c r="W29" i="484" l="1"/>
  <c r="J30" i="484"/>
  <c r="O30" i="484"/>
  <c r="W30" i="484"/>
  <c r="J31" i="484"/>
  <c r="O31" i="484"/>
  <c r="W31" i="484"/>
  <c r="J32" i="484"/>
  <c r="O32" i="484"/>
  <c r="W32" i="484"/>
  <c r="J33" i="484"/>
  <c r="O33" i="484"/>
  <c r="W33" i="484"/>
  <c r="J34" i="484"/>
  <c r="O34" i="484"/>
  <c r="W34" i="484"/>
  <c r="J35" i="484"/>
  <c r="O35" i="484"/>
  <c r="W35" i="484"/>
  <c r="X35" i="484"/>
  <c r="I36" i="484"/>
  <c r="N36" i="484"/>
  <c r="Q36" i="484"/>
  <c r="R36" i="484"/>
  <c r="S36" i="484"/>
  <c r="T34" i="484" l="1"/>
  <c r="T30" i="484"/>
  <c r="T32" i="484"/>
  <c r="T31" i="484"/>
  <c r="T35" i="484"/>
  <c r="T33" i="484"/>
  <c r="B35" i="484"/>
  <c r="X34" i="484" s="1"/>
  <c r="B30" i="484" l="1"/>
  <c r="X29" i="484" s="1"/>
  <c r="B34" i="484"/>
  <c r="X33" i="484" s="1"/>
  <c r="B31" i="484"/>
  <c r="X30" i="484" s="1"/>
  <c r="B33" i="484"/>
  <c r="X32" i="484" s="1"/>
  <c r="B32" i="484"/>
  <c r="X31" i="484" s="1"/>
  <c r="E124" i="436"/>
  <c r="H124" i="436"/>
  <c r="K124" i="436"/>
  <c r="L124" i="436"/>
  <c r="N124" i="436"/>
  <c r="G16" i="23"/>
  <c r="G20" i="23" s="1"/>
  <c r="G24" i="23" s="1"/>
  <c r="E32" i="39" s="1"/>
  <c r="A14" i="23"/>
  <c r="A15" i="23" s="1"/>
  <c r="A16" i="23" s="1"/>
  <c r="A18" i="23" s="1"/>
  <c r="A20" i="23" s="1"/>
  <c r="E28" i="22"/>
  <c r="E24" i="22"/>
  <c r="C7" i="22"/>
  <c r="C6" i="23" s="1"/>
  <c r="D20" i="41"/>
  <c r="D18" i="41"/>
  <c r="C15" i="41"/>
  <c r="E5" i="41"/>
  <c r="D5" i="41"/>
  <c r="C5" i="41"/>
  <c r="B5" i="41"/>
  <c r="A39" i="19"/>
  <c r="A47" i="19" s="1"/>
  <c r="B30" i="19"/>
  <c r="B38" i="19" s="1"/>
  <c r="B46" i="19" s="1"/>
  <c r="G25" i="19"/>
  <c r="F25" i="19"/>
  <c r="E25" i="19"/>
  <c r="D25" i="19"/>
  <c r="C25" i="19"/>
  <c r="I24" i="19"/>
  <c r="I23" i="19"/>
  <c r="H21" i="19"/>
  <c r="G17" i="19"/>
  <c r="F17" i="19"/>
  <c r="E17" i="19"/>
  <c r="D17" i="19"/>
  <c r="C17" i="19"/>
  <c r="I16" i="19"/>
  <c r="I15" i="19"/>
  <c r="H13" i="19"/>
  <c r="I7" i="19"/>
  <c r="I1" i="19"/>
  <c r="AH65" i="27"/>
  <c r="AG65" i="27"/>
  <c r="X65" i="27"/>
  <c r="W65" i="27"/>
  <c r="P65" i="27"/>
  <c r="T50" i="27" s="1"/>
  <c r="T51" i="27" s="1"/>
  <c r="N65" i="27"/>
  <c r="M65" i="27"/>
  <c r="C65" i="27"/>
  <c r="AJ63" i="27"/>
  <c r="AD63" i="27"/>
  <c r="AJ62" i="27"/>
  <c r="AD62" i="27"/>
  <c r="AJ61" i="27"/>
  <c r="AD61" i="27"/>
  <c r="AJ60" i="27"/>
  <c r="AD60" i="27"/>
  <c r="AJ59" i="27"/>
  <c r="AD59" i="27"/>
  <c r="AJ58" i="27"/>
  <c r="AD58" i="27"/>
  <c r="AJ57" i="27"/>
  <c r="AD57" i="27"/>
  <c r="AJ56" i="27"/>
  <c r="AD56" i="27"/>
  <c r="AJ55" i="27"/>
  <c r="AD55" i="27"/>
  <c r="AO53" i="27"/>
  <c r="AB34" i="27"/>
  <c r="AI34" i="27" s="1"/>
  <c r="H34" i="27"/>
  <c r="O34" i="27" s="1"/>
  <c r="AB30" i="27"/>
  <c r="AI30" i="27" s="1"/>
  <c r="H30" i="27"/>
  <c r="O30" i="27" s="1"/>
  <c r="AB19" i="27"/>
  <c r="AB21" i="27" s="1"/>
  <c r="AI21" i="27" s="1"/>
  <c r="Y49" i="27" s="1"/>
  <c r="H19" i="27"/>
  <c r="H21" i="27" s="1"/>
  <c r="O21" i="27" s="1"/>
  <c r="E49" i="27" s="1"/>
  <c r="E62" i="27" s="1"/>
  <c r="AB11" i="27"/>
  <c r="AB44" i="27" s="1"/>
  <c r="AI44" i="27" s="1"/>
  <c r="H11" i="27"/>
  <c r="H40" i="27" s="1"/>
  <c r="O40" i="27" s="1"/>
  <c r="O131" i="17"/>
  <c r="N131" i="17"/>
  <c r="M131" i="17"/>
  <c r="L131" i="17"/>
  <c r="K131" i="17"/>
  <c r="O116" i="17"/>
  <c r="N116" i="17"/>
  <c r="M116" i="17"/>
  <c r="L116" i="17"/>
  <c r="K116" i="17"/>
  <c r="O101" i="17"/>
  <c r="N101" i="17"/>
  <c r="M101" i="17"/>
  <c r="L101" i="17"/>
  <c r="K101" i="17"/>
  <c r="O86" i="17"/>
  <c r="N86" i="17"/>
  <c r="M86" i="17"/>
  <c r="L86" i="17"/>
  <c r="K86" i="17"/>
  <c r="O55" i="17"/>
  <c r="N55" i="17"/>
  <c r="M55" i="17"/>
  <c r="L55" i="17"/>
  <c r="K55" i="17"/>
  <c r="O54" i="17"/>
  <c r="N54" i="17"/>
  <c r="M54" i="17"/>
  <c r="L54" i="17"/>
  <c r="K54" i="17"/>
  <c r="O53" i="17"/>
  <c r="N53" i="17"/>
  <c r="M53" i="17"/>
  <c r="L53" i="17"/>
  <c r="K53" i="17"/>
  <c r="O52" i="17"/>
  <c r="N52" i="17"/>
  <c r="M52" i="17"/>
  <c r="L52" i="17"/>
  <c r="K52" i="17"/>
  <c r="O51" i="17"/>
  <c r="N51" i="17"/>
  <c r="M51" i="17"/>
  <c r="L51" i="17"/>
  <c r="K51" i="17"/>
  <c r="O50" i="17"/>
  <c r="N50" i="17"/>
  <c r="M50" i="17"/>
  <c r="L50" i="17"/>
  <c r="K50" i="17"/>
  <c r="O49" i="17"/>
  <c r="N49" i="17"/>
  <c r="M49" i="17"/>
  <c r="L49" i="17"/>
  <c r="K49" i="17"/>
  <c r="O48" i="17"/>
  <c r="N48" i="17"/>
  <c r="M48" i="17"/>
  <c r="L48" i="17"/>
  <c r="K48" i="17"/>
  <c r="O47" i="17"/>
  <c r="N47" i="17"/>
  <c r="M47" i="17"/>
  <c r="L47" i="17"/>
  <c r="K47" i="17"/>
  <c r="O46" i="17"/>
  <c r="N46" i="17"/>
  <c r="M46" i="17"/>
  <c r="L46" i="17"/>
  <c r="K46" i="17"/>
  <c r="O45" i="17"/>
  <c r="N45" i="17"/>
  <c r="M45" i="17"/>
  <c r="L45" i="17"/>
  <c r="K45" i="17"/>
  <c r="O44" i="17"/>
  <c r="N44" i="17"/>
  <c r="M44" i="17"/>
  <c r="L44" i="17"/>
  <c r="K44" i="17"/>
  <c r="O43" i="17"/>
  <c r="N43" i="17"/>
  <c r="M43" i="17"/>
  <c r="L43" i="17"/>
  <c r="K43" i="17"/>
  <c r="O22" i="17"/>
  <c r="N22" i="17"/>
  <c r="M22" i="17"/>
  <c r="L22" i="17"/>
  <c r="K22" i="17"/>
  <c r="O21" i="17"/>
  <c r="N21" i="17"/>
  <c r="M21" i="17"/>
  <c r="L21" i="17"/>
  <c r="K21" i="17"/>
  <c r="O20" i="17"/>
  <c r="N20" i="17"/>
  <c r="M20" i="17"/>
  <c r="L20" i="17"/>
  <c r="K20" i="17"/>
  <c r="O19" i="17"/>
  <c r="N19" i="17"/>
  <c r="M19" i="17"/>
  <c r="L19" i="17"/>
  <c r="K19" i="17"/>
  <c r="O18" i="17"/>
  <c r="N18" i="17"/>
  <c r="M18" i="17"/>
  <c r="L18" i="17"/>
  <c r="K18" i="17"/>
  <c r="O17" i="17"/>
  <c r="N17" i="17"/>
  <c r="M17" i="17"/>
  <c r="L17" i="17"/>
  <c r="K17" i="17"/>
  <c r="O16" i="17"/>
  <c r="N16" i="17"/>
  <c r="M16" i="17"/>
  <c r="L16" i="17"/>
  <c r="K16" i="17"/>
  <c r="O15" i="17"/>
  <c r="N15" i="17"/>
  <c r="M15" i="17"/>
  <c r="L15" i="17"/>
  <c r="K15" i="17"/>
  <c r="O14" i="17"/>
  <c r="N14" i="17"/>
  <c r="M14" i="17"/>
  <c r="L14" i="17"/>
  <c r="K14" i="17"/>
  <c r="O13" i="17"/>
  <c r="N13" i="17"/>
  <c r="M13" i="17"/>
  <c r="L13" i="17"/>
  <c r="K13" i="17"/>
  <c r="O12" i="17"/>
  <c r="N12" i="17"/>
  <c r="M12" i="17"/>
  <c r="L12" i="17"/>
  <c r="K12" i="17"/>
  <c r="O11" i="17"/>
  <c r="N11" i="17"/>
  <c r="M11" i="17"/>
  <c r="L11" i="17"/>
  <c r="K11" i="17"/>
  <c r="O10" i="17"/>
  <c r="N10" i="17"/>
  <c r="M10" i="17"/>
  <c r="L10" i="17"/>
  <c r="K10" i="17"/>
  <c r="G59" i="17"/>
  <c r="S109" i="437"/>
  <c r="S107" i="437"/>
  <c r="S105" i="437"/>
  <c r="P97" i="437"/>
  <c r="O97" i="437"/>
  <c r="F97" i="437"/>
  <c r="E97" i="437"/>
  <c r="P96" i="437"/>
  <c r="O96" i="437"/>
  <c r="F96" i="437"/>
  <c r="E96" i="437"/>
  <c r="P95" i="437"/>
  <c r="O95" i="437"/>
  <c r="F95" i="437"/>
  <c r="E95" i="437"/>
  <c r="P94" i="437"/>
  <c r="O94" i="437"/>
  <c r="F94" i="437"/>
  <c r="E94" i="437"/>
  <c r="P93" i="437"/>
  <c r="O93" i="437"/>
  <c r="F93" i="437"/>
  <c r="E93" i="437"/>
  <c r="P92" i="437"/>
  <c r="O92" i="437"/>
  <c r="F92" i="437"/>
  <c r="E92" i="437"/>
  <c r="P91" i="437"/>
  <c r="O91" i="437"/>
  <c r="F91" i="437"/>
  <c r="E91" i="437"/>
  <c r="P90" i="437"/>
  <c r="O90" i="437"/>
  <c r="F90" i="437"/>
  <c r="E90" i="437"/>
  <c r="P89" i="437"/>
  <c r="O89" i="437"/>
  <c r="F89" i="437"/>
  <c r="E89" i="437"/>
  <c r="P88" i="437"/>
  <c r="O88" i="437"/>
  <c r="F88" i="437"/>
  <c r="E88" i="437"/>
  <c r="P87" i="437"/>
  <c r="O87" i="437"/>
  <c r="F87" i="437"/>
  <c r="E87" i="437"/>
  <c r="P86" i="437"/>
  <c r="O86" i="437"/>
  <c r="F86" i="437"/>
  <c r="E86" i="437"/>
  <c r="P85" i="437"/>
  <c r="O85" i="437"/>
  <c r="F85" i="437"/>
  <c r="E85" i="437"/>
  <c r="P84" i="437"/>
  <c r="O84" i="437"/>
  <c r="F84" i="437"/>
  <c r="E84" i="437"/>
  <c r="P83" i="437"/>
  <c r="O83" i="437"/>
  <c r="F83" i="437"/>
  <c r="E83" i="437"/>
  <c r="P82" i="437"/>
  <c r="O82" i="437"/>
  <c r="F82" i="437"/>
  <c r="E82" i="437"/>
  <c r="P81" i="437"/>
  <c r="O81" i="437"/>
  <c r="F81" i="437"/>
  <c r="E81" i="437"/>
  <c r="J66" i="437"/>
  <c r="S64" i="437"/>
  <c r="J63" i="437"/>
  <c r="C63" i="437"/>
  <c r="L99" i="26"/>
  <c r="P42" i="26" s="1"/>
  <c r="P43" i="26" s="1"/>
  <c r="AB96" i="26"/>
  <c r="AB95" i="26"/>
  <c r="AB94" i="26"/>
  <c r="AB93" i="26"/>
  <c r="AB92" i="26"/>
  <c r="AB91" i="26"/>
  <c r="AB90" i="26"/>
  <c r="AB89" i="26"/>
  <c r="AB88" i="26"/>
  <c r="AB87" i="26"/>
  <c r="AB86" i="26"/>
  <c r="AB85" i="26"/>
  <c r="AB84" i="26"/>
  <c r="AB83" i="26"/>
  <c r="AB82" i="26"/>
  <c r="AB81" i="26"/>
  <c r="AB80" i="26"/>
  <c r="AB79" i="26"/>
  <c r="AB78" i="26"/>
  <c r="AB77" i="26"/>
  <c r="AB76" i="26"/>
  <c r="AB75" i="26"/>
  <c r="AB74" i="26"/>
  <c r="AB73" i="26"/>
  <c r="AB72" i="26"/>
  <c r="AB71" i="26"/>
  <c r="AB70" i="26"/>
  <c r="AB69" i="26"/>
  <c r="AB68" i="26"/>
  <c r="AB67" i="26"/>
  <c r="AB66" i="26"/>
  <c r="AB65" i="26"/>
  <c r="AB64" i="26"/>
  <c r="AB63" i="26"/>
  <c r="AB62" i="26"/>
  <c r="AB61" i="26"/>
  <c r="AB60" i="26"/>
  <c r="AB59" i="26"/>
  <c r="AB58" i="26"/>
  <c r="AB57" i="26"/>
  <c r="AB56" i="26"/>
  <c r="AB55" i="26"/>
  <c r="AB54" i="26"/>
  <c r="AB53" i="26"/>
  <c r="AB52" i="26"/>
  <c r="AB51" i="26"/>
  <c r="AB50" i="26"/>
  <c r="AB49" i="26"/>
  <c r="AB48" i="26"/>
  <c r="AB47" i="26"/>
  <c r="C43" i="26"/>
  <c r="V34" i="26"/>
  <c r="AB34" i="26" s="1"/>
  <c r="F34" i="26"/>
  <c r="L34" i="26" s="1"/>
  <c r="V30" i="26"/>
  <c r="AB30" i="26" s="1"/>
  <c r="F30" i="26"/>
  <c r="L30" i="26" s="1"/>
  <c r="V24" i="26"/>
  <c r="AB24" i="26" s="1"/>
  <c r="F24" i="26"/>
  <c r="L24" i="26" s="1"/>
  <c r="V20" i="26"/>
  <c r="AB20" i="26" s="1"/>
  <c r="F20" i="26"/>
  <c r="L20" i="26" s="1"/>
  <c r="V15" i="26"/>
  <c r="V16" i="26" s="1"/>
  <c r="AB16" i="26" s="1"/>
  <c r="F15" i="26"/>
  <c r="F16" i="26" s="1"/>
  <c r="L16" i="26" s="1"/>
  <c r="BC138" i="14"/>
  <c r="BB138" i="14"/>
  <c r="BA138" i="14"/>
  <c r="AZ138" i="14"/>
  <c r="AY138" i="14"/>
  <c r="AX138" i="14"/>
  <c r="BC119" i="14"/>
  <c r="BB119" i="14"/>
  <c r="BA119" i="14"/>
  <c r="AZ119" i="14"/>
  <c r="AY119" i="14"/>
  <c r="BC104" i="14"/>
  <c r="BB104" i="14"/>
  <c r="BA104" i="14"/>
  <c r="AZ104" i="14"/>
  <c r="AY104" i="14"/>
  <c r="BC66" i="14"/>
  <c r="BC68" i="14" s="1"/>
  <c r="BB66" i="14"/>
  <c r="BB68" i="14" s="1"/>
  <c r="BA66" i="14"/>
  <c r="BA68" i="14" s="1"/>
  <c r="AZ66" i="14"/>
  <c r="AZ68" i="14" s="1"/>
  <c r="AY66" i="14"/>
  <c r="AY68" i="14" s="1"/>
  <c r="BC61" i="14"/>
  <c r="BC63" i="14" s="1"/>
  <c r="BB61" i="14"/>
  <c r="BB63" i="14" s="1"/>
  <c r="BA61" i="14"/>
  <c r="BA63" i="14" s="1"/>
  <c r="AZ61" i="14"/>
  <c r="AZ63" i="14" s="1"/>
  <c r="AY61" i="14"/>
  <c r="AY63" i="14" s="1"/>
  <c r="L99" i="436"/>
  <c r="K99" i="436"/>
  <c r="H99" i="436"/>
  <c r="E99" i="436"/>
  <c r="G67" i="436"/>
  <c r="O64" i="436"/>
  <c r="G64" i="436"/>
  <c r="C64" i="436"/>
  <c r="D19" i="9"/>
  <c r="G16" i="5"/>
  <c r="G15" i="5"/>
  <c r="G14" i="5"/>
  <c r="G13" i="5"/>
  <c r="G12" i="5"/>
  <c r="G11" i="5"/>
  <c r="G10" i="5"/>
  <c r="G9" i="5"/>
  <c r="G8" i="5"/>
  <c r="G7" i="5"/>
  <c r="G6" i="5"/>
  <c r="G5" i="5"/>
  <c r="A313" i="435"/>
  <c r="K310" i="435"/>
  <c r="I296" i="435"/>
  <c r="D289" i="435"/>
  <c r="G288" i="435"/>
  <c r="I288" i="435" s="1"/>
  <c r="C13" i="9" s="1"/>
  <c r="I287" i="435"/>
  <c r="G265" i="435"/>
  <c r="G263" i="435"/>
  <c r="G261" i="435"/>
  <c r="A231" i="435"/>
  <c r="K228" i="435"/>
  <c r="F177" i="435"/>
  <c r="I172" i="435"/>
  <c r="I165" i="435"/>
  <c r="J28" i="437" s="1"/>
  <c r="I164" i="435"/>
  <c r="J27" i="437" s="1"/>
  <c r="A158" i="435"/>
  <c r="K155" i="435"/>
  <c r="D115" i="435"/>
  <c r="D112" i="435"/>
  <c r="D109" i="435"/>
  <c r="G99" i="435"/>
  <c r="A80" i="435"/>
  <c r="K77" i="435"/>
  <c r="AB40" i="27" l="1"/>
  <c r="AI40" i="27" s="1"/>
  <c r="AI46" i="27" s="1"/>
  <c r="AE49" i="27" s="1"/>
  <c r="AE58" i="27" s="1"/>
  <c r="AF58" i="27" s="1"/>
  <c r="H44" i="27"/>
  <c r="O44" i="27" s="1"/>
  <c r="O46" i="27" s="1"/>
  <c r="K49" i="27" s="1"/>
  <c r="L29" i="17"/>
  <c r="AB26" i="26"/>
  <c r="T43" i="26" s="1"/>
  <c r="T52" i="26" s="1"/>
  <c r="U52" i="26" s="1"/>
  <c r="O38" i="17"/>
  <c r="N34" i="17"/>
  <c r="M27" i="17"/>
  <c r="M32" i="17"/>
  <c r="AB66" i="14"/>
  <c r="AB68" i="14" s="1"/>
  <c r="O29" i="17"/>
  <c r="O28" i="17"/>
  <c r="K30" i="17"/>
  <c r="K34" i="17"/>
  <c r="K38" i="17"/>
  <c r="K37" i="17"/>
  <c r="L34" i="17"/>
  <c r="M26" i="17"/>
  <c r="M30" i="17"/>
  <c r="M34" i="17"/>
  <c r="M38" i="17"/>
  <c r="I17" i="19"/>
  <c r="E64" i="17"/>
  <c r="E66" i="17" s="1"/>
  <c r="L31" i="17"/>
  <c r="O34" i="17"/>
  <c r="L82" i="437"/>
  <c r="L87" i="437"/>
  <c r="L92" i="437"/>
  <c r="AB36" i="26"/>
  <c r="W43" i="26" s="1"/>
  <c r="W69" i="26" s="1"/>
  <c r="X69" i="26" s="1"/>
  <c r="M35" i="17"/>
  <c r="D200" i="435"/>
  <c r="N27" i="17"/>
  <c r="L84" i="437"/>
  <c r="L94" i="437"/>
  <c r="H25" i="27"/>
  <c r="H26" i="27" s="1"/>
  <c r="H36" i="27" s="1"/>
  <c r="K28" i="17"/>
  <c r="K32" i="17"/>
  <c r="K36" i="17"/>
  <c r="L32" i="17"/>
  <c r="L36" i="17"/>
  <c r="M36" i="17"/>
  <c r="N28" i="17"/>
  <c r="N32" i="17"/>
  <c r="N36" i="17"/>
  <c r="O32" i="17"/>
  <c r="O36" i="17"/>
  <c r="K29" i="17"/>
  <c r="L36" i="26"/>
  <c r="G43" i="26" s="1"/>
  <c r="G68" i="26" s="1"/>
  <c r="H68" i="26" s="1"/>
  <c r="M37" i="17"/>
  <c r="N33" i="17"/>
  <c r="N37" i="17"/>
  <c r="O37" i="17"/>
  <c r="O31" i="17"/>
  <c r="O35" i="17"/>
  <c r="AB25" i="27"/>
  <c r="AB26" i="27" s="1"/>
  <c r="AB36" i="27" s="1"/>
  <c r="L30" i="17"/>
  <c r="L38" i="17"/>
  <c r="O26" i="17"/>
  <c r="O30" i="17"/>
  <c r="Y57" i="27"/>
  <c r="Z57" i="27" s="1"/>
  <c r="Y58" i="27"/>
  <c r="Z58" i="27" s="1"/>
  <c r="D5" i="39"/>
  <c r="K33" i="17"/>
  <c r="G17" i="5"/>
  <c r="D170" i="435" s="1"/>
  <c r="M31" i="17"/>
  <c r="D59" i="17"/>
  <c r="L93" i="437"/>
  <c r="C5" i="39"/>
  <c r="N31" i="17"/>
  <c r="N35" i="17"/>
  <c r="AB99" i="26"/>
  <c r="N29" i="17"/>
  <c r="O33" i="17"/>
  <c r="K26" i="17"/>
  <c r="L26" i="17"/>
  <c r="K27" i="17"/>
  <c r="K35" i="17"/>
  <c r="N30" i="17"/>
  <c r="H37" i="19"/>
  <c r="L27" i="17"/>
  <c r="L35" i="17"/>
  <c r="O56" i="17"/>
  <c r="D330" i="435"/>
  <c r="I5" i="4"/>
  <c r="AT66" i="14"/>
  <c r="AT68" i="14" s="1"/>
  <c r="AN66" i="14"/>
  <c r="AN68" i="14" s="1"/>
  <c r="O66" i="14"/>
  <c r="O68" i="14" s="1"/>
  <c r="AA66" i="14"/>
  <c r="AA68" i="14" s="1"/>
  <c r="L98" i="436" s="1"/>
  <c r="W66" i="14"/>
  <c r="W68" i="14" s="1"/>
  <c r="L94" i="436" s="1"/>
  <c r="AV66" i="14"/>
  <c r="AV68" i="14" s="1"/>
  <c r="Y66" i="14"/>
  <c r="Y68" i="14" s="1"/>
  <c r="L96" i="436" s="1"/>
  <c r="D66" i="14"/>
  <c r="D68" i="14" s="1"/>
  <c r="AD66" i="14"/>
  <c r="AD68" i="14" s="1"/>
  <c r="AC66" i="14"/>
  <c r="AC68" i="14" s="1"/>
  <c r="B17" i="6"/>
  <c r="D262" i="435" s="1"/>
  <c r="D266" i="435" s="1"/>
  <c r="E46" i="12"/>
  <c r="M23" i="17"/>
  <c r="M28" i="17"/>
  <c r="L97" i="437"/>
  <c r="L90" i="437"/>
  <c r="L95" i="437"/>
  <c r="F43" i="26"/>
  <c r="AG45" i="26"/>
  <c r="AE40" i="26"/>
  <c r="S40" i="26"/>
  <c r="C40" i="26"/>
  <c r="W83" i="26"/>
  <c r="X83" i="26" s="1"/>
  <c r="W63" i="26"/>
  <c r="X63" i="26" s="1"/>
  <c r="W68" i="26"/>
  <c r="X68" i="26" s="1"/>
  <c r="W92" i="26"/>
  <c r="X92" i="26" s="1"/>
  <c r="W62" i="26"/>
  <c r="X62" i="26" s="1"/>
  <c r="W85" i="26"/>
  <c r="X85" i="26" s="1"/>
  <c r="W81" i="26"/>
  <c r="X81" i="26" s="1"/>
  <c r="W79" i="26"/>
  <c r="X79" i="26" s="1"/>
  <c r="G61" i="17"/>
  <c r="O77" i="437"/>
  <c r="L96" i="437"/>
  <c r="L26" i="26"/>
  <c r="D43" i="26" s="1"/>
  <c r="G94" i="26"/>
  <c r="H94" i="26" s="1"/>
  <c r="O27" i="17"/>
  <c r="O23" i="17"/>
  <c r="N56" i="17"/>
  <c r="N26" i="17"/>
  <c r="N23" i="17"/>
  <c r="K56" i="17"/>
  <c r="L56" i="17"/>
  <c r="L81" i="437"/>
  <c r="M56" i="17"/>
  <c r="O59" i="17"/>
  <c r="O61" i="17" s="1"/>
  <c r="M59" i="17"/>
  <c r="M61" i="17" s="1"/>
  <c r="L59" i="17"/>
  <c r="L61" i="17" s="1"/>
  <c r="N59" i="17"/>
  <c r="N61" i="17" s="1"/>
  <c r="K59" i="17"/>
  <c r="K61" i="17" s="1"/>
  <c r="H59" i="17"/>
  <c r="J59" i="17"/>
  <c r="F59" i="17"/>
  <c r="E59" i="17"/>
  <c r="I59" i="17"/>
  <c r="L83" i="437"/>
  <c r="L86" i="437"/>
  <c r="Y62" i="27"/>
  <c r="Z62" i="27" s="1"/>
  <c r="Y60" i="27"/>
  <c r="Z60" i="27" s="1"/>
  <c r="Y63" i="27"/>
  <c r="Z63" i="27" s="1"/>
  <c r="Y55" i="27"/>
  <c r="Z55" i="27" s="1"/>
  <c r="Y59" i="27"/>
  <c r="Z59" i="27" s="1"/>
  <c r="E57" i="27"/>
  <c r="E56" i="27"/>
  <c r="F56" i="27" s="1"/>
  <c r="E55" i="27"/>
  <c r="F55" i="27" s="1"/>
  <c r="E58" i="27"/>
  <c r="E60" i="27"/>
  <c r="E59" i="27"/>
  <c r="E61" i="27"/>
  <c r="E63" i="27"/>
  <c r="A54" i="19"/>
  <c r="L28" i="17"/>
  <c r="Y61" i="27"/>
  <c r="Z61" i="27" s="1"/>
  <c r="L91" i="437"/>
  <c r="L89" i="437"/>
  <c r="W48" i="27"/>
  <c r="AM48" i="27"/>
  <c r="C48" i="27"/>
  <c r="B2" i="27"/>
  <c r="Y56" i="27"/>
  <c r="Z56" i="27" s="1"/>
  <c r="AJ65" i="27"/>
  <c r="E12" i="41"/>
  <c r="N38" i="17"/>
  <c r="AD65" i="27"/>
  <c r="L88" i="437"/>
  <c r="K31" i="17"/>
  <c r="L85" i="437"/>
  <c r="L33" i="17"/>
  <c r="K23" i="17"/>
  <c r="M29" i="17"/>
  <c r="M33" i="17"/>
  <c r="L37" i="17"/>
  <c r="L23" i="17"/>
  <c r="I25" i="19"/>
  <c r="A22" i="23"/>
  <c r="A24" i="23" s="1"/>
  <c r="D34" i="39"/>
  <c r="D32" i="39"/>
  <c r="C29" i="39"/>
  <c r="E5" i="39"/>
  <c r="B5" i="39"/>
  <c r="H29" i="19"/>
  <c r="B53" i="19"/>
  <c r="H45" i="19"/>
  <c r="E20" i="23"/>
  <c r="O26" i="27" l="1"/>
  <c r="O36" i="27" s="1"/>
  <c r="G49" i="27" s="1"/>
  <c r="W54" i="26"/>
  <c r="X54" i="26" s="1"/>
  <c r="W72" i="26"/>
  <c r="X72" i="26" s="1"/>
  <c r="W96" i="26"/>
  <c r="X96" i="26" s="1"/>
  <c r="W60" i="26"/>
  <c r="X60" i="26" s="1"/>
  <c r="W80" i="26"/>
  <c r="X80" i="26" s="1"/>
  <c r="W52" i="26"/>
  <c r="X52" i="26" s="1"/>
  <c r="AA52" i="26" s="1"/>
  <c r="AC52" i="26" s="1"/>
  <c r="W57" i="26"/>
  <c r="X57" i="26" s="1"/>
  <c r="W74" i="26"/>
  <c r="X74" i="26" s="1"/>
  <c r="W91" i="26"/>
  <c r="X91" i="26" s="1"/>
  <c r="W93" i="26"/>
  <c r="X93" i="26" s="1"/>
  <c r="W73" i="26"/>
  <c r="X73" i="26" s="1"/>
  <c r="W94" i="26"/>
  <c r="X94" i="26" s="1"/>
  <c r="W56" i="26"/>
  <c r="X56" i="26" s="1"/>
  <c r="W50" i="26"/>
  <c r="X50" i="26" s="1"/>
  <c r="W66" i="26"/>
  <c r="X66" i="26" s="1"/>
  <c r="W71" i="26"/>
  <c r="X71" i="26" s="1"/>
  <c r="W61" i="26"/>
  <c r="X61" i="26" s="1"/>
  <c r="W55" i="26"/>
  <c r="X55" i="26" s="1"/>
  <c r="W48" i="26"/>
  <c r="X48" i="26" s="1"/>
  <c r="W77" i="26"/>
  <c r="X77" i="26" s="1"/>
  <c r="W75" i="26"/>
  <c r="X75" i="26" s="1"/>
  <c r="W76" i="26"/>
  <c r="X76" i="26" s="1"/>
  <c r="W82" i="26"/>
  <c r="X82" i="26" s="1"/>
  <c r="W70" i="26"/>
  <c r="X70" i="26" s="1"/>
  <c r="W87" i="26"/>
  <c r="X87" i="26" s="1"/>
  <c r="W51" i="26"/>
  <c r="X51" i="26" s="1"/>
  <c r="W65" i="26"/>
  <c r="X65" i="26" s="1"/>
  <c r="E13" i="41"/>
  <c r="W58" i="26"/>
  <c r="X58" i="26" s="1"/>
  <c r="W90" i="26"/>
  <c r="X90" i="26" s="1"/>
  <c r="E21" i="12"/>
  <c r="E18" i="12"/>
  <c r="E26" i="12"/>
  <c r="F66" i="14"/>
  <c r="F68" i="14" s="1"/>
  <c r="L77" i="436" s="1"/>
  <c r="AE66" i="14"/>
  <c r="AE68" i="14" s="1"/>
  <c r="L104" i="436" s="1"/>
  <c r="W59" i="26"/>
  <c r="X59" i="26" s="1"/>
  <c r="W67" i="26"/>
  <c r="X67" i="26" s="1"/>
  <c r="AF66" i="14"/>
  <c r="AF68" i="14" s="1"/>
  <c r="L105" i="436" s="1"/>
  <c r="W47" i="26"/>
  <c r="X47" i="26" s="1"/>
  <c r="E31" i="12"/>
  <c r="AI66" i="14"/>
  <c r="AI68" i="14" s="1"/>
  <c r="C31" i="8"/>
  <c r="W53" i="26"/>
  <c r="X53" i="26" s="1"/>
  <c r="W86" i="26"/>
  <c r="X86" i="26" s="1"/>
  <c r="C32" i="8"/>
  <c r="W89" i="26"/>
  <c r="X89" i="26" s="1"/>
  <c r="C33" i="8"/>
  <c r="E33" i="12"/>
  <c r="AK66" i="14"/>
  <c r="AK68" i="14" s="1"/>
  <c r="L114" i="436" s="1"/>
  <c r="M66" i="14"/>
  <c r="M68" i="14" s="1"/>
  <c r="L84" i="436" s="1"/>
  <c r="W49" i="26"/>
  <c r="X49" i="26" s="1"/>
  <c r="W88" i="26"/>
  <c r="X88" i="26" s="1"/>
  <c r="U66" i="14"/>
  <c r="U68" i="14" s="1"/>
  <c r="L92" i="436" s="1"/>
  <c r="AG66" i="14"/>
  <c r="AG68" i="14" s="1"/>
  <c r="L107" i="436" s="1"/>
  <c r="AW66" i="14"/>
  <c r="AW68" i="14" s="1"/>
  <c r="L123" i="436" s="1"/>
  <c r="V66" i="14"/>
  <c r="V68" i="14" s="1"/>
  <c r="L93" i="436" s="1"/>
  <c r="AP54" i="14"/>
  <c r="AP37" i="14" s="1"/>
  <c r="E30" i="12"/>
  <c r="AU66" i="14"/>
  <c r="AU68" i="14" s="1"/>
  <c r="Z66" i="14"/>
  <c r="Z68" i="14" s="1"/>
  <c r="L97" i="436" s="1"/>
  <c r="BA21" i="14"/>
  <c r="AN21" i="14"/>
  <c r="AP21" i="14"/>
  <c r="AP66" i="14"/>
  <c r="AP68" i="14" s="1"/>
  <c r="P66" i="14"/>
  <c r="P68" i="14" s="1"/>
  <c r="L87" i="436" s="1"/>
  <c r="C35" i="8"/>
  <c r="AJ66" i="14"/>
  <c r="AJ68" i="14" s="1"/>
  <c r="AO66" i="14"/>
  <c r="AO68" i="14" s="1"/>
  <c r="L110" i="436" s="1"/>
  <c r="AX66" i="14"/>
  <c r="AX68" i="14" s="1"/>
  <c r="L115" i="436" s="1"/>
  <c r="T66" i="14"/>
  <c r="T68" i="14" s="1"/>
  <c r="L91" i="436" s="1"/>
  <c r="AH66" i="14"/>
  <c r="AH68" i="14" s="1"/>
  <c r="AR66" i="14"/>
  <c r="AR68" i="14" s="1"/>
  <c r="L102" i="436" s="1"/>
  <c r="AS66" i="14"/>
  <c r="AS68" i="14" s="1"/>
  <c r="L100" i="436" s="1"/>
  <c r="AQ66" i="14"/>
  <c r="AQ68" i="14" s="1"/>
  <c r="L116" i="436" s="1"/>
  <c r="K66" i="14"/>
  <c r="K68" i="14" s="1"/>
  <c r="L83" i="436" s="1"/>
  <c r="Q66" i="14"/>
  <c r="Q68" i="14" s="1"/>
  <c r="L88" i="436" s="1"/>
  <c r="N66" i="14"/>
  <c r="N68" i="14" s="1"/>
  <c r="L86" i="436" s="1"/>
  <c r="L66" i="14"/>
  <c r="L68" i="14" s="1"/>
  <c r="AL66" i="14"/>
  <c r="AL68" i="14" s="1"/>
  <c r="X66" i="14"/>
  <c r="X68" i="14" s="1"/>
  <c r="L95" i="436" s="1"/>
  <c r="R66" i="14"/>
  <c r="R68" i="14" s="1"/>
  <c r="L89" i="436" s="1"/>
  <c r="G66" i="14"/>
  <c r="G68" i="14" s="1"/>
  <c r="L78" i="436" s="1"/>
  <c r="AM66" i="14"/>
  <c r="AM68" i="14" s="1"/>
  <c r="L118" i="436" s="1"/>
  <c r="AW54" i="14"/>
  <c r="AN54" i="14"/>
  <c r="H66" i="14"/>
  <c r="H68" i="14" s="1"/>
  <c r="L79" i="436" s="1"/>
  <c r="S66" i="14"/>
  <c r="S68" i="14" s="1"/>
  <c r="L90" i="436" s="1"/>
  <c r="W84" i="26"/>
  <c r="X84" i="26" s="1"/>
  <c r="K63" i="27"/>
  <c r="K57" i="27"/>
  <c r="E56" i="12"/>
  <c r="E66" i="14"/>
  <c r="E68" i="14" s="1"/>
  <c r="L76" i="436" s="1"/>
  <c r="H64" i="17"/>
  <c r="I64" i="17"/>
  <c r="I66" i="17" s="1"/>
  <c r="J64" i="17"/>
  <c r="J66" i="17" s="1"/>
  <c r="E23" i="14"/>
  <c r="M64" i="17"/>
  <c r="M66" i="17" s="1"/>
  <c r="K64" i="17"/>
  <c r="K66" i="17" s="1"/>
  <c r="L101" i="436"/>
  <c r="F64" i="17"/>
  <c r="O39" i="17"/>
  <c r="O132" i="17" s="1"/>
  <c r="L64" i="17"/>
  <c r="L66" i="17" s="1"/>
  <c r="O64" i="17"/>
  <c r="O66" i="17" s="1"/>
  <c r="E41" i="12"/>
  <c r="N64" i="17"/>
  <c r="N66" i="17" s="1"/>
  <c r="G64" i="17"/>
  <c r="G66" i="17" s="1"/>
  <c r="I23" i="14"/>
  <c r="AE61" i="27"/>
  <c r="AF61" i="27" s="1"/>
  <c r="AE63" i="27"/>
  <c r="AF63" i="27" s="1"/>
  <c r="AE57" i="27"/>
  <c r="AF57" i="27" s="1"/>
  <c r="K61" i="27"/>
  <c r="AE62" i="27"/>
  <c r="AF62" i="27" s="1"/>
  <c r="AE55" i="27"/>
  <c r="AF55" i="27" s="1"/>
  <c r="K60" i="27"/>
  <c r="K58" i="27"/>
  <c r="K59" i="27"/>
  <c r="K55" i="27"/>
  <c r="L55" i="27" s="1"/>
  <c r="AE59" i="27"/>
  <c r="AF59" i="27" s="1"/>
  <c r="AE60" i="27"/>
  <c r="AF60" i="27" s="1"/>
  <c r="AE56" i="27"/>
  <c r="AF56" i="27" s="1"/>
  <c r="G53" i="26"/>
  <c r="H53" i="26" s="1"/>
  <c r="G56" i="26"/>
  <c r="H56" i="26" s="1"/>
  <c r="G65" i="26"/>
  <c r="H65" i="26" s="1"/>
  <c r="G69" i="26"/>
  <c r="H69" i="26" s="1"/>
  <c r="G87" i="26"/>
  <c r="H87" i="26" s="1"/>
  <c r="G73" i="26"/>
  <c r="H73" i="26" s="1"/>
  <c r="G70" i="26"/>
  <c r="H70" i="26" s="1"/>
  <c r="G47" i="26"/>
  <c r="H47" i="26" s="1"/>
  <c r="G77" i="26"/>
  <c r="H77" i="26" s="1"/>
  <c r="G96" i="26"/>
  <c r="H96" i="26" s="1"/>
  <c r="G88" i="26"/>
  <c r="H88" i="26" s="1"/>
  <c r="G58" i="26"/>
  <c r="H58" i="26" s="1"/>
  <c r="G51" i="26"/>
  <c r="H51" i="26" s="1"/>
  <c r="G67" i="26"/>
  <c r="H67" i="26" s="1"/>
  <c r="G90" i="26"/>
  <c r="H90" i="26" s="1"/>
  <c r="G82" i="26"/>
  <c r="H82" i="26" s="1"/>
  <c r="G50" i="26"/>
  <c r="H50" i="26" s="1"/>
  <c r="G95" i="26"/>
  <c r="H95" i="26" s="1"/>
  <c r="G91" i="26"/>
  <c r="H91" i="26" s="1"/>
  <c r="G71" i="26"/>
  <c r="H71" i="26" s="1"/>
  <c r="G62" i="26"/>
  <c r="H62" i="26" s="1"/>
  <c r="G55" i="26"/>
  <c r="H55" i="26" s="1"/>
  <c r="G60" i="26"/>
  <c r="H60" i="26" s="1"/>
  <c r="G57" i="26"/>
  <c r="H57" i="26" s="1"/>
  <c r="G64" i="26"/>
  <c r="H64" i="26" s="1"/>
  <c r="G92" i="26"/>
  <c r="H92" i="26" s="1"/>
  <c r="G59" i="26"/>
  <c r="H59" i="26" s="1"/>
  <c r="G83" i="26"/>
  <c r="H83" i="26" s="1"/>
  <c r="G93" i="26"/>
  <c r="H93" i="26" s="1"/>
  <c r="G61" i="26"/>
  <c r="H61" i="26" s="1"/>
  <c r="G78" i="26"/>
  <c r="H78" i="26" s="1"/>
  <c r="G54" i="26"/>
  <c r="H54" i="26" s="1"/>
  <c r="G72" i="26"/>
  <c r="H72" i="26" s="1"/>
  <c r="G48" i="26"/>
  <c r="H48" i="26" s="1"/>
  <c r="G80" i="26"/>
  <c r="H80" i="26" s="1"/>
  <c r="G74" i="26"/>
  <c r="H74" i="26" s="1"/>
  <c r="T84" i="26"/>
  <c r="U84" i="26" s="1"/>
  <c r="T48" i="26"/>
  <c r="U48" i="26" s="1"/>
  <c r="T59" i="26"/>
  <c r="U59" i="26" s="1"/>
  <c r="T87" i="26"/>
  <c r="U87" i="26" s="1"/>
  <c r="AA87" i="26" s="1"/>
  <c r="AC87" i="26" s="1"/>
  <c r="T57" i="26"/>
  <c r="U57" i="26" s="1"/>
  <c r="T65" i="26"/>
  <c r="U65" i="26" s="1"/>
  <c r="T80" i="26"/>
  <c r="U80" i="26" s="1"/>
  <c r="AA80" i="26" s="1"/>
  <c r="AC80" i="26" s="1"/>
  <c r="T86" i="26"/>
  <c r="U86" i="26" s="1"/>
  <c r="AA86" i="26" s="1"/>
  <c r="AC86" i="26" s="1"/>
  <c r="T94" i="26"/>
  <c r="U94" i="26" s="1"/>
  <c r="T96" i="26"/>
  <c r="U96" i="26" s="1"/>
  <c r="AA96" i="26" s="1"/>
  <c r="AC96" i="26" s="1"/>
  <c r="T77" i="26"/>
  <c r="U77" i="26" s="1"/>
  <c r="AA77" i="26" s="1"/>
  <c r="AC77" i="26" s="1"/>
  <c r="T56" i="26"/>
  <c r="U56" i="26" s="1"/>
  <c r="T54" i="26"/>
  <c r="U54" i="26" s="1"/>
  <c r="AA54" i="26" s="1"/>
  <c r="AC54" i="26" s="1"/>
  <c r="T90" i="26"/>
  <c r="U90" i="26" s="1"/>
  <c r="T61" i="26"/>
  <c r="U61" i="26" s="1"/>
  <c r="T49" i="26"/>
  <c r="U49" i="26" s="1"/>
  <c r="T92" i="26"/>
  <c r="U92" i="26" s="1"/>
  <c r="AA92" i="26" s="1"/>
  <c r="AC92" i="26" s="1"/>
  <c r="T81" i="26"/>
  <c r="U81" i="26" s="1"/>
  <c r="AA81" i="26" s="1"/>
  <c r="AC81" i="26" s="1"/>
  <c r="T69" i="26"/>
  <c r="U69" i="26" s="1"/>
  <c r="AA69" i="26" s="1"/>
  <c r="AC69" i="26" s="1"/>
  <c r="T63" i="26"/>
  <c r="U63" i="26" s="1"/>
  <c r="AA63" i="26" s="1"/>
  <c r="AC63" i="26" s="1"/>
  <c r="T91" i="26"/>
  <c r="U91" i="26" s="1"/>
  <c r="AA91" i="26" s="1"/>
  <c r="AC91" i="26" s="1"/>
  <c r="T82" i="26"/>
  <c r="U82" i="26" s="1"/>
  <c r="AA82" i="26" s="1"/>
  <c r="AC82" i="26" s="1"/>
  <c r="T55" i="26"/>
  <c r="U55" i="26" s="1"/>
  <c r="T76" i="26"/>
  <c r="U76" i="26" s="1"/>
  <c r="AA76" i="26" s="1"/>
  <c r="AC76" i="26" s="1"/>
  <c r="T47" i="26"/>
  <c r="U47" i="26" s="1"/>
  <c r="T67" i="26"/>
  <c r="U67" i="26" s="1"/>
  <c r="T89" i="26"/>
  <c r="U89" i="26" s="1"/>
  <c r="T75" i="26"/>
  <c r="U75" i="26" s="1"/>
  <c r="AA75" i="26" s="1"/>
  <c r="AC75" i="26" s="1"/>
  <c r="T64" i="26"/>
  <c r="U64" i="26" s="1"/>
  <c r="T85" i="26"/>
  <c r="U85" i="26" s="1"/>
  <c r="AA85" i="26" s="1"/>
  <c r="AC85" i="26" s="1"/>
  <c r="T88" i="26"/>
  <c r="U88" i="26" s="1"/>
  <c r="T53" i="26"/>
  <c r="U53" i="26" s="1"/>
  <c r="AA53" i="26" s="1"/>
  <c r="AC53" i="26" s="1"/>
  <c r="T74" i="26"/>
  <c r="U74" i="26" s="1"/>
  <c r="T68" i="26"/>
  <c r="U68" i="26" s="1"/>
  <c r="AA68" i="26" s="1"/>
  <c r="AC68" i="26" s="1"/>
  <c r="T58" i="26"/>
  <c r="U58" i="26" s="1"/>
  <c r="T60" i="26"/>
  <c r="U60" i="26" s="1"/>
  <c r="AA60" i="26" s="1"/>
  <c r="AC60" i="26" s="1"/>
  <c r="T62" i="26"/>
  <c r="U62" i="26" s="1"/>
  <c r="AA62" i="26" s="1"/>
  <c r="AC62" i="26" s="1"/>
  <c r="T70" i="26"/>
  <c r="U70" i="26" s="1"/>
  <c r="AA70" i="26" s="1"/>
  <c r="AC70" i="26" s="1"/>
  <c r="T93" i="26"/>
  <c r="U93" i="26" s="1"/>
  <c r="AA93" i="26" s="1"/>
  <c r="AC93" i="26" s="1"/>
  <c r="T95" i="26"/>
  <c r="U95" i="26" s="1"/>
  <c r="T66" i="26"/>
  <c r="U66" i="26" s="1"/>
  <c r="T73" i="26"/>
  <c r="U73" i="26" s="1"/>
  <c r="T50" i="26"/>
  <c r="U50" i="26" s="1"/>
  <c r="T71" i="26"/>
  <c r="U71" i="26" s="1"/>
  <c r="T83" i="26"/>
  <c r="U83" i="26" s="1"/>
  <c r="AA83" i="26" s="1"/>
  <c r="AC83" i="26" s="1"/>
  <c r="T72" i="26"/>
  <c r="U72" i="26" s="1"/>
  <c r="AA72" i="26" s="1"/>
  <c r="AC72" i="26" s="1"/>
  <c r="T79" i="26"/>
  <c r="U79" i="26" s="1"/>
  <c r="AA79" i="26" s="1"/>
  <c r="AC79" i="26" s="1"/>
  <c r="T78" i="26"/>
  <c r="U78" i="26" s="1"/>
  <c r="T51" i="26"/>
  <c r="U51" i="26" s="1"/>
  <c r="AA51" i="26" s="1"/>
  <c r="AC51" i="26" s="1"/>
  <c r="E7" i="41"/>
  <c r="E11" i="41"/>
  <c r="G84" i="26"/>
  <c r="H84" i="26" s="1"/>
  <c r="L120" i="436"/>
  <c r="Y54" i="14"/>
  <c r="C34" i="8"/>
  <c r="J66" i="14"/>
  <c r="J68" i="14" s="1"/>
  <c r="L82" i="436" s="1"/>
  <c r="D12" i="4"/>
  <c r="L111" i="436"/>
  <c r="L121" i="436"/>
  <c r="L119" i="436"/>
  <c r="E32" i="12"/>
  <c r="L103" i="436"/>
  <c r="L85" i="436"/>
  <c r="L112" i="436"/>
  <c r="L109" i="436"/>
  <c r="L122" i="436"/>
  <c r="L113" i="436"/>
  <c r="L106" i="436"/>
  <c r="L117" i="436"/>
  <c r="I66" i="14"/>
  <c r="I68" i="14" s="1"/>
  <c r="AF54" i="14"/>
  <c r="K62" i="27"/>
  <c r="E11" i="12"/>
  <c r="E47" i="12"/>
  <c r="E15" i="12"/>
  <c r="D6" i="4"/>
  <c r="P75" i="437"/>
  <c r="AG23" i="14"/>
  <c r="E60" i="12"/>
  <c r="E63" i="12"/>
  <c r="AE54" i="14"/>
  <c r="G89" i="26"/>
  <c r="H89" i="26" s="1"/>
  <c r="E19" i="12"/>
  <c r="E17" i="12"/>
  <c r="AS23" i="14"/>
  <c r="E56" i="14"/>
  <c r="BA23" i="14"/>
  <c r="W64" i="26"/>
  <c r="X64" i="26" s="1"/>
  <c r="W78" i="26"/>
  <c r="X78" i="26" s="1"/>
  <c r="W95" i="26"/>
  <c r="X95" i="26" s="1"/>
  <c r="AB46" i="14"/>
  <c r="AO46" i="14"/>
  <c r="E44" i="12"/>
  <c r="W54" i="14"/>
  <c r="T46" i="14"/>
  <c r="W21" i="14"/>
  <c r="N10" i="3"/>
  <c r="E35" i="12"/>
  <c r="E22" i="12"/>
  <c r="C30" i="8"/>
  <c r="AI26" i="27"/>
  <c r="AI36" i="27" s="1"/>
  <c r="AA49" i="27" s="1"/>
  <c r="AA55" i="27" s="1"/>
  <c r="AB55" i="27" s="1"/>
  <c r="V54" i="14"/>
  <c r="K56" i="27"/>
  <c r="L56" i="27" s="1"/>
  <c r="AV46" i="14"/>
  <c r="D15" i="4"/>
  <c r="E24" i="23"/>
  <c r="AW21" i="14"/>
  <c r="E12" i="12"/>
  <c r="N21" i="14"/>
  <c r="AM21" i="14"/>
  <c r="G85" i="26"/>
  <c r="H85" i="26" s="1"/>
  <c r="E8" i="41"/>
  <c r="G49" i="26"/>
  <c r="H49" i="26" s="1"/>
  <c r="G86" i="26"/>
  <c r="H86" i="26" s="1"/>
  <c r="E50" i="12"/>
  <c r="G81" i="26"/>
  <c r="H81" i="26" s="1"/>
  <c r="G75" i="26"/>
  <c r="H75" i="26" s="1"/>
  <c r="M21" i="14"/>
  <c r="E57" i="12"/>
  <c r="G76" i="26"/>
  <c r="H76" i="26" s="1"/>
  <c r="G63" i="26"/>
  <c r="H63" i="26" s="1"/>
  <c r="Y21" i="14"/>
  <c r="G66" i="26"/>
  <c r="H66" i="26" s="1"/>
  <c r="G79" i="26"/>
  <c r="H79" i="26" s="1"/>
  <c r="G52" i="26"/>
  <c r="H52" i="26" s="1"/>
  <c r="K39" i="17"/>
  <c r="K132" i="17" s="1"/>
  <c r="L39" i="17"/>
  <c r="L132" i="17" s="1"/>
  <c r="D8" i="4"/>
  <c r="AN46" i="14"/>
  <c r="C19" i="10"/>
  <c r="J26" i="437" s="1"/>
  <c r="E10" i="12"/>
  <c r="AZ19" i="14"/>
  <c r="AZ52" i="14"/>
  <c r="BA54" i="14"/>
  <c r="BA37" i="14" s="1"/>
  <c r="N16" i="3"/>
  <c r="E49" i="12"/>
  <c r="N11" i="3"/>
  <c r="E20" i="12"/>
  <c r="E54" i="12"/>
  <c r="E48" i="12"/>
  <c r="E43" i="12"/>
  <c r="E61" i="12"/>
  <c r="N22" i="3"/>
  <c r="BB21" i="14"/>
  <c r="BB54" i="14"/>
  <c r="E36" i="12"/>
  <c r="E39" i="12"/>
  <c r="D13" i="4"/>
  <c r="M39" i="17"/>
  <c r="M132" i="17" s="1"/>
  <c r="E42" i="12"/>
  <c r="E34" i="12"/>
  <c r="E16" i="12"/>
  <c r="E25" i="12"/>
  <c r="D9" i="4"/>
  <c r="E45" i="12"/>
  <c r="E38" i="12"/>
  <c r="E58" i="12"/>
  <c r="E55" i="12"/>
  <c r="E28" i="12"/>
  <c r="N15" i="3"/>
  <c r="C41" i="438"/>
  <c r="H61" i="17"/>
  <c r="O78" i="437"/>
  <c r="I54" i="14"/>
  <c r="I21" i="14"/>
  <c r="F56" i="14"/>
  <c r="F23" i="14"/>
  <c r="AH56" i="14"/>
  <c r="AH23" i="14"/>
  <c r="BC56" i="14"/>
  <c r="BC23" i="14"/>
  <c r="Z46" i="14"/>
  <c r="E27" i="12"/>
  <c r="D10" i="4"/>
  <c r="AG56" i="14"/>
  <c r="AS54" i="14"/>
  <c r="AS21" i="14"/>
  <c r="AO21" i="14"/>
  <c r="AO54" i="14"/>
  <c r="I56" i="14"/>
  <c r="AD23" i="14"/>
  <c r="AD56" i="14"/>
  <c r="P23" i="14"/>
  <c r="P56" i="14"/>
  <c r="U46" i="14"/>
  <c r="E59" i="12"/>
  <c r="L75" i="436"/>
  <c r="N21" i="3"/>
  <c r="K54" i="14"/>
  <c r="K21" i="14"/>
  <c r="Q54" i="14"/>
  <c r="X56" i="14"/>
  <c r="X23" i="14"/>
  <c r="AI56" i="14"/>
  <c r="AI23" i="14"/>
  <c r="AL56" i="14"/>
  <c r="AL23" i="14"/>
  <c r="AC46" i="14"/>
  <c r="AP46" i="14"/>
  <c r="E62" i="12"/>
  <c r="AF23" i="14"/>
  <c r="AF56" i="14"/>
  <c r="N54" i="14"/>
  <c r="AQ54" i="14"/>
  <c r="AQ21" i="14"/>
  <c r="AJ23" i="14"/>
  <c r="AJ56" i="14"/>
  <c r="D56" i="14"/>
  <c r="D23" i="14"/>
  <c r="Q23" i="14"/>
  <c r="Q56" i="14"/>
  <c r="E46" i="14"/>
  <c r="K46" i="14"/>
  <c r="E14" i="12"/>
  <c r="N19" i="3"/>
  <c r="AM54" i="14"/>
  <c r="T54" i="14"/>
  <c r="T21" i="14"/>
  <c r="R21" i="14"/>
  <c r="R54" i="14"/>
  <c r="BE106" i="14"/>
  <c r="AK56" i="14"/>
  <c r="AK23" i="14"/>
  <c r="AR23" i="14"/>
  <c r="AR56" i="14"/>
  <c r="AM56" i="14"/>
  <c r="AM23" i="14"/>
  <c r="AI46" i="14"/>
  <c r="AE46" i="14"/>
  <c r="D16" i="4"/>
  <c r="N14" i="3"/>
  <c r="Z54" i="14"/>
  <c r="Z21" i="14"/>
  <c r="AR21" i="14"/>
  <c r="AR54" i="14"/>
  <c r="BE115" i="14"/>
  <c r="E40" i="12"/>
  <c r="AP56" i="14"/>
  <c r="AP23" i="14"/>
  <c r="O56" i="14"/>
  <c r="O23" i="14"/>
  <c r="G56" i="14"/>
  <c r="G23" i="14"/>
  <c r="D46" i="14"/>
  <c r="H46" i="14"/>
  <c r="AY46" i="14"/>
  <c r="AY13" i="14"/>
  <c r="E37" i="8"/>
  <c r="BB19" i="14"/>
  <c r="BB52" i="14"/>
  <c r="AU54" i="14"/>
  <c r="AU21" i="14"/>
  <c r="U54" i="14"/>
  <c r="U21" i="14"/>
  <c r="L56" i="14"/>
  <c r="L23" i="14"/>
  <c r="AT56" i="14"/>
  <c r="AT23" i="14"/>
  <c r="AA56" i="14"/>
  <c r="AA23" i="14"/>
  <c r="AL21" i="14"/>
  <c r="AL54" i="14"/>
  <c r="AS57" i="14"/>
  <c r="Y57" i="14"/>
  <c r="E57" i="14"/>
  <c r="AR57" i="14"/>
  <c r="W57" i="14"/>
  <c r="AO57" i="14"/>
  <c r="S57" i="14"/>
  <c r="AN57" i="14"/>
  <c r="R57" i="14"/>
  <c r="AM57" i="14"/>
  <c r="Q57" i="14"/>
  <c r="AJ57" i="14"/>
  <c r="N57" i="14"/>
  <c r="G57" i="14"/>
  <c r="F57" i="14"/>
  <c r="AA57" i="14"/>
  <c r="AU57" i="14"/>
  <c r="AT57" i="14"/>
  <c r="AQ57" i="14"/>
  <c r="AP57" i="14"/>
  <c r="V57" i="14"/>
  <c r="AV57" i="14"/>
  <c r="O57" i="14"/>
  <c r="L57" i="14"/>
  <c r="I57" i="14"/>
  <c r="H57" i="14"/>
  <c r="AW57" i="14"/>
  <c r="Z57" i="14"/>
  <c r="P57" i="14"/>
  <c r="J57" i="14"/>
  <c r="Z65" i="27"/>
  <c r="O79" i="437"/>
  <c r="I61" i="17"/>
  <c r="AX52" i="14"/>
  <c r="AK52" i="14"/>
  <c r="AQ52" i="14"/>
  <c r="AO52" i="14"/>
  <c r="T52" i="14"/>
  <c r="AL52" i="14"/>
  <c r="P52" i="14"/>
  <c r="AD52" i="14"/>
  <c r="E52" i="14"/>
  <c r="D52" i="14"/>
  <c r="AB52" i="14"/>
  <c r="AW52" i="14"/>
  <c r="X52" i="14"/>
  <c r="W52" i="14"/>
  <c r="S52" i="14"/>
  <c r="R52" i="14"/>
  <c r="O52" i="14"/>
  <c r="N52" i="14"/>
  <c r="AN52" i="14"/>
  <c r="AM52" i="14"/>
  <c r="AJ52" i="14"/>
  <c r="AI52" i="14"/>
  <c r="AE52" i="14"/>
  <c r="J52" i="14"/>
  <c r="G52" i="14"/>
  <c r="AF52" i="14"/>
  <c r="Z52" i="14"/>
  <c r="L52" i="14"/>
  <c r="K52" i="14"/>
  <c r="AV52" i="14"/>
  <c r="AT52" i="14"/>
  <c r="AH52" i="14"/>
  <c r="F52" i="14"/>
  <c r="H52" i="14"/>
  <c r="AR52" i="14"/>
  <c r="AG52" i="14"/>
  <c r="M52" i="14"/>
  <c r="I52" i="14"/>
  <c r="AV54" i="14"/>
  <c r="AV21" i="14"/>
  <c r="AT54" i="14"/>
  <c r="AT21" i="14"/>
  <c r="S56" i="14"/>
  <c r="S23" i="14"/>
  <c r="V56" i="14"/>
  <c r="V23" i="14"/>
  <c r="AU56" i="14"/>
  <c r="AU23" i="14"/>
  <c r="AD46" i="14"/>
  <c r="O46" i="14"/>
  <c r="G7" i="11"/>
  <c r="D17" i="4"/>
  <c r="D14" i="4"/>
  <c r="AX21" i="14"/>
  <c r="AX54" i="14"/>
  <c r="AC21" i="14"/>
  <c r="AC54" i="14"/>
  <c r="AV56" i="14"/>
  <c r="AV23" i="14"/>
  <c r="W56" i="14"/>
  <c r="W23" i="14"/>
  <c r="AE23" i="14"/>
  <c r="AE56" i="14"/>
  <c r="AS46" i="14"/>
  <c r="P46" i="14"/>
  <c r="N13" i="3"/>
  <c r="D61" i="17"/>
  <c r="O74" i="437"/>
  <c r="AA46" i="14"/>
  <c r="BC24" i="14"/>
  <c r="BC57" i="14"/>
  <c r="H54" i="14"/>
  <c r="H21" i="14"/>
  <c r="AY21" i="14"/>
  <c r="AY54" i="14"/>
  <c r="Q76" i="17"/>
  <c r="AW23" i="14"/>
  <c r="AY56" i="14"/>
  <c r="AY23" i="14"/>
  <c r="BA13" i="14"/>
  <c r="BA46" i="14"/>
  <c r="AQ46" i="14"/>
  <c r="J61" i="17"/>
  <c r="O80" i="437"/>
  <c r="D92" i="26"/>
  <c r="E92" i="26" s="1"/>
  <c r="D72" i="26"/>
  <c r="E72" i="26" s="1"/>
  <c r="D52" i="26"/>
  <c r="E52" i="26" s="1"/>
  <c r="D91" i="26"/>
  <c r="E91" i="26" s="1"/>
  <c r="D70" i="26"/>
  <c r="E70" i="26" s="1"/>
  <c r="D49" i="26"/>
  <c r="E49" i="26" s="1"/>
  <c r="D81" i="26"/>
  <c r="E81" i="26" s="1"/>
  <c r="D60" i="26"/>
  <c r="E60" i="26" s="1"/>
  <c r="D71" i="26"/>
  <c r="E71" i="26" s="1"/>
  <c r="D50" i="26"/>
  <c r="E50" i="26" s="1"/>
  <c r="D93" i="26"/>
  <c r="E93" i="26" s="1"/>
  <c r="D82" i="26"/>
  <c r="E82" i="26" s="1"/>
  <c r="D61" i="26"/>
  <c r="E61" i="26" s="1"/>
  <c r="D84" i="26"/>
  <c r="E84" i="26" s="1"/>
  <c r="D80" i="26"/>
  <c r="E80" i="26" s="1"/>
  <c r="D73" i="26"/>
  <c r="E73" i="26" s="1"/>
  <c r="D65" i="26"/>
  <c r="E65" i="26" s="1"/>
  <c r="K65" i="26" s="1"/>
  <c r="M65" i="26" s="1"/>
  <c r="D54" i="26"/>
  <c r="E54" i="26" s="1"/>
  <c r="D69" i="26"/>
  <c r="E69" i="26" s="1"/>
  <c r="D62" i="26"/>
  <c r="E62" i="26" s="1"/>
  <c r="D58" i="26"/>
  <c r="E58" i="26" s="1"/>
  <c r="D88" i="26"/>
  <c r="E88" i="26" s="1"/>
  <c r="D51" i="26"/>
  <c r="E51" i="26" s="1"/>
  <c r="D96" i="26"/>
  <c r="E96" i="26" s="1"/>
  <c r="D89" i="26"/>
  <c r="E89" i="26" s="1"/>
  <c r="D66" i="26"/>
  <c r="E66" i="26" s="1"/>
  <c r="D83" i="26"/>
  <c r="E83" i="26" s="1"/>
  <c r="D76" i="26"/>
  <c r="E76" i="26" s="1"/>
  <c r="D90" i="26"/>
  <c r="E90" i="26" s="1"/>
  <c r="D78" i="26"/>
  <c r="E78" i="26" s="1"/>
  <c r="D55" i="26"/>
  <c r="E55" i="26" s="1"/>
  <c r="D64" i="26"/>
  <c r="E64" i="26" s="1"/>
  <c r="D86" i="26"/>
  <c r="E86" i="26" s="1"/>
  <c r="D68" i="26"/>
  <c r="E68" i="26" s="1"/>
  <c r="K68" i="26" s="1"/>
  <c r="M68" i="26" s="1"/>
  <c r="D59" i="26"/>
  <c r="E59" i="26" s="1"/>
  <c r="D95" i="26"/>
  <c r="E95" i="26" s="1"/>
  <c r="D56" i="26"/>
  <c r="E56" i="26" s="1"/>
  <c r="K56" i="26" s="1"/>
  <c r="M56" i="26" s="1"/>
  <c r="D53" i="26"/>
  <c r="E53" i="26" s="1"/>
  <c r="K53" i="26" s="1"/>
  <c r="M53" i="26" s="1"/>
  <c r="D79" i="26"/>
  <c r="E79" i="26" s="1"/>
  <c r="D67" i="26"/>
  <c r="E67" i="26" s="1"/>
  <c r="D77" i="26"/>
  <c r="E77" i="26" s="1"/>
  <c r="K77" i="26" s="1"/>
  <c r="M77" i="26" s="1"/>
  <c r="D57" i="26"/>
  <c r="E57" i="26" s="1"/>
  <c r="D87" i="26"/>
  <c r="E87" i="26" s="1"/>
  <c r="D47" i="26"/>
  <c r="E47" i="26" s="1"/>
  <c r="D94" i="26"/>
  <c r="E94" i="26" s="1"/>
  <c r="K94" i="26" s="1"/>
  <c r="M94" i="26" s="1"/>
  <c r="D85" i="26"/>
  <c r="E85" i="26" s="1"/>
  <c r="D74" i="26"/>
  <c r="E74" i="26" s="1"/>
  <c r="D63" i="26"/>
  <c r="E63" i="26" s="1"/>
  <c r="D75" i="26"/>
  <c r="E75" i="26" s="1"/>
  <c r="D48" i="26"/>
  <c r="E48" i="26" s="1"/>
  <c r="G60" i="27"/>
  <c r="H60" i="27" s="1"/>
  <c r="G56" i="27"/>
  <c r="H56" i="27" s="1"/>
  <c r="I56" i="27" s="1"/>
  <c r="G55" i="27"/>
  <c r="H55" i="27" s="1"/>
  <c r="I55" i="27" s="1"/>
  <c r="G59" i="27"/>
  <c r="H59" i="27" s="1"/>
  <c r="G61" i="27"/>
  <c r="H61" i="27" s="1"/>
  <c r="G58" i="27"/>
  <c r="H58" i="27" s="1"/>
  <c r="G63" i="27"/>
  <c r="H63" i="27" s="1"/>
  <c r="G57" i="27"/>
  <c r="H57" i="27" s="1"/>
  <c r="G62" i="27"/>
  <c r="H62" i="27" s="1"/>
  <c r="F66" i="17"/>
  <c r="P76" i="437"/>
  <c r="AC57" i="14"/>
  <c r="AA52" i="14"/>
  <c r="P54" i="14"/>
  <c r="P21" i="14"/>
  <c r="AZ54" i="14"/>
  <c r="AZ21" i="14"/>
  <c r="L54" i="14"/>
  <c r="L21" i="14"/>
  <c r="AX23" i="14"/>
  <c r="AX56" i="14"/>
  <c r="Y56" i="14"/>
  <c r="Y23" i="14"/>
  <c r="AF46" i="14"/>
  <c r="Q46" i="14"/>
  <c r="E51" i="12"/>
  <c r="C67" i="12"/>
  <c r="E9" i="41"/>
  <c r="AB57" i="14"/>
  <c r="AZ23" i="14"/>
  <c r="AZ56" i="14"/>
  <c r="AX57" i="14"/>
  <c r="O75" i="437"/>
  <c r="E61" i="17"/>
  <c r="AY24" i="14"/>
  <c r="AY57" i="14"/>
  <c r="BA19" i="14"/>
  <c r="BA52" i="14"/>
  <c r="AU52" i="14"/>
  <c r="X54" i="14"/>
  <c r="X21" i="14"/>
  <c r="AH54" i="14"/>
  <c r="AH21" i="14"/>
  <c r="BB56" i="14"/>
  <c r="BB23" i="14"/>
  <c r="M23" i="14"/>
  <c r="M56" i="14"/>
  <c r="F46" i="14"/>
  <c r="AR46" i="14"/>
  <c r="E13" i="12"/>
  <c r="N12" i="3"/>
  <c r="D11" i="4"/>
  <c r="E10" i="41"/>
  <c r="Q107" i="17"/>
  <c r="G54" i="14"/>
  <c r="G21" i="14"/>
  <c r="U57" i="14"/>
  <c r="N39" i="17"/>
  <c r="N132" i="17" s="1"/>
  <c r="A61" i="19"/>
  <c r="X57" i="14"/>
  <c r="M57" i="14"/>
  <c r="Y52" i="14"/>
  <c r="BE127" i="14"/>
  <c r="AA54" i="14"/>
  <c r="AA21" i="14"/>
  <c r="M54" i="14"/>
  <c r="T56" i="14"/>
  <c r="T23" i="14"/>
  <c r="AN56" i="14"/>
  <c r="AN23" i="14"/>
  <c r="BB13" i="14"/>
  <c r="BB46" i="14"/>
  <c r="S46" i="14"/>
  <c r="Y46" i="14"/>
  <c r="BC19" i="14"/>
  <c r="BC52" i="14"/>
  <c r="AP13" i="14"/>
  <c r="V13" i="14"/>
  <c r="AO13" i="14"/>
  <c r="U13" i="14"/>
  <c r="AN13" i="14"/>
  <c r="T13" i="14"/>
  <c r="Q13" i="14"/>
  <c r="AL13" i="14"/>
  <c r="L13" i="14"/>
  <c r="AE13" i="14"/>
  <c r="AE29" i="14" s="1"/>
  <c r="Y13" i="14"/>
  <c r="X13" i="14"/>
  <c r="AX13" i="14"/>
  <c r="AV13" i="14"/>
  <c r="R13" i="14"/>
  <c r="O13" i="14"/>
  <c r="K13" i="14"/>
  <c r="J13" i="14"/>
  <c r="AR13" i="14"/>
  <c r="E13" i="14"/>
  <c r="AB13" i="14"/>
  <c r="Z13" i="14"/>
  <c r="P13" i="14"/>
  <c r="I13" i="14"/>
  <c r="H13" i="14"/>
  <c r="F13" i="14"/>
  <c r="AU13" i="14"/>
  <c r="AM13" i="14"/>
  <c r="AI13" i="14"/>
  <c r="AG13" i="14"/>
  <c r="AD13" i="14"/>
  <c r="AD29" i="14" s="1"/>
  <c r="AV19" i="14"/>
  <c r="AV35" i="14" s="1"/>
  <c r="AB19" i="14"/>
  <c r="H19" i="14"/>
  <c r="AU19" i="14"/>
  <c r="AA19" i="14"/>
  <c r="G19" i="14"/>
  <c r="Z19" i="14"/>
  <c r="F19" i="14"/>
  <c r="AQ19" i="14"/>
  <c r="W19" i="14"/>
  <c r="AR19" i="14"/>
  <c r="S19" i="14"/>
  <c r="AP19" i="14"/>
  <c r="R19" i="14"/>
  <c r="AN19" i="14"/>
  <c r="P19" i="14"/>
  <c r="P35" i="14" s="1"/>
  <c r="AK19" i="14"/>
  <c r="M19" i="14"/>
  <c r="AG19" i="14"/>
  <c r="AF19" i="14"/>
  <c r="AE19" i="14"/>
  <c r="AD19" i="14"/>
  <c r="AD35" i="14" s="1"/>
  <c r="AC19" i="14"/>
  <c r="AX19" i="14"/>
  <c r="I19" i="14"/>
  <c r="AW19" i="14"/>
  <c r="E19" i="14"/>
  <c r="AS19" i="14"/>
  <c r="D19" i="14"/>
  <c r="AO19" i="14"/>
  <c r="AI19" i="14"/>
  <c r="Y19" i="14"/>
  <c r="T19" i="14"/>
  <c r="N19" i="14"/>
  <c r="N35" i="14" s="1"/>
  <c r="AM19" i="14"/>
  <c r="AL19" i="14"/>
  <c r="O19" i="14"/>
  <c r="AJ19" i="14"/>
  <c r="AH19" i="14"/>
  <c r="L19" i="14"/>
  <c r="L35" i="14" s="1"/>
  <c r="Q19" i="14"/>
  <c r="K19" i="14"/>
  <c r="U19" i="14"/>
  <c r="J19" i="14"/>
  <c r="AC52" i="14"/>
  <c r="J13" i="17"/>
  <c r="I13" i="17"/>
  <c r="H13" i="17"/>
  <c r="E13" i="17"/>
  <c r="D13" i="17"/>
  <c r="G13" i="17"/>
  <c r="F13" i="17"/>
  <c r="J54" i="14"/>
  <c r="J21" i="14"/>
  <c r="AG54" i="14"/>
  <c r="AG21" i="14"/>
  <c r="AJ54" i="14"/>
  <c r="AJ21" i="14"/>
  <c r="U56" i="14"/>
  <c r="U23" i="14"/>
  <c r="N56" i="14"/>
  <c r="N23" i="14"/>
  <c r="V46" i="14"/>
  <c r="G46" i="14"/>
  <c r="AT46" i="14"/>
  <c r="E23" i="12"/>
  <c r="Q52" i="14"/>
  <c r="AE57" i="14"/>
  <c r="U52" i="14"/>
  <c r="AB54" i="14"/>
  <c r="AB21" i="14"/>
  <c r="AD54" i="14"/>
  <c r="AD21" i="14"/>
  <c r="O54" i="14"/>
  <c r="O21" i="14"/>
  <c r="AC56" i="14"/>
  <c r="AC23" i="14"/>
  <c r="AO23" i="14"/>
  <c r="AO56" i="14"/>
  <c r="BC13" i="14"/>
  <c r="BC46" i="14"/>
  <c r="J46" i="14"/>
  <c r="E29" i="12"/>
  <c r="T57" i="14"/>
  <c r="AO61" i="14"/>
  <c r="AO63" i="14" s="1"/>
  <c r="AS61" i="14"/>
  <c r="AS63" i="14" s="1"/>
  <c r="X61" i="14"/>
  <c r="X63" i="14" s="1"/>
  <c r="K95" i="436" s="1"/>
  <c r="D61" i="14"/>
  <c r="D63" i="14" s="1"/>
  <c r="AR61" i="14"/>
  <c r="AR63" i="14" s="1"/>
  <c r="W61" i="14"/>
  <c r="W63" i="14" s="1"/>
  <c r="K94" i="436" s="1"/>
  <c r="AQ61" i="14"/>
  <c r="AQ63" i="14" s="1"/>
  <c r="T61" i="14"/>
  <c r="T63" i="14" s="1"/>
  <c r="K91" i="436" s="1"/>
  <c r="AN61" i="14"/>
  <c r="AN63" i="14" s="1"/>
  <c r="R61" i="14"/>
  <c r="R63" i="14" s="1"/>
  <c r="K89" i="436" s="1"/>
  <c r="AM61" i="14"/>
  <c r="AM63" i="14" s="1"/>
  <c r="Q61" i="14"/>
  <c r="Q63" i="14" s="1"/>
  <c r="K88" i="436" s="1"/>
  <c r="AW61" i="14"/>
  <c r="AW63" i="14" s="1"/>
  <c r="U61" i="14"/>
  <c r="U63" i="14" s="1"/>
  <c r="K92" i="436" s="1"/>
  <c r="AP61" i="14"/>
  <c r="AP63" i="14" s="1"/>
  <c r="N61" i="14"/>
  <c r="N63" i="14" s="1"/>
  <c r="AJ61" i="14"/>
  <c r="AJ63" i="14" s="1"/>
  <c r="K61" i="14"/>
  <c r="K63" i="14" s="1"/>
  <c r="AL61" i="14"/>
  <c r="AL63" i="14" s="1"/>
  <c r="I61" i="14"/>
  <c r="I63" i="14" s="1"/>
  <c r="AK61" i="14"/>
  <c r="AK63" i="14" s="1"/>
  <c r="H61" i="14"/>
  <c r="H63" i="14" s="1"/>
  <c r="K79" i="436" s="1"/>
  <c r="AH61" i="14"/>
  <c r="AH63" i="14" s="1"/>
  <c r="F61" i="14"/>
  <c r="F63" i="14" s="1"/>
  <c r="AG61" i="14"/>
  <c r="AG63" i="14" s="1"/>
  <c r="E61" i="14"/>
  <c r="E63" i="14" s="1"/>
  <c r="Z61" i="14"/>
  <c r="Z63" i="14" s="1"/>
  <c r="K97" i="436" s="1"/>
  <c r="AB61" i="14"/>
  <c r="AB63" i="14" s="1"/>
  <c r="Y61" i="14"/>
  <c r="Y63" i="14" s="1"/>
  <c r="K96" i="436" s="1"/>
  <c r="V61" i="14"/>
  <c r="V63" i="14" s="1"/>
  <c r="K93" i="436" s="1"/>
  <c r="AU61" i="14"/>
  <c r="AU63" i="14" s="1"/>
  <c r="AE61" i="14"/>
  <c r="AE63" i="14" s="1"/>
  <c r="AX61" i="14"/>
  <c r="AX63" i="14" s="1"/>
  <c r="AT61" i="14"/>
  <c r="AT63" i="14" s="1"/>
  <c r="AI61" i="14"/>
  <c r="AI63" i="14" s="1"/>
  <c r="AA61" i="14"/>
  <c r="AA63" i="14" s="1"/>
  <c r="K98" i="436" s="1"/>
  <c r="O61" i="14"/>
  <c r="O63" i="14" s="1"/>
  <c r="L61" i="14"/>
  <c r="L63" i="14" s="1"/>
  <c r="M61" i="14"/>
  <c r="M63" i="14" s="1"/>
  <c r="K84" i="436" s="1"/>
  <c r="J61" i="14"/>
  <c r="J63" i="14" s="1"/>
  <c r="K82" i="436" s="1"/>
  <c r="G61" i="14"/>
  <c r="G63" i="14" s="1"/>
  <c r="AC61" i="14"/>
  <c r="AC63" i="14" s="1"/>
  <c r="AV61" i="14"/>
  <c r="AV63" i="14" s="1"/>
  <c r="AF61" i="14"/>
  <c r="AF63" i="14" s="1"/>
  <c r="AD61" i="14"/>
  <c r="AD63" i="14" s="1"/>
  <c r="P61" i="14"/>
  <c r="P63" i="14" s="1"/>
  <c r="K87" i="436" s="1"/>
  <c r="S61" i="14"/>
  <c r="S63" i="14" s="1"/>
  <c r="K90" i="436" s="1"/>
  <c r="AG57" i="14"/>
  <c r="Q70" i="17"/>
  <c r="D64" i="17"/>
  <c r="BA57" i="14"/>
  <c r="BA24" i="14"/>
  <c r="AH57" i="14"/>
  <c r="AS52" i="14"/>
  <c r="E54" i="14"/>
  <c r="E21" i="14"/>
  <c r="AI54" i="14"/>
  <c r="AI21" i="14"/>
  <c r="H56" i="14"/>
  <c r="H23" i="14"/>
  <c r="R23" i="14"/>
  <c r="R56" i="14"/>
  <c r="M46" i="14"/>
  <c r="M13" i="14"/>
  <c r="AH46" i="14"/>
  <c r="AH13" i="14"/>
  <c r="E24" i="12"/>
  <c r="H22" i="3"/>
  <c r="G14" i="11"/>
  <c r="I14" i="11" s="1"/>
  <c r="AP52" i="14"/>
  <c r="BE102" i="14"/>
  <c r="K23" i="14"/>
  <c r="K56" i="14"/>
  <c r="AD57" i="14"/>
  <c r="B60" i="19"/>
  <c r="H52" i="19"/>
  <c r="H66" i="17"/>
  <c r="P78" i="437"/>
  <c r="K57" i="14"/>
  <c r="AK57" i="14"/>
  <c r="V52" i="14"/>
  <c r="V19" i="14"/>
  <c r="AK54" i="14"/>
  <c r="AK21" i="14"/>
  <c r="BC54" i="14"/>
  <c r="BC21" i="14"/>
  <c r="N18" i="3"/>
  <c r="Z56" i="14"/>
  <c r="Z23" i="14"/>
  <c r="AQ23" i="14"/>
  <c r="AQ56" i="14"/>
  <c r="W13" i="14"/>
  <c r="W46" i="14"/>
  <c r="I46" i="14"/>
  <c r="N46" i="14"/>
  <c r="N13" i="14"/>
  <c r="E65" i="12"/>
  <c r="E37" i="12"/>
  <c r="N17" i="3"/>
  <c r="G12" i="11"/>
  <c r="X19" i="14"/>
  <c r="F46" i="17"/>
  <c r="H46" i="17"/>
  <c r="J46" i="17"/>
  <c r="I46" i="17"/>
  <c r="G46" i="17"/>
  <c r="E46" i="17"/>
  <c r="D46" i="17"/>
  <c r="D21" i="14"/>
  <c r="BE85" i="14"/>
  <c r="D54" i="14"/>
  <c r="O76" i="437"/>
  <c r="F61" i="17"/>
  <c r="AQ24" i="14"/>
  <c r="W24" i="14"/>
  <c r="AP24" i="14"/>
  <c r="AP40" i="14" s="1"/>
  <c r="V24" i="14"/>
  <c r="AO24" i="14"/>
  <c r="U24" i="14"/>
  <c r="AL24" i="14"/>
  <c r="R24" i="14"/>
  <c r="AX24" i="14"/>
  <c r="Z24" i="14"/>
  <c r="AW24" i="14"/>
  <c r="Y24" i="14"/>
  <c r="AU24" i="14"/>
  <c r="T24" i="14"/>
  <c r="AR24" i="14"/>
  <c r="P24" i="14"/>
  <c r="AJ24" i="14"/>
  <c r="H24" i="14"/>
  <c r="AI24" i="14"/>
  <c r="G24" i="14"/>
  <c r="AH24" i="14"/>
  <c r="F24" i="14"/>
  <c r="AG24" i="14"/>
  <c r="AG40" i="14" s="1"/>
  <c r="E24" i="14"/>
  <c r="E40" i="14" s="1"/>
  <c r="L24" i="14"/>
  <c r="K24" i="14"/>
  <c r="J24" i="14"/>
  <c r="AV24" i="14"/>
  <c r="I24" i="14"/>
  <c r="AM24" i="14"/>
  <c r="M24" i="14"/>
  <c r="AS24" i="14"/>
  <c r="AS40" i="14" s="1"/>
  <c r="AC24" i="14"/>
  <c r="AT24" i="14"/>
  <c r="AN24" i="14"/>
  <c r="AK24" i="14"/>
  <c r="AB24" i="14"/>
  <c r="AE24" i="14"/>
  <c r="AD24" i="14"/>
  <c r="S24" i="14"/>
  <c r="Q24" i="14"/>
  <c r="O24" i="14"/>
  <c r="N24" i="14"/>
  <c r="AA24" i="14"/>
  <c r="X24" i="14"/>
  <c r="X40" i="14" s="1"/>
  <c r="AL57" i="14"/>
  <c r="Q69" i="17"/>
  <c r="AT19" i="14"/>
  <c r="BE117" i="14"/>
  <c r="F21" i="14"/>
  <c r="F54" i="14"/>
  <c r="S21" i="14"/>
  <c r="S54" i="14"/>
  <c r="AB23" i="14"/>
  <c r="AB56" i="14"/>
  <c r="J23" i="14"/>
  <c r="J56" i="14"/>
  <c r="AW46" i="14"/>
  <c r="AW13" i="14"/>
  <c r="AK13" i="14"/>
  <c r="AK46" i="14"/>
  <c r="E64" i="12"/>
  <c r="N20" i="3"/>
  <c r="D7" i="4"/>
  <c r="AB40" i="14" l="1"/>
  <c r="K84" i="26"/>
  <c r="M84" i="26" s="1"/>
  <c r="P79" i="437"/>
  <c r="AL35" i="14"/>
  <c r="K90" i="26"/>
  <c r="M90" i="26" s="1"/>
  <c r="AA94" i="26"/>
  <c r="AC94" i="26" s="1"/>
  <c r="AA89" i="26"/>
  <c r="AC89" i="26" s="1"/>
  <c r="AP29" i="14"/>
  <c r="E29" i="14"/>
  <c r="AA65" i="26"/>
  <c r="AC65" i="26" s="1"/>
  <c r="AM40" i="14"/>
  <c r="I40" i="14"/>
  <c r="AX40" i="14"/>
  <c r="J40" i="14"/>
  <c r="P80" i="437"/>
  <c r="K70" i="26"/>
  <c r="M70" i="26" s="1"/>
  <c r="AA57" i="26"/>
  <c r="AC57" i="26" s="1"/>
  <c r="AE35" i="14"/>
  <c r="K50" i="26"/>
  <c r="M50" i="26" s="1"/>
  <c r="H29" i="14"/>
  <c r="AO40" i="14"/>
  <c r="O40" i="14"/>
  <c r="AQ40" i="14"/>
  <c r="S40" i="14"/>
  <c r="S35" i="14"/>
  <c r="Z35" i="14"/>
  <c r="AI29" i="14"/>
  <c r="AN40" i="14"/>
  <c r="AR40" i="14"/>
  <c r="Y40" i="14"/>
  <c r="H40" i="14"/>
  <c r="K35" i="14"/>
  <c r="AB35" i="14"/>
  <c r="C37" i="8"/>
  <c r="D331" i="435" s="1"/>
  <c r="K110" i="436"/>
  <c r="K69" i="26"/>
  <c r="M69" i="26" s="1"/>
  <c r="AA71" i="26"/>
  <c r="AC71" i="26" s="1"/>
  <c r="AA50" i="26"/>
  <c r="AC50" i="26" s="1"/>
  <c r="AM35" i="14"/>
  <c r="AN35" i="14"/>
  <c r="AA73" i="26"/>
  <c r="AC73" i="26" s="1"/>
  <c r="AA55" i="26"/>
  <c r="AC55" i="26" s="1"/>
  <c r="AA59" i="26"/>
  <c r="AC59" i="26" s="1"/>
  <c r="AA66" i="26"/>
  <c r="AC66" i="26" s="1"/>
  <c r="P77" i="437"/>
  <c r="AI35" i="14"/>
  <c r="Z29" i="14"/>
  <c r="AK35" i="14"/>
  <c r="AA67" i="26"/>
  <c r="AC67" i="26" s="1"/>
  <c r="AJ35" i="14"/>
  <c r="AA58" i="26"/>
  <c r="AC58" i="26" s="1"/>
  <c r="AA49" i="26"/>
  <c r="AC49" i="26" s="1"/>
  <c r="AE40" i="14"/>
  <c r="AA63" i="27"/>
  <c r="AB63" i="27" s="1"/>
  <c r="AC63" i="27" s="1"/>
  <c r="AI63" i="27" s="1"/>
  <c r="AK63" i="27" s="1"/>
  <c r="AT40" i="14"/>
  <c r="K87" i="26"/>
  <c r="M87" i="26" s="1"/>
  <c r="AA61" i="26"/>
  <c r="AC61" i="26" s="1"/>
  <c r="AA48" i="26"/>
  <c r="AC48" i="26" s="1"/>
  <c r="AO35" i="14"/>
  <c r="AA58" i="27"/>
  <c r="AB58" i="27" s="1"/>
  <c r="AC58" i="27" s="1"/>
  <c r="AI58" i="27" s="1"/>
  <c r="AK58" i="27" s="1"/>
  <c r="AU40" i="14"/>
  <c r="K29" i="14"/>
  <c r="K57" i="26"/>
  <c r="M57" i="26" s="1"/>
  <c r="AA74" i="26"/>
  <c r="AC74" i="26" s="1"/>
  <c r="AA90" i="26"/>
  <c r="AC90" i="26" s="1"/>
  <c r="K102" i="436"/>
  <c r="L108" i="436"/>
  <c r="AQ35" i="14"/>
  <c r="AW40" i="14"/>
  <c r="I35" i="14"/>
  <c r="O29" i="14"/>
  <c r="K92" i="26"/>
  <c r="M92" i="26" s="1"/>
  <c r="Z40" i="14"/>
  <c r="J35" i="14"/>
  <c r="AX35" i="14"/>
  <c r="AU35" i="14"/>
  <c r="AA88" i="26"/>
  <c r="AC88" i="26" s="1"/>
  <c r="AA56" i="26"/>
  <c r="AC56" i="26" s="1"/>
  <c r="BE91" i="14"/>
  <c r="AO29" i="14"/>
  <c r="AA40" i="14"/>
  <c r="BE83" i="14"/>
  <c r="Q21" i="14"/>
  <c r="AF21" i="14"/>
  <c r="AF37" i="14" s="1"/>
  <c r="AE21" i="14"/>
  <c r="AE37" i="14" s="1"/>
  <c r="L80" i="436"/>
  <c r="G11" i="11"/>
  <c r="I11" i="11" s="1"/>
  <c r="H17" i="3"/>
  <c r="AN37" i="14"/>
  <c r="AH40" i="14"/>
  <c r="AA35" i="14"/>
  <c r="E39" i="14"/>
  <c r="M40" i="14"/>
  <c r="AM46" i="14"/>
  <c r="AM29" i="14" s="1"/>
  <c r="AW37" i="14"/>
  <c r="AF65" i="27"/>
  <c r="AA84" i="26"/>
  <c r="AC84" i="26" s="1"/>
  <c r="AW56" i="14"/>
  <c r="AW39" i="14" s="1"/>
  <c r="K83" i="436"/>
  <c r="K105" i="436"/>
  <c r="K122" i="436"/>
  <c r="BB39" i="14"/>
  <c r="T40" i="14"/>
  <c r="AA62" i="27"/>
  <c r="AB62" i="27" s="1"/>
  <c r="AC62" i="27" s="1"/>
  <c r="AI62" i="27" s="1"/>
  <c r="AK62" i="27" s="1"/>
  <c r="AA61" i="27"/>
  <c r="AB61" i="27" s="1"/>
  <c r="AC61" i="27" s="1"/>
  <c r="AI61" i="27" s="1"/>
  <c r="AK61" i="27" s="1"/>
  <c r="O56" i="27"/>
  <c r="Q56" i="27" s="1"/>
  <c r="AA57" i="27"/>
  <c r="AB57" i="27" s="1"/>
  <c r="AC57" i="27" s="1"/>
  <c r="AI57" i="27" s="1"/>
  <c r="AK57" i="27" s="1"/>
  <c r="AA60" i="27"/>
  <c r="AB60" i="27" s="1"/>
  <c r="AC60" i="27" s="1"/>
  <c r="AI60" i="27" s="1"/>
  <c r="AK60" i="27" s="1"/>
  <c r="AA56" i="27"/>
  <c r="AB56" i="27" s="1"/>
  <c r="AC56" i="27" s="1"/>
  <c r="AI56" i="27" s="1"/>
  <c r="AK56" i="27" s="1"/>
  <c r="AA59" i="27"/>
  <c r="AB59" i="27" s="1"/>
  <c r="AC59" i="27" s="1"/>
  <c r="AI59" i="27" s="1"/>
  <c r="AK59" i="27" s="1"/>
  <c r="K82" i="26"/>
  <c r="M82" i="26" s="1"/>
  <c r="K96" i="26"/>
  <c r="M96" i="26" s="1"/>
  <c r="AA47" i="26"/>
  <c r="AC47" i="26" s="1"/>
  <c r="U99" i="26"/>
  <c r="H99" i="26"/>
  <c r="K47" i="26"/>
  <c r="M47" i="26" s="1"/>
  <c r="E99" i="26"/>
  <c r="K73" i="26"/>
  <c r="M73" i="26" s="1"/>
  <c r="K85" i="26"/>
  <c r="M85" i="26" s="1"/>
  <c r="K88" i="26"/>
  <c r="M88" i="26" s="1"/>
  <c r="K80" i="26"/>
  <c r="M80" i="26" s="1"/>
  <c r="K48" i="26"/>
  <c r="M48" i="26" s="1"/>
  <c r="K63" i="26"/>
  <c r="M63" i="26" s="1"/>
  <c r="K76" i="26"/>
  <c r="M76" i="26" s="1"/>
  <c r="K74" i="26"/>
  <c r="M74" i="26" s="1"/>
  <c r="K51" i="26"/>
  <c r="M51" i="26" s="1"/>
  <c r="K52" i="26"/>
  <c r="M52" i="26" s="1"/>
  <c r="K72" i="26"/>
  <c r="M72" i="26" s="1"/>
  <c r="K67" i="26"/>
  <c r="M67" i="26" s="1"/>
  <c r="K62" i="26"/>
  <c r="M62" i="26" s="1"/>
  <c r="K91" i="26"/>
  <c r="M91" i="26" s="1"/>
  <c r="K58" i="26"/>
  <c r="M58" i="26" s="1"/>
  <c r="K95" i="26"/>
  <c r="M95" i="26" s="1"/>
  <c r="K86" i="26"/>
  <c r="M86" i="26" s="1"/>
  <c r="K61" i="26"/>
  <c r="M61" i="26" s="1"/>
  <c r="K64" i="26"/>
  <c r="M64" i="26" s="1"/>
  <c r="K55" i="26"/>
  <c r="M55" i="26" s="1"/>
  <c r="K93" i="26"/>
  <c r="M93" i="26" s="1"/>
  <c r="K78" i="26"/>
  <c r="M78" i="26" s="1"/>
  <c r="K54" i="26"/>
  <c r="M54" i="26" s="1"/>
  <c r="K71" i="26"/>
  <c r="M71" i="26" s="1"/>
  <c r="K60" i="26"/>
  <c r="M60" i="26" s="1"/>
  <c r="K59" i="26"/>
  <c r="M59" i="26" s="1"/>
  <c r="K83" i="26"/>
  <c r="M83" i="26" s="1"/>
  <c r="K81" i="26"/>
  <c r="M81" i="26" s="1"/>
  <c r="K66" i="26"/>
  <c r="M66" i="26" s="1"/>
  <c r="K49" i="26"/>
  <c r="M49" i="26" s="1"/>
  <c r="K89" i="26"/>
  <c r="M89" i="26" s="1"/>
  <c r="X99" i="26"/>
  <c r="AA95" i="26"/>
  <c r="AC95" i="26" s="1"/>
  <c r="AA78" i="26"/>
  <c r="AC78" i="26" s="1"/>
  <c r="AA64" i="26"/>
  <c r="AC64" i="26" s="1"/>
  <c r="X46" i="14"/>
  <c r="X29" i="14" s="1"/>
  <c r="Y37" i="14"/>
  <c r="K81" i="436"/>
  <c r="H34" i="3"/>
  <c r="K119" i="436"/>
  <c r="K111" i="436"/>
  <c r="K76" i="436"/>
  <c r="K113" i="436"/>
  <c r="K108" i="436"/>
  <c r="L81" i="436"/>
  <c r="K86" i="436"/>
  <c r="K112" i="436"/>
  <c r="AB29" i="14"/>
  <c r="K116" i="436"/>
  <c r="K104" i="436"/>
  <c r="K101" i="436"/>
  <c r="K117" i="436"/>
  <c r="R46" i="14"/>
  <c r="R29" i="14" s="1"/>
  <c r="K78" i="436"/>
  <c r="K120" i="436"/>
  <c r="K106" i="436"/>
  <c r="K80" i="436"/>
  <c r="K109" i="436"/>
  <c r="K85" i="436"/>
  <c r="K107" i="436"/>
  <c r="K114" i="436"/>
  <c r="K118" i="436"/>
  <c r="K121" i="436"/>
  <c r="K123" i="436"/>
  <c r="Z39" i="14"/>
  <c r="K103" i="436"/>
  <c r="AX46" i="14"/>
  <c r="AX29" i="14" s="1"/>
  <c r="AY19" i="14"/>
  <c r="AY52" i="14"/>
  <c r="K100" i="436"/>
  <c r="H12" i="3"/>
  <c r="Y119" i="14"/>
  <c r="K115" i="436"/>
  <c r="W37" i="14"/>
  <c r="K77" i="436"/>
  <c r="AL46" i="14"/>
  <c r="AL29" i="14" s="1"/>
  <c r="AG39" i="14"/>
  <c r="W39" i="14"/>
  <c r="G35" i="14"/>
  <c r="BE88" i="14"/>
  <c r="BE77" i="14"/>
  <c r="Q29" i="14"/>
  <c r="AR39" i="14"/>
  <c r="AG46" i="14"/>
  <c r="AG29" i="14" s="1"/>
  <c r="BE107" i="14"/>
  <c r="AW29" i="14"/>
  <c r="AQ119" i="14"/>
  <c r="W40" i="14"/>
  <c r="U29" i="14"/>
  <c r="D17" i="5"/>
  <c r="AN29" i="14"/>
  <c r="AI57" i="14"/>
  <c r="AI40" i="14" s="1"/>
  <c r="BE87" i="14"/>
  <c r="C17" i="5"/>
  <c r="K75" i="26"/>
  <c r="M75" i="26" s="1"/>
  <c r="H17" i="5"/>
  <c r="D176" i="435" s="1"/>
  <c r="AJ40" i="14"/>
  <c r="P40" i="14"/>
  <c r="W35" i="14"/>
  <c r="AV40" i="14"/>
  <c r="AC40" i="14"/>
  <c r="F29" i="14"/>
  <c r="AS56" i="14"/>
  <c r="AS39" i="14" s="1"/>
  <c r="L46" i="14"/>
  <c r="L29" i="14" s="1"/>
  <c r="AF57" i="14"/>
  <c r="AJ13" i="14"/>
  <c r="V40" i="14"/>
  <c r="E35" i="14"/>
  <c r="AU46" i="14"/>
  <c r="AU29" i="14" s="1"/>
  <c r="I101" i="17"/>
  <c r="P29" i="14"/>
  <c r="AL40" i="14"/>
  <c r="K79" i="26"/>
  <c r="M79" i="26" s="1"/>
  <c r="U40" i="14"/>
  <c r="AF35" i="14"/>
  <c r="AF24" i="14"/>
  <c r="AR29" i="14"/>
  <c r="BA56" i="14"/>
  <c r="BA39" i="14" s="1"/>
  <c r="T29" i="14"/>
  <c r="J119" i="14"/>
  <c r="AT119" i="14"/>
  <c r="AM39" i="14"/>
  <c r="Q35" i="14"/>
  <c r="BA29" i="14"/>
  <c r="V29" i="14"/>
  <c r="G119" i="14"/>
  <c r="T35" i="14"/>
  <c r="AP35" i="14"/>
  <c r="BB29" i="14"/>
  <c r="AC35" i="14"/>
  <c r="AH29" i="14"/>
  <c r="X37" i="14"/>
  <c r="AD40" i="14"/>
  <c r="M39" i="14"/>
  <c r="V21" i="14"/>
  <c r="V37" i="14" s="1"/>
  <c r="AK40" i="14"/>
  <c r="P17" i="5"/>
  <c r="D202" i="435" s="1"/>
  <c r="R37" i="14"/>
  <c r="AH39" i="14"/>
  <c r="L104" i="14"/>
  <c r="E17" i="5"/>
  <c r="D168" i="435" s="1"/>
  <c r="AI39" i="14"/>
  <c r="G40" i="14"/>
  <c r="BC29" i="14"/>
  <c r="T39" i="14"/>
  <c r="X39" i="14"/>
  <c r="G13" i="11"/>
  <c r="I13" i="11" s="1"/>
  <c r="BE100" i="14"/>
  <c r="AB104" i="14"/>
  <c r="H39" i="14"/>
  <c r="I7" i="11"/>
  <c r="Z37" i="14"/>
  <c r="H18" i="3"/>
  <c r="H14" i="3"/>
  <c r="AK39" i="14"/>
  <c r="AI37" i="14"/>
  <c r="N39" i="14"/>
  <c r="AY29" i="14"/>
  <c r="AP119" i="14"/>
  <c r="AC37" i="14"/>
  <c r="AJ37" i="14"/>
  <c r="H13" i="3"/>
  <c r="J101" i="17"/>
  <c r="Q119" i="14"/>
  <c r="N119" i="14"/>
  <c r="K17" i="5"/>
  <c r="BE101" i="14"/>
  <c r="F101" i="17"/>
  <c r="AH119" i="14"/>
  <c r="N17" i="5"/>
  <c r="D190" i="435" s="1"/>
  <c r="P104" i="14"/>
  <c r="U35" i="14"/>
  <c r="Y39" i="14"/>
  <c r="AX104" i="14"/>
  <c r="J29" i="14"/>
  <c r="Q93" i="17"/>
  <c r="M119" i="14"/>
  <c r="O104" i="14"/>
  <c r="AM104" i="14"/>
  <c r="G101" i="17"/>
  <c r="Q40" i="14"/>
  <c r="AB119" i="14"/>
  <c r="K119" i="14"/>
  <c r="H29" i="17"/>
  <c r="V104" i="14"/>
  <c r="G37" i="14"/>
  <c r="S39" i="14"/>
  <c r="H101" i="17"/>
  <c r="AD104" i="14"/>
  <c r="AS104" i="14"/>
  <c r="AV29" i="14"/>
  <c r="AJ119" i="14"/>
  <c r="P119" i="14"/>
  <c r="AQ37" i="14"/>
  <c r="K37" i="14"/>
  <c r="BB37" i="14"/>
  <c r="K40" i="14"/>
  <c r="AE104" i="14"/>
  <c r="AD119" i="14"/>
  <c r="Y35" i="14"/>
  <c r="AT104" i="14"/>
  <c r="S104" i="14"/>
  <c r="AR119" i="14"/>
  <c r="AT39" i="14"/>
  <c r="AV119" i="14"/>
  <c r="AR35" i="14"/>
  <c r="AW104" i="14"/>
  <c r="E19" i="39"/>
  <c r="AF39" i="14"/>
  <c r="AH104" i="14"/>
  <c r="AP104" i="14"/>
  <c r="AE119" i="14"/>
  <c r="D104" i="14"/>
  <c r="W104" i="14"/>
  <c r="AW119" i="14"/>
  <c r="AS119" i="14"/>
  <c r="AL119" i="14"/>
  <c r="AN119" i="14"/>
  <c r="S119" i="14"/>
  <c r="AR37" i="14"/>
  <c r="F40" i="14"/>
  <c r="AJ104" i="14"/>
  <c r="F35" i="14"/>
  <c r="BC35" i="14"/>
  <c r="O17" i="5"/>
  <c r="D201" i="435" s="1"/>
  <c r="BE112" i="14"/>
  <c r="H21" i="3"/>
  <c r="Q89" i="17"/>
  <c r="I104" i="14"/>
  <c r="Y29" i="14"/>
  <c r="J17" i="5"/>
  <c r="D177" i="435" s="1"/>
  <c r="U37" i="14"/>
  <c r="Q99" i="17"/>
  <c r="T119" i="14"/>
  <c r="G104" i="14"/>
  <c r="K23" i="3"/>
  <c r="D131" i="435" s="1"/>
  <c r="AU119" i="14"/>
  <c r="AI119" i="14"/>
  <c r="R119" i="14"/>
  <c r="G23" i="436"/>
  <c r="Q123" i="17"/>
  <c r="BC37" i="14"/>
  <c r="Q124" i="17"/>
  <c r="AO104" i="14"/>
  <c r="R39" i="14"/>
  <c r="AK119" i="14"/>
  <c r="U119" i="14"/>
  <c r="L23" i="3"/>
  <c r="D132" i="435" s="1"/>
  <c r="AZ37" i="14"/>
  <c r="I119" i="14"/>
  <c r="G5" i="4"/>
  <c r="AZ57" i="14"/>
  <c r="AZ24" i="14"/>
  <c r="AC104" i="14"/>
  <c r="I17" i="5"/>
  <c r="D179" i="435" s="1"/>
  <c r="AX119" i="14"/>
  <c r="Q100" i="17"/>
  <c r="E119" i="14"/>
  <c r="AC39" i="14"/>
  <c r="M104" i="14"/>
  <c r="AN39" i="14"/>
  <c r="AM119" i="14"/>
  <c r="AZ13" i="14"/>
  <c r="AZ46" i="14"/>
  <c r="AQ104" i="14"/>
  <c r="F119" i="14"/>
  <c r="L119" i="14"/>
  <c r="V119" i="14"/>
  <c r="AJ46" i="14"/>
  <c r="H119" i="14"/>
  <c r="AA119" i="14"/>
  <c r="R40" i="14"/>
  <c r="AO119" i="14"/>
  <c r="AC119" i="14"/>
  <c r="AT13" i="14"/>
  <c r="AT29" i="14" s="1"/>
  <c r="AG35" i="14"/>
  <c r="AR104" i="14"/>
  <c r="AK104" i="14"/>
  <c r="W119" i="14"/>
  <c r="BB35" i="14"/>
  <c r="Q39" i="14"/>
  <c r="L40" i="14"/>
  <c r="V35" i="14"/>
  <c r="E37" i="14"/>
  <c r="O119" i="14"/>
  <c r="M35" i="14"/>
  <c r="AA104" i="14"/>
  <c r="J104" i="14"/>
  <c r="M37" i="14"/>
  <c r="X119" i="14"/>
  <c r="G39" i="14"/>
  <c r="P39" i="14"/>
  <c r="BB57" i="14"/>
  <c r="BB24" i="14"/>
  <c r="AF104" i="14"/>
  <c r="Z119" i="14"/>
  <c r="AB39" i="14"/>
  <c r="E101" i="17"/>
  <c r="AF119" i="14"/>
  <c r="N104" i="14"/>
  <c r="AG119" i="14"/>
  <c r="V39" i="14"/>
  <c r="O39" i="14"/>
  <c r="AZ35" i="14"/>
  <c r="G16" i="11"/>
  <c r="I16" i="11" s="1"/>
  <c r="D17" i="11"/>
  <c r="I303" i="435" s="1"/>
  <c r="H17" i="11"/>
  <c r="I298" i="435" s="1"/>
  <c r="D14" i="435" s="1"/>
  <c r="E67" i="12"/>
  <c r="E15" i="39"/>
  <c r="E15" i="41"/>
  <c r="E21" i="41" s="1"/>
  <c r="E23" i="41" s="1"/>
  <c r="I29" i="19" s="1"/>
  <c r="G23" i="3"/>
  <c r="D90" i="435" s="1"/>
  <c r="G6" i="11"/>
  <c r="I6" i="11" s="1"/>
  <c r="I23" i="3"/>
  <c r="D126" i="435" s="1"/>
  <c r="E17" i="11"/>
  <c r="I304" i="435" s="1"/>
  <c r="E27" i="39"/>
  <c r="F23" i="3"/>
  <c r="D88" i="435" s="1"/>
  <c r="O55" i="27"/>
  <c r="F29" i="17"/>
  <c r="G29" i="17"/>
  <c r="O35" i="14"/>
  <c r="D29" i="17"/>
  <c r="R35" i="14"/>
  <c r="I29" i="17"/>
  <c r="N40" i="14"/>
  <c r="H35" i="14"/>
  <c r="D35" i="14"/>
  <c r="AW35" i="14"/>
  <c r="AA47" i="14"/>
  <c r="AA14" i="14"/>
  <c r="Q105" i="17"/>
  <c r="AW48" i="14"/>
  <c r="AW15" i="14"/>
  <c r="AP48" i="14"/>
  <c r="AP15" i="14"/>
  <c r="J37" i="14"/>
  <c r="I43" i="17"/>
  <c r="I10" i="17"/>
  <c r="I86" i="17"/>
  <c r="AI16" i="14"/>
  <c r="AI49" i="14"/>
  <c r="AJ49" i="14"/>
  <c r="AJ16" i="14"/>
  <c r="AI89" i="14"/>
  <c r="AI12" i="14"/>
  <c r="AI45" i="14"/>
  <c r="AH89" i="14"/>
  <c r="AH12" i="14"/>
  <c r="AH45" i="14"/>
  <c r="Y45" i="14"/>
  <c r="Y89" i="14"/>
  <c r="Y12" i="14"/>
  <c r="AF13" i="14"/>
  <c r="AF29" i="14" s="1"/>
  <c r="AI55" i="14"/>
  <c r="AI22" i="14"/>
  <c r="G22" i="14"/>
  <c r="G55" i="14"/>
  <c r="AP55" i="14"/>
  <c r="AP22" i="14"/>
  <c r="T18" i="14"/>
  <c r="T51" i="14"/>
  <c r="AV51" i="14"/>
  <c r="AV18" i="14"/>
  <c r="AO18" i="14"/>
  <c r="AO51" i="14"/>
  <c r="BB20" i="14"/>
  <c r="BB53" i="14"/>
  <c r="AV53" i="14"/>
  <c r="AV20" i="14"/>
  <c r="X104" i="14"/>
  <c r="J14" i="17"/>
  <c r="J47" i="17"/>
  <c r="H11" i="3"/>
  <c r="N23" i="3"/>
  <c r="AV37" i="14"/>
  <c r="Q74" i="17"/>
  <c r="D44" i="17"/>
  <c r="D11" i="17"/>
  <c r="F52" i="17"/>
  <c r="F19" i="17"/>
  <c r="C24" i="438"/>
  <c r="BE132" i="14"/>
  <c r="E116" i="17"/>
  <c r="AF138" i="14"/>
  <c r="AM138" i="14"/>
  <c r="AX50" i="14"/>
  <c r="AX17" i="14"/>
  <c r="AC17" i="14"/>
  <c r="AC50" i="14"/>
  <c r="D55" i="17"/>
  <c r="D22" i="17"/>
  <c r="Q85" i="17"/>
  <c r="BE134" i="14"/>
  <c r="AS37" i="14"/>
  <c r="F39" i="14"/>
  <c r="M48" i="14"/>
  <c r="M15" i="14"/>
  <c r="AX48" i="14"/>
  <c r="AX15" i="14"/>
  <c r="T15" i="14"/>
  <c r="T48" i="14"/>
  <c r="J86" i="17"/>
  <c r="J10" i="17"/>
  <c r="J43" i="17"/>
  <c r="J16" i="14"/>
  <c r="J49" i="14"/>
  <c r="N49" i="14"/>
  <c r="N16" i="14"/>
  <c r="AJ89" i="14"/>
  <c r="AJ12" i="14"/>
  <c r="AJ45" i="14"/>
  <c r="H89" i="14"/>
  <c r="H12" i="14"/>
  <c r="H45" i="14"/>
  <c r="AS45" i="14"/>
  <c r="AS89" i="14"/>
  <c r="AS12" i="14"/>
  <c r="I22" i="14"/>
  <c r="I55" i="14"/>
  <c r="AX22" i="14"/>
  <c r="AX55" i="14"/>
  <c r="Z55" i="14"/>
  <c r="Z22" i="14"/>
  <c r="AQ18" i="14"/>
  <c r="AQ51" i="14"/>
  <c r="S18" i="14"/>
  <c r="S51" i="14"/>
  <c r="AA53" i="14"/>
  <c r="AA20" i="14"/>
  <c r="J53" i="14"/>
  <c r="J20" i="14"/>
  <c r="Q53" i="14"/>
  <c r="Q20" i="14"/>
  <c r="G14" i="17"/>
  <c r="G47" i="17"/>
  <c r="J23" i="3"/>
  <c r="D130" i="435" s="1"/>
  <c r="E44" i="17"/>
  <c r="E11" i="17"/>
  <c r="D24" i="438"/>
  <c r="Q129" i="17"/>
  <c r="F116" i="17"/>
  <c r="AT138" i="14"/>
  <c r="N138" i="14"/>
  <c r="BA17" i="14"/>
  <c r="BA50" i="14"/>
  <c r="BB17" i="14"/>
  <c r="BB50" i="14"/>
  <c r="C17" i="11"/>
  <c r="I302" i="435" s="1"/>
  <c r="E24" i="39"/>
  <c r="M14" i="14"/>
  <c r="M47" i="14"/>
  <c r="P48" i="14"/>
  <c r="P15" i="14"/>
  <c r="E15" i="14"/>
  <c r="E48" i="14"/>
  <c r="AR48" i="14"/>
  <c r="AR15" i="14"/>
  <c r="AO39" i="14"/>
  <c r="I49" i="17"/>
  <c r="I16" i="17"/>
  <c r="E86" i="17"/>
  <c r="E43" i="17"/>
  <c r="E10" i="17"/>
  <c r="W49" i="14"/>
  <c r="W16" i="14"/>
  <c r="BA16" i="14"/>
  <c r="BA49" i="14"/>
  <c r="AK49" i="14"/>
  <c r="AK16" i="14"/>
  <c r="I89" i="14"/>
  <c r="I45" i="14"/>
  <c r="I12" i="14"/>
  <c r="AL89" i="14"/>
  <c r="AL45" i="14"/>
  <c r="AL12" i="14"/>
  <c r="AQ22" i="14"/>
  <c r="AQ55" i="14"/>
  <c r="K55" i="14"/>
  <c r="K22" i="14"/>
  <c r="AV55" i="14"/>
  <c r="AV22" i="14"/>
  <c r="AR51" i="14"/>
  <c r="AR18" i="14"/>
  <c r="AW51" i="14"/>
  <c r="AW18" i="14"/>
  <c r="AF20" i="14"/>
  <c r="AF53" i="14"/>
  <c r="N53" i="14"/>
  <c r="N20" i="14"/>
  <c r="AM53" i="14"/>
  <c r="AM20" i="14"/>
  <c r="BE108" i="14"/>
  <c r="Q77" i="17"/>
  <c r="D14" i="17"/>
  <c r="D47" i="17"/>
  <c r="F44" i="17"/>
  <c r="F11" i="17"/>
  <c r="Q119" i="17"/>
  <c r="E24" i="438"/>
  <c r="F20" i="17"/>
  <c r="F53" i="17"/>
  <c r="G116" i="17"/>
  <c r="AG138" i="14"/>
  <c r="AN138" i="14"/>
  <c r="Y50" i="14"/>
  <c r="Y17" i="14"/>
  <c r="F17" i="14"/>
  <c r="F50" i="14"/>
  <c r="G10" i="11"/>
  <c r="I10" i="11" s="1"/>
  <c r="AC13" i="14"/>
  <c r="AC29" i="14" s="1"/>
  <c r="G5" i="11"/>
  <c r="I133" i="437"/>
  <c r="I150" i="436"/>
  <c r="E25" i="39"/>
  <c r="H20" i="3"/>
  <c r="H14" i="14"/>
  <c r="H47" i="14"/>
  <c r="AC47" i="14"/>
  <c r="AC14" i="14"/>
  <c r="P47" i="14"/>
  <c r="P14" i="14"/>
  <c r="L14" i="14"/>
  <c r="L47" i="14"/>
  <c r="I47" i="14"/>
  <c r="I14" i="14"/>
  <c r="D37" i="14"/>
  <c r="W29" i="14"/>
  <c r="Y48" i="14"/>
  <c r="Y15" i="14"/>
  <c r="BA48" i="14"/>
  <c r="BA15" i="14"/>
  <c r="U15" i="14"/>
  <c r="U48" i="14"/>
  <c r="Q96" i="17"/>
  <c r="AH35" i="14"/>
  <c r="G13" i="14"/>
  <c r="G29" i="14" s="1"/>
  <c r="J49" i="17"/>
  <c r="J16" i="17"/>
  <c r="F10" i="17"/>
  <c r="F86" i="17"/>
  <c r="F43" i="17"/>
  <c r="AL49" i="14"/>
  <c r="AL16" i="14"/>
  <c r="Q49" i="14"/>
  <c r="Q16" i="14"/>
  <c r="P49" i="14"/>
  <c r="P16" i="14"/>
  <c r="M17" i="5"/>
  <c r="D188" i="435" s="1"/>
  <c r="G54" i="17"/>
  <c r="G21" i="17"/>
  <c r="E9" i="39"/>
  <c r="N89" i="14"/>
  <c r="N45" i="14"/>
  <c r="N12" i="14"/>
  <c r="Q89" i="14"/>
  <c r="Q45" i="14"/>
  <c r="Q12" i="14"/>
  <c r="Q95" i="17"/>
  <c r="F55" i="14"/>
  <c r="F22" i="14"/>
  <c r="BB55" i="14"/>
  <c r="BB22" i="14"/>
  <c r="D22" i="14"/>
  <c r="BE86" i="14"/>
  <c r="D55" i="14"/>
  <c r="W18" i="14"/>
  <c r="W51" i="14"/>
  <c r="V18" i="14"/>
  <c r="V51" i="14"/>
  <c r="AI20" i="14"/>
  <c r="AI53" i="14"/>
  <c r="O20" i="14"/>
  <c r="O53" i="14"/>
  <c r="V20" i="14"/>
  <c r="V53" i="14"/>
  <c r="BE96" i="14"/>
  <c r="E14" i="17"/>
  <c r="E47" i="17"/>
  <c r="BC40" i="14"/>
  <c r="O99" i="437"/>
  <c r="Q61" i="17" s="1"/>
  <c r="AX37" i="14"/>
  <c r="I131" i="17"/>
  <c r="H44" i="17"/>
  <c r="H11" i="17"/>
  <c r="E17" i="39"/>
  <c r="H53" i="17"/>
  <c r="H20" i="17"/>
  <c r="Q103" i="17"/>
  <c r="D116" i="17"/>
  <c r="AJ39" i="14"/>
  <c r="P138" i="14"/>
  <c r="V138" i="14"/>
  <c r="AO50" i="14"/>
  <c r="AO17" i="14"/>
  <c r="AE17" i="14"/>
  <c r="AE50" i="14"/>
  <c r="G8" i="11"/>
  <c r="I8" i="11" s="1"/>
  <c r="I29" i="14"/>
  <c r="AV14" i="14"/>
  <c r="AV47" i="14"/>
  <c r="AT35" i="14"/>
  <c r="AG14" i="14"/>
  <c r="AG47" i="14"/>
  <c r="AL47" i="14"/>
  <c r="AL14" i="14"/>
  <c r="AR47" i="14"/>
  <c r="AR14" i="14"/>
  <c r="AD47" i="14"/>
  <c r="AD14" i="14"/>
  <c r="F17" i="11"/>
  <c r="AC48" i="14"/>
  <c r="AC15" i="14"/>
  <c r="I15" i="14"/>
  <c r="I48" i="14"/>
  <c r="AS48" i="14"/>
  <c r="AS15" i="14"/>
  <c r="Q79" i="17"/>
  <c r="D16" i="17"/>
  <c r="D49" i="17"/>
  <c r="G43" i="17"/>
  <c r="G86" i="17"/>
  <c r="G10" i="17"/>
  <c r="AA37" i="14"/>
  <c r="AS16" i="14"/>
  <c r="AS49" i="14"/>
  <c r="BB16" i="14"/>
  <c r="BB49" i="14"/>
  <c r="AM16" i="14"/>
  <c r="AM49" i="14"/>
  <c r="J54" i="17"/>
  <c r="J21" i="17"/>
  <c r="AM89" i="14"/>
  <c r="AM12" i="14"/>
  <c r="AM45" i="14"/>
  <c r="AQ89" i="14"/>
  <c r="AQ12" i="14"/>
  <c r="AQ45" i="14"/>
  <c r="AX39" i="14"/>
  <c r="J55" i="14"/>
  <c r="J22" i="14"/>
  <c r="W55" i="14"/>
  <c r="W22" i="14"/>
  <c r="AA55" i="14"/>
  <c r="AA22" i="14"/>
  <c r="AK51" i="14"/>
  <c r="AK18" i="14"/>
  <c r="BA18" i="14"/>
  <c r="BA51" i="14"/>
  <c r="T20" i="14"/>
  <c r="T53" i="14"/>
  <c r="AL53" i="14"/>
  <c r="AL20" i="14"/>
  <c r="AR20" i="14"/>
  <c r="AR53" i="14"/>
  <c r="F14" i="17"/>
  <c r="F47" i="17"/>
  <c r="AU39" i="14"/>
  <c r="Q118" i="17"/>
  <c r="D131" i="17"/>
  <c r="Q108" i="17"/>
  <c r="E20" i="17"/>
  <c r="E53" i="17"/>
  <c r="R104" i="14"/>
  <c r="F45" i="17"/>
  <c r="F12" i="17"/>
  <c r="T138" i="14"/>
  <c r="AS138" i="14"/>
  <c r="K50" i="14"/>
  <c r="K17" i="14"/>
  <c r="AP50" i="14"/>
  <c r="AP17" i="14"/>
  <c r="H50" i="14"/>
  <c r="H17" i="14"/>
  <c r="AL39" i="14"/>
  <c r="AV104" i="14"/>
  <c r="G18" i="17"/>
  <c r="G51" i="17"/>
  <c r="AT47" i="14"/>
  <c r="AT14" i="14"/>
  <c r="K47" i="14"/>
  <c r="K14" i="14"/>
  <c r="Q120" i="17"/>
  <c r="AZ47" i="14"/>
  <c r="AZ14" i="14"/>
  <c r="S47" i="14"/>
  <c r="S14" i="14"/>
  <c r="AY47" i="14"/>
  <c r="AY14" i="14"/>
  <c r="AQ39" i="14"/>
  <c r="E50" i="17"/>
  <c r="E17" i="17"/>
  <c r="AV48" i="14"/>
  <c r="AV15" i="14"/>
  <c r="AY48" i="14"/>
  <c r="AY15" i="14"/>
  <c r="X48" i="14"/>
  <c r="X15" i="14"/>
  <c r="K104" i="14"/>
  <c r="E16" i="17"/>
  <c r="E49" i="17"/>
  <c r="AQ49" i="14"/>
  <c r="AQ16" i="14"/>
  <c r="T49" i="14"/>
  <c r="T16" i="14"/>
  <c r="E16" i="14"/>
  <c r="E49" i="14"/>
  <c r="H104" i="14"/>
  <c r="AH37" i="14"/>
  <c r="D54" i="17"/>
  <c r="Q84" i="17"/>
  <c r="D21" i="17"/>
  <c r="BC89" i="14"/>
  <c r="BC12" i="14"/>
  <c r="BC45" i="14"/>
  <c r="S89" i="14"/>
  <c r="S12" i="14"/>
  <c r="S45" i="14"/>
  <c r="L37" i="14"/>
  <c r="X55" i="14"/>
  <c r="X22" i="14"/>
  <c r="H55" i="14"/>
  <c r="H22" i="14"/>
  <c r="AW55" i="14"/>
  <c r="AW22" i="14"/>
  <c r="AX18" i="14"/>
  <c r="AX51" i="14"/>
  <c r="AA51" i="14"/>
  <c r="AA18" i="14"/>
  <c r="AN53" i="14"/>
  <c r="AN20" i="14"/>
  <c r="G20" i="14"/>
  <c r="G53" i="14"/>
  <c r="W20" i="14"/>
  <c r="W53" i="14"/>
  <c r="H47" i="17"/>
  <c r="H14" i="17"/>
  <c r="AA13" i="14"/>
  <c r="AA29" i="14" s="1"/>
  <c r="AS13" i="14"/>
  <c r="AS29" i="14" s="1"/>
  <c r="E131" i="17"/>
  <c r="Q94" i="17"/>
  <c r="AU37" i="14"/>
  <c r="AP39" i="14"/>
  <c r="G53" i="17"/>
  <c r="G20" i="17"/>
  <c r="G12" i="17"/>
  <c r="G45" i="17"/>
  <c r="H19" i="3"/>
  <c r="U138" i="14"/>
  <c r="BE125" i="14"/>
  <c r="D138" i="14"/>
  <c r="U17" i="14"/>
  <c r="U50" i="14"/>
  <c r="AT17" i="14"/>
  <c r="AT50" i="14"/>
  <c r="AG17" i="14"/>
  <c r="AG50" i="14"/>
  <c r="AK29" i="14"/>
  <c r="AU47" i="14"/>
  <c r="AU14" i="14"/>
  <c r="Q111" i="17"/>
  <c r="H17" i="17"/>
  <c r="H50" i="17"/>
  <c r="H15" i="14"/>
  <c r="H48" i="14"/>
  <c r="Z48" i="14"/>
  <c r="Z15" i="14"/>
  <c r="AU48" i="14"/>
  <c r="AU15" i="14"/>
  <c r="F49" i="17"/>
  <c r="F16" i="17"/>
  <c r="AZ16" i="14"/>
  <c r="AZ49" i="14"/>
  <c r="U16" i="14"/>
  <c r="U49" i="14"/>
  <c r="Z16" i="14"/>
  <c r="Z49" i="14"/>
  <c r="AG104" i="14"/>
  <c r="E54" i="17"/>
  <c r="E21" i="17"/>
  <c r="D89" i="14"/>
  <c r="D12" i="14"/>
  <c r="D45" i="14"/>
  <c r="BE76" i="14"/>
  <c r="AT89" i="14"/>
  <c r="AT12" i="14"/>
  <c r="AT45" i="14"/>
  <c r="AC22" i="14"/>
  <c r="AC55" i="14"/>
  <c r="AJ55" i="14"/>
  <c r="AJ22" i="14"/>
  <c r="U55" i="14"/>
  <c r="U22" i="14"/>
  <c r="H51" i="14"/>
  <c r="H18" i="14"/>
  <c r="AY51" i="14"/>
  <c r="AY18" i="14"/>
  <c r="AO20" i="14"/>
  <c r="AO53" i="14"/>
  <c r="AP53" i="14"/>
  <c r="AP20" i="14"/>
  <c r="AS53" i="14"/>
  <c r="AS20" i="14"/>
  <c r="H131" i="17"/>
  <c r="I53" i="17"/>
  <c r="I20" i="17"/>
  <c r="Q75" i="17"/>
  <c r="D45" i="17"/>
  <c r="D12" i="17"/>
  <c r="X138" i="14"/>
  <c r="Z138" i="14"/>
  <c r="AQ17" i="14"/>
  <c r="AQ50" i="14"/>
  <c r="AV50" i="14"/>
  <c r="AV17" i="14"/>
  <c r="I50" i="14"/>
  <c r="I17" i="14"/>
  <c r="J17" i="11"/>
  <c r="G15" i="22" s="1"/>
  <c r="Q114" i="17"/>
  <c r="AO47" i="14"/>
  <c r="AO14" i="14"/>
  <c r="Y14" i="14"/>
  <c r="Y47" i="14"/>
  <c r="J39" i="14"/>
  <c r="AI14" i="14"/>
  <c r="AI47" i="14"/>
  <c r="W47" i="14"/>
  <c r="W14" i="14"/>
  <c r="AK47" i="14"/>
  <c r="AK14" i="14"/>
  <c r="I17" i="17"/>
  <c r="I50" i="17"/>
  <c r="S48" i="14"/>
  <c r="S15" i="14"/>
  <c r="AB15" i="14"/>
  <c r="AB48" i="14"/>
  <c r="Q48" i="14"/>
  <c r="Q15" i="14"/>
  <c r="BE111" i="14"/>
  <c r="Y104" i="14"/>
  <c r="H42" i="3"/>
  <c r="G49" i="17"/>
  <c r="G16" i="17"/>
  <c r="Q130" i="17"/>
  <c r="V49" i="14"/>
  <c r="V16" i="14"/>
  <c r="AG16" i="14"/>
  <c r="AG49" i="14"/>
  <c r="AU16" i="14"/>
  <c r="AU49" i="14"/>
  <c r="F21" i="17"/>
  <c r="F54" i="17"/>
  <c r="O89" i="14"/>
  <c r="O12" i="14"/>
  <c r="O45" i="14"/>
  <c r="V89" i="14"/>
  <c r="V45" i="14"/>
  <c r="V12" i="14"/>
  <c r="Q104" i="14"/>
  <c r="AD22" i="14"/>
  <c r="AD55" i="14"/>
  <c r="L55" i="14"/>
  <c r="L22" i="14"/>
  <c r="AO22" i="14"/>
  <c r="AO55" i="14"/>
  <c r="N51" i="14"/>
  <c r="N18" i="14"/>
  <c r="AB51" i="14"/>
  <c r="AB18" i="14"/>
  <c r="AU53" i="14"/>
  <c r="AU20" i="14"/>
  <c r="L53" i="14"/>
  <c r="L20" i="14"/>
  <c r="I53" i="14"/>
  <c r="I20" i="14"/>
  <c r="AE39" i="14"/>
  <c r="F131" i="17"/>
  <c r="AL37" i="14"/>
  <c r="AL104" i="14"/>
  <c r="E13" i="39"/>
  <c r="E7" i="39"/>
  <c r="D53" i="17"/>
  <c r="Q83" i="17"/>
  <c r="D20" i="17"/>
  <c r="D119" i="14"/>
  <c r="E12" i="17"/>
  <c r="E45" i="17"/>
  <c r="Y138" i="14"/>
  <c r="AW138" i="14"/>
  <c r="AW50" i="14"/>
  <c r="AW17" i="14"/>
  <c r="S17" i="14"/>
  <c r="S50" i="14"/>
  <c r="AD17" i="14"/>
  <c r="AD50" i="14"/>
  <c r="AX14" i="14"/>
  <c r="AX47" i="14"/>
  <c r="Q47" i="14"/>
  <c r="Q14" i="14"/>
  <c r="D101" i="17"/>
  <c r="Q88" i="17"/>
  <c r="AJ14" i="14"/>
  <c r="AJ47" i="14"/>
  <c r="BC47" i="14"/>
  <c r="BC14" i="14"/>
  <c r="E51" i="17"/>
  <c r="E18" i="17"/>
  <c r="J17" i="17"/>
  <c r="J50" i="17"/>
  <c r="J48" i="14"/>
  <c r="J15" i="14"/>
  <c r="AD48" i="14"/>
  <c r="AD15" i="14"/>
  <c r="AL48" i="14"/>
  <c r="AL15" i="14"/>
  <c r="H16" i="3"/>
  <c r="U39" i="14"/>
  <c r="H16" i="17"/>
  <c r="H49" i="17"/>
  <c r="S13" i="14"/>
  <c r="S29" i="14" s="1"/>
  <c r="X16" i="14"/>
  <c r="X49" i="14"/>
  <c r="AN49" i="14"/>
  <c r="AN16" i="14"/>
  <c r="F49" i="14"/>
  <c r="F16" i="14"/>
  <c r="I54" i="17"/>
  <c r="I21" i="17"/>
  <c r="BE133" i="14"/>
  <c r="P89" i="14"/>
  <c r="P45" i="14"/>
  <c r="P12" i="14"/>
  <c r="AV89" i="14"/>
  <c r="AV45" i="14"/>
  <c r="AV12" i="14"/>
  <c r="AZ39" i="14"/>
  <c r="AE22" i="14"/>
  <c r="AE55" i="14"/>
  <c r="AT55" i="14"/>
  <c r="AT22" i="14"/>
  <c r="E22" i="14"/>
  <c r="E55" i="14"/>
  <c r="AE51" i="14"/>
  <c r="AE18" i="14"/>
  <c r="AZ51" i="14"/>
  <c r="AZ18" i="14"/>
  <c r="P53" i="14"/>
  <c r="P20" i="14"/>
  <c r="AZ53" i="14"/>
  <c r="AZ20" i="14"/>
  <c r="AC53" i="14"/>
  <c r="AC20" i="14"/>
  <c r="G131" i="17"/>
  <c r="T104" i="14"/>
  <c r="Q125" i="17"/>
  <c r="E48" i="17"/>
  <c r="E15" i="17"/>
  <c r="J53" i="17"/>
  <c r="J20" i="17"/>
  <c r="H12" i="17"/>
  <c r="H45" i="17"/>
  <c r="AI138" i="14"/>
  <c r="E138" i="14"/>
  <c r="AM50" i="14"/>
  <c r="AM17" i="14"/>
  <c r="AZ17" i="14"/>
  <c r="AZ50" i="14"/>
  <c r="AY17" i="14"/>
  <c r="AY50" i="14"/>
  <c r="AH47" i="14"/>
  <c r="AH14" i="14"/>
  <c r="N14" i="14"/>
  <c r="N47" i="14"/>
  <c r="F51" i="17"/>
  <c r="F18" i="17"/>
  <c r="F17" i="17"/>
  <c r="F50" i="17"/>
  <c r="AH15" i="14"/>
  <c r="AH48" i="14"/>
  <c r="AF15" i="14"/>
  <c r="AF48" i="14"/>
  <c r="R48" i="14"/>
  <c r="R15" i="14"/>
  <c r="AE49" i="14"/>
  <c r="AE16" i="14"/>
  <c r="K16" i="14"/>
  <c r="K49" i="14"/>
  <c r="AA16" i="14"/>
  <c r="AA49" i="14"/>
  <c r="H21" i="17"/>
  <c r="H54" i="17"/>
  <c r="W12" i="14"/>
  <c r="W45" i="14"/>
  <c r="W89" i="14"/>
  <c r="R89" i="14"/>
  <c r="R45" i="14"/>
  <c r="R12" i="14"/>
  <c r="P37" i="14"/>
  <c r="AF22" i="14"/>
  <c r="AF55" i="14"/>
  <c r="M22" i="14"/>
  <c r="M55" i="14"/>
  <c r="Y55" i="14"/>
  <c r="Y22" i="14"/>
  <c r="E18" i="14"/>
  <c r="E51" i="14"/>
  <c r="AF51" i="14"/>
  <c r="AF18" i="14"/>
  <c r="F18" i="14"/>
  <c r="F51" i="14"/>
  <c r="X20" i="14"/>
  <c r="X53" i="14"/>
  <c r="Y53" i="14"/>
  <c r="Y20" i="14"/>
  <c r="AW20" i="14"/>
  <c r="AW53" i="14"/>
  <c r="BE129" i="14"/>
  <c r="AY37" i="14"/>
  <c r="J131" i="17"/>
  <c r="AA39" i="14"/>
  <c r="Q113" i="17"/>
  <c r="F15" i="17"/>
  <c r="F48" i="17"/>
  <c r="J12" i="17"/>
  <c r="J45" i="17"/>
  <c r="AJ138" i="14"/>
  <c r="AB138" i="14"/>
  <c r="BE81" i="14"/>
  <c r="D50" i="14"/>
  <c r="D17" i="14"/>
  <c r="W17" i="14"/>
  <c r="W50" i="14"/>
  <c r="N17" i="14"/>
  <c r="N50" i="14"/>
  <c r="H15" i="3"/>
  <c r="AD39" i="14"/>
  <c r="BE103" i="14"/>
  <c r="D24" i="14"/>
  <c r="AS14" i="14"/>
  <c r="AS47" i="14"/>
  <c r="AN14" i="14"/>
  <c r="AN47" i="14"/>
  <c r="X35" i="14"/>
  <c r="J18" i="17"/>
  <c r="J51" i="17"/>
  <c r="BE137" i="14"/>
  <c r="G50" i="17"/>
  <c r="G17" i="17"/>
  <c r="AT48" i="14"/>
  <c r="AT15" i="14"/>
  <c r="V48" i="14"/>
  <c r="V15" i="14"/>
  <c r="AM15" i="14"/>
  <c r="AM48" i="14"/>
  <c r="K75" i="436"/>
  <c r="AB16" i="14"/>
  <c r="AB49" i="14"/>
  <c r="AX16" i="14"/>
  <c r="AX49" i="14"/>
  <c r="AV16" i="14"/>
  <c r="AV49" i="14"/>
  <c r="AY89" i="14"/>
  <c r="AY45" i="14"/>
  <c r="AY12" i="14"/>
  <c r="AB89" i="14"/>
  <c r="AB45" i="14"/>
  <c r="AB12" i="14"/>
  <c r="AO45" i="14"/>
  <c r="AO89" i="14"/>
  <c r="AO12" i="14"/>
  <c r="BA55" i="14"/>
  <c r="BA22" i="14"/>
  <c r="AU55" i="14"/>
  <c r="AU22" i="14"/>
  <c r="AS55" i="14"/>
  <c r="AS22" i="14"/>
  <c r="Z51" i="14"/>
  <c r="Z18" i="14"/>
  <c r="AH51" i="14"/>
  <c r="AH18" i="14"/>
  <c r="AD51" i="14"/>
  <c r="AD18" i="14"/>
  <c r="Z53" i="14"/>
  <c r="Z20" i="14"/>
  <c r="BC20" i="14"/>
  <c r="BC53" i="14"/>
  <c r="M53" i="14"/>
  <c r="M20" i="14"/>
  <c r="AQ13" i="14"/>
  <c r="AQ29" i="14" s="1"/>
  <c r="H37" i="14"/>
  <c r="AV39" i="14"/>
  <c r="Z104" i="14"/>
  <c r="Q92" i="17"/>
  <c r="H15" i="17"/>
  <c r="H48" i="17"/>
  <c r="I12" i="17"/>
  <c r="I45" i="17"/>
  <c r="E23" i="39"/>
  <c r="AO138" i="14"/>
  <c r="G138" i="14"/>
  <c r="G50" i="14"/>
  <c r="G17" i="14"/>
  <c r="AA50" i="14"/>
  <c r="AA17" i="14"/>
  <c r="AJ50" i="14"/>
  <c r="AJ17" i="14"/>
  <c r="Q37" i="14"/>
  <c r="I39" i="14"/>
  <c r="D51" i="17"/>
  <c r="Q81" i="17"/>
  <c r="D18" i="17"/>
  <c r="H59" i="19"/>
  <c r="D50" i="17"/>
  <c r="D17" i="17"/>
  <c r="Q80" i="17"/>
  <c r="AI15" i="14"/>
  <c r="AI48" i="14"/>
  <c r="BB15" i="14"/>
  <c r="BB48" i="14"/>
  <c r="W48" i="14"/>
  <c r="W15" i="14"/>
  <c r="BA40" i="14"/>
  <c r="O37" i="14"/>
  <c r="Q127" i="17"/>
  <c r="Q91" i="17"/>
  <c r="U104" i="14"/>
  <c r="AD49" i="14"/>
  <c r="AD16" i="14"/>
  <c r="G16" i="14"/>
  <c r="G49" i="14"/>
  <c r="I49" i="14"/>
  <c r="I16" i="14"/>
  <c r="AZ45" i="14"/>
  <c r="AZ89" i="14"/>
  <c r="AZ12" i="14"/>
  <c r="F89" i="14"/>
  <c r="F12" i="14"/>
  <c r="F45" i="14"/>
  <c r="U89" i="14"/>
  <c r="U45" i="14"/>
  <c r="U12" i="14"/>
  <c r="BC22" i="14"/>
  <c r="BC55" i="14"/>
  <c r="R22" i="14"/>
  <c r="R55" i="14"/>
  <c r="AN51" i="14"/>
  <c r="AN18" i="14"/>
  <c r="AJ18" i="14"/>
  <c r="AJ51" i="14"/>
  <c r="BB51" i="14"/>
  <c r="BB18" i="14"/>
  <c r="AB53" i="14"/>
  <c r="AB20" i="14"/>
  <c r="AD20" i="14"/>
  <c r="AD53" i="14"/>
  <c r="AG53" i="14"/>
  <c r="AG20" i="14"/>
  <c r="I48" i="17"/>
  <c r="I15" i="17"/>
  <c r="BE130" i="14"/>
  <c r="E20" i="39"/>
  <c r="AU138" i="14"/>
  <c r="AP138" i="14"/>
  <c r="AC138" i="14"/>
  <c r="Z50" i="14"/>
  <c r="Z17" i="14"/>
  <c r="J17" i="14"/>
  <c r="J50" i="14"/>
  <c r="P50" i="14"/>
  <c r="P17" i="14"/>
  <c r="E104" i="14"/>
  <c r="BA47" i="14"/>
  <c r="BA14" i="14"/>
  <c r="AJ48" i="14"/>
  <c r="AJ15" i="14"/>
  <c r="AA48" i="14"/>
  <c r="AA15" i="14"/>
  <c r="AQ48" i="14"/>
  <c r="AQ15" i="14"/>
  <c r="BE131" i="14"/>
  <c r="AF16" i="14"/>
  <c r="AF49" i="14"/>
  <c r="AH49" i="14"/>
  <c r="AH16" i="14"/>
  <c r="AC16" i="14"/>
  <c r="AC49" i="14"/>
  <c r="AE89" i="14"/>
  <c r="AE45" i="14"/>
  <c r="AE12" i="14"/>
  <c r="AN89" i="14"/>
  <c r="AN45" i="14"/>
  <c r="AN12" i="14"/>
  <c r="AR89" i="14"/>
  <c r="AR45" i="14"/>
  <c r="AR12" i="14"/>
  <c r="P55" i="14"/>
  <c r="P22" i="14"/>
  <c r="AY22" i="14"/>
  <c r="AY55" i="14"/>
  <c r="I51" i="14"/>
  <c r="I18" i="14"/>
  <c r="AI18" i="14"/>
  <c r="AI51" i="14"/>
  <c r="R18" i="14"/>
  <c r="R51" i="14"/>
  <c r="AX53" i="14"/>
  <c r="AX20" i="14"/>
  <c r="AE20" i="14"/>
  <c r="AE53" i="14"/>
  <c r="BA53" i="14"/>
  <c r="BA20" i="14"/>
  <c r="Q121" i="17"/>
  <c r="AC55" i="27"/>
  <c r="BE135" i="14"/>
  <c r="G48" i="17"/>
  <c r="G15" i="17"/>
  <c r="BE99" i="14"/>
  <c r="AE138" i="14"/>
  <c r="AR138" i="14"/>
  <c r="F138" i="14"/>
  <c r="AB17" i="14"/>
  <c r="AB50" i="14"/>
  <c r="AN50" i="14"/>
  <c r="AN17" i="14"/>
  <c r="AK17" i="14"/>
  <c r="AK50" i="14"/>
  <c r="BE128" i="14"/>
  <c r="G47" i="14"/>
  <c r="G14" i="14"/>
  <c r="R47" i="14"/>
  <c r="R14" i="14"/>
  <c r="H18" i="17"/>
  <c r="H51" i="17"/>
  <c r="AS35" i="14"/>
  <c r="D48" i="14"/>
  <c r="D15" i="14"/>
  <c r="BE79" i="14"/>
  <c r="AE15" i="14"/>
  <c r="AE48" i="14"/>
  <c r="AD37" i="14"/>
  <c r="Q104" i="17"/>
  <c r="Q109" i="17"/>
  <c r="BE80" i="14"/>
  <c r="D16" i="14"/>
  <c r="D49" i="14"/>
  <c r="L49" i="14"/>
  <c r="L16" i="14"/>
  <c r="AW49" i="14"/>
  <c r="AW16" i="14"/>
  <c r="Q90" i="17"/>
  <c r="BA35" i="14"/>
  <c r="AK89" i="14"/>
  <c r="AK45" i="14"/>
  <c r="AK12" i="14"/>
  <c r="G89" i="14"/>
  <c r="G12" i="14"/>
  <c r="G45" i="14"/>
  <c r="K89" i="14"/>
  <c r="K12" i="14"/>
  <c r="K45" i="14"/>
  <c r="T55" i="14"/>
  <c r="T22" i="14"/>
  <c r="N55" i="14"/>
  <c r="N22" i="14"/>
  <c r="AC51" i="14"/>
  <c r="AC18" i="14"/>
  <c r="G18" i="14"/>
  <c r="G51" i="14"/>
  <c r="AM18" i="14"/>
  <c r="AM51" i="14"/>
  <c r="AY53" i="14"/>
  <c r="AY20" i="14"/>
  <c r="BE84" i="14"/>
  <c r="D20" i="14"/>
  <c r="D53" i="14"/>
  <c r="AY39" i="14"/>
  <c r="L39" i="14"/>
  <c r="Q98" i="17"/>
  <c r="J15" i="17"/>
  <c r="J48" i="17"/>
  <c r="Q112" i="17"/>
  <c r="N37" i="14"/>
  <c r="I138" i="14"/>
  <c r="H138" i="14"/>
  <c r="AA138" i="14"/>
  <c r="M17" i="14"/>
  <c r="M50" i="14"/>
  <c r="Q50" i="14"/>
  <c r="Q17" i="14"/>
  <c r="O50" i="14"/>
  <c r="O17" i="14"/>
  <c r="AU104" i="14"/>
  <c r="I37" i="14"/>
  <c r="BE126" i="14"/>
  <c r="E18" i="39"/>
  <c r="O47" i="14"/>
  <c r="O14" i="14"/>
  <c r="AB14" i="14"/>
  <c r="AB47" i="14"/>
  <c r="J29" i="17"/>
  <c r="BE94" i="14"/>
  <c r="F48" i="14"/>
  <c r="F15" i="14"/>
  <c r="AG48" i="14"/>
  <c r="AG15" i="14"/>
  <c r="BE110" i="14"/>
  <c r="Q126" i="17"/>
  <c r="BE95" i="14"/>
  <c r="E14" i="39"/>
  <c r="H16" i="14"/>
  <c r="H49" i="14"/>
  <c r="AO16" i="14"/>
  <c r="AO49" i="14"/>
  <c r="AU89" i="14"/>
  <c r="AU45" i="14"/>
  <c r="AU12" i="14"/>
  <c r="AP89" i="14"/>
  <c r="AP45" i="14"/>
  <c r="AP12" i="14"/>
  <c r="AF45" i="14"/>
  <c r="AF89" i="14"/>
  <c r="AF12" i="14"/>
  <c r="AB22" i="14"/>
  <c r="AB55" i="14"/>
  <c r="AM55" i="14"/>
  <c r="AM22" i="14"/>
  <c r="AG18" i="14"/>
  <c r="AG51" i="14"/>
  <c r="AL51" i="14"/>
  <c r="AL18" i="14"/>
  <c r="X18" i="14"/>
  <c r="X51" i="14"/>
  <c r="F53" i="14"/>
  <c r="F20" i="14"/>
  <c r="AH53" i="14"/>
  <c r="AH20" i="14"/>
  <c r="E12" i="39"/>
  <c r="BE113" i="14"/>
  <c r="G52" i="17"/>
  <c r="G19" i="17"/>
  <c r="D48" i="17"/>
  <c r="Q78" i="17"/>
  <c r="D15" i="17"/>
  <c r="H36" i="3"/>
  <c r="O138" i="14"/>
  <c r="AH138" i="14"/>
  <c r="AV138" i="14"/>
  <c r="AF50" i="14"/>
  <c r="AF17" i="14"/>
  <c r="AR50" i="14"/>
  <c r="AR17" i="14"/>
  <c r="AI17" i="14"/>
  <c r="AI50" i="14"/>
  <c r="E22" i="17"/>
  <c r="E55" i="17"/>
  <c r="BE116" i="14"/>
  <c r="T47" i="14"/>
  <c r="T14" i="14"/>
  <c r="E29" i="17"/>
  <c r="AQ47" i="14"/>
  <c r="AQ14" i="14"/>
  <c r="I51" i="17"/>
  <c r="I18" i="17"/>
  <c r="D14" i="14"/>
  <c r="BE78" i="14"/>
  <c r="D47" i="14"/>
  <c r="Z47" i="14"/>
  <c r="Z14" i="14"/>
  <c r="I12" i="11"/>
  <c r="K39" i="14"/>
  <c r="AO48" i="14"/>
  <c r="AO15" i="14"/>
  <c r="K15" i="14"/>
  <c r="K48" i="14"/>
  <c r="BE109" i="14"/>
  <c r="AB37" i="14"/>
  <c r="Q122" i="17"/>
  <c r="E26" i="39"/>
  <c r="S49" i="14"/>
  <c r="S16" i="14"/>
  <c r="O16" i="14"/>
  <c r="O49" i="14"/>
  <c r="X89" i="14"/>
  <c r="X45" i="14"/>
  <c r="X12" i="14"/>
  <c r="J89" i="14"/>
  <c r="J12" i="14"/>
  <c r="J45" i="14"/>
  <c r="BA89" i="14"/>
  <c r="BA12" i="14"/>
  <c r="BA45" i="14"/>
  <c r="V55" i="14"/>
  <c r="V22" i="14"/>
  <c r="O55" i="14"/>
  <c r="O22" i="14"/>
  <c r="BC18" i="14"/>
  <c r="BC51" i="14"/>
  <c r="K51" i="14"/>
  <c r="K18" i="14"/>
  <c r="AS18" i="14"/>
  <c r="AS51" i="14"/>
  <c r="AK53" i="14"/>
  <c r="AK20" i="14"/>
  <c r="R53" i="14"/>
  <c r="R20" i="14"/>
  <c r="E16" i="39"/>
  <c r="F104" i="14"/>
  <c r="H52" i="17"/>
  <c r="H19" i="17"/>
  <c r="G9" i="11"/>
  <c r="I9" i="11" s="1"/>
  <c r="T37" i="14"/>
  <c r="Q138" i="14"/>
  <c r="K138" i="14"/>
  <c r="W138" i="14"/>
  <c r="AL50" i="14"/>
  <c r="AL17" i="14"/>
  <c r="R50" i="14"/>
  <c r="R17" i="14"/>
  <c r="BC50" i="14"/>
  <c r="BC17" i="14"/>
  <c r="F43" i="3"/>
  <c r="J22" i="17"/>
  <c r="J55" i="17"/>
  <c r="E21" i="39"/>
  <c r="Q106" i="17"/>
  <c r="AZ15" i="14"/>
  <c r="AZ48" i="14"/>
  <c r="Y49" i="14"/>
  <c r="Y16" i="14"/>
  <c r="AP16" i="14"/>
  <c r="AP49" i="14"/>
  <c r="T89" i="14"/>
  <c r="T45" i="14"/>
  <c r="T12" i="14"/>
  <c r="AW89" i="14"/>
  <c r="AW45" i="14"/>
  <c r="AW12" i="14"/>
  <c r="L89" i="14"/>
  <c r="L45" i="14"/>
  <c r="L12" i="14"/>
  <c r="AG55" i="14"/>
  <c r="AG22" i="14"/>
  <c r="AN55" i="14"/>
  <c r="AN22" i="14"/>
  <c r="J51" i="14"/>
  <c r="J18" i="14"/>
  <c r="AU51" i="14"/>
  <c r="AU18" i="14"/>
  <c r="BE82" i="14"/>
  <c r="D18" i="14"/>
  <c r="D51" i="14"/>
  <c r="E53" i="14"/>
  <c r="E20" i="14"/>
  <c r="AQ20" i="14"/>
  <c r="AQ53" i="14"/>
  <c r="BE114" i="14"/>
  <c r="E11" i="39"/>
  <c r="AI104" i="14"/>
  <c r="D19" i="17"/>
  <c r="D52" i="17"/>
  <c r="Q82" i="17"/>
  <c r="R138" i="14"/>
  <c r="AK138" i="14"/>
  <c r="AQ138" i="14"/>
  <c r="BE93" i="14"/>
  <c r="V50" i="14"/>
  <c r="V17" i="14"/>
  <c r="AS50" i="14"/>
  <c r="AS17" i="14"/>
  <c r="I43" i="3"/>
  <c r="D106" i="435" s="1"/>
  <c r="F55" i="17"/>
  <c r="F22" i="17"/>
  <c r="BC39" i="14"/>
  <c r="AM14" i="14"/>
  <c r="AM47" i="14"/>
  <c r="S37" i="14"/>
  <c r="E47" i="14"/>
  <c r="E14" i="14"/>
  <c r="F47" i="14"/>
  <c r="F14" i="14"/>
  <c r="BC15" i="14"/>
  <c r="BC48" i="14"/>
  <c r="L48" i="14"/>
  <c r="L15" i="14"/>
  <c r="BE92" i="14"/>
  <c r="AN104" i="14"/>
  <c r="BE136" i="14"/>
  <c r="AT49" i="14"/>
  <c r="AT16" i="14"/>
  <c r="R49" i="14"/>
  <c r="R16" i="14"/>
  <c r="AY40" i="14"/>
  <c r="Z89" i="14"/>
  <c r="Z12" i="14"/>
  <c r="Z45" i="14"/>
  <c r="M89" i="14"/>
  <c r="M45" i="14"/>
  <c r="M12" i="14"/>
  <c r="AG89" i="14"/>
  <c r="AG12" i="14"/>
  <c r="AG45" i="14"/>
  <c r="AH55" i="14"/>
  <c r="AH22" i="14"/>
  <c r="Q55" i="14"/>
  <c r="Q22" i="14"/>
  <c r="BE97" i="14"/>
  <c r="P51" i="14"/>
  <c r="P18" i="14"/>
  <c r="M51" i="14"/>
  <c r="M18" i="14"/>
  <c r="Y51" i="14"/>
  <c r="Y18" i="14"/>
  <c r="K53" i="14"/>
  <c r="K20" i="14"/>
  <c r="S20" i="14"/>
  <c r="S53" i="14"/>
  <c r="I44" i="17"/>
  <c r="I11" i="17"/>
  <c r="E19" i="17"/>
  <c r="E52" i="17"/>
  <c r="J116" i="17"/>
  <c r="S138" i="14"/>
  <c r="L138" i="14"/>
  <c r="L17" i="14"/>
  <c r="L50" i="14"/>
  <c r="T50" i="14"/>
  <c r="T17" i="14"/>
  <c r="G55" i="17"/>
  <c r="G22" i="17"/>
  <c r="Q110" i="17"/>
  <c r="E22" i="39"/>
  <c r="AF14" i="14"/>
  <c r="AF47" i="14"/>
  <c r="AK15" i="14"/>
  <c r="AK48" i="14"/>
  <c r="V14" i="14"/>
  <c r="V47" i="14"/>
  <c r="AP14" i="14"/>
  <c r="AP47" i="14"/>
  <c r="AE47" i="14"/>
  <c r="AE14" i="14"/>
  <c r="N29" i="14"/>
  <c r="AK37" i="14"/>
  <c r="G15" i="14"/>
  <c r="G48" i="14"/>
  <c r="AN15" i="14"/>
  <c r="AN48" i="14"/>
  <c r="AG37" i="14"/>
  <c r="BE98" i="14"/>
  <c r="H43" i="17"/>
  <c r="H86" i="17"/>
  <c r="H10" i="17"/>
  <c r="Q97" i="17"/>
  <c r="AY16" i="14"/>
  <c r="AY49" i="14"/>
  <c r="AR16" i="14"/>
  <c r="AR49" i="14"/>
  <c r="AA89" i="14"/>
  <c r="AA45" i="14"/>
  <c r="AA12" i="14"/>
  <c r="AX89" i="14"/>
  <c r="AX45" i="14"/>
  <c r="AX12" i="14"/>
  <c r="BB89" i="14"/>
  <c r="BB12" i="14"/>
  <c r="BB45" i="14"/>
  <c r="E10" i="39"/>
  <c r="AK55" i="14"/>
  <c r="AK22" i="14"/>
  <c r="AR55" i="14"/>
  <c r="AR22" i="14"/>
  <c r="L51" i="14"/>
  <c r="L18" i="14"/>
  <c r="AP18" i="14"/>
  <c r="AP51" i="14"/>
  <c r="AT18" i="14"/>
  <c r="AT51" i="14"/>
  <c r="AJ53" i="14"/>
  <c r="AJ20" i="14"/>
  <c r="AT53" i="14"/>
  <c r="AT20" i="14"/>
  <c r="H65" i="27"/>
  <c r="Q128" i="17"/>
  <c r="AT37" i="14"/>
  <c r="J44" i="17"/>
  <c r="J11" i="17"/>
  <c r="I19" i="17"/>
  <c r="I52" i="17"/>
  <c r="D13" i="14"/>
  <c r="D29" i="14" s="1"/>
  <c r="I116" i="17"/>
  <c r="AD138" i="14"/>
  <c r="AL138" i="14"/>
  <c r="X50" i="14"/>
  <c r="X17" i="14"/>
  <c r="AU50" i="14"/>
  <c r="AU17" i="14"/>
  <c r="H55" i="17"/>
  <c r="H22" i="17"/>
  <c r="E8" i="39"/>
  <c r="AW47" i="14"/>
  <c r="AW14" i="14"/>
  <c r="U14" i="14"/>
  <c r="U47" i="14"/>
  <c r="F37" i="14"/>
  <c r="X14" i="14"/>
  <c r="X47" i="14"/>
  <c r="J47" i="14"/>
  <c r="J14" i="14"/>
  <c r="BB47" i="14"/>
  <c r="BB14" i="14"/>
  <c r="M29" i="14"/>
  <c r="O15" i="14"/>
  <c r="O48" i="14"/>
  <c r="N15" i="14"/>
  <c r="N48" i="14"/>
  <c r="D66" i="17"/>
  <c r="P74" i="437"/>
  <c r="P99" i="437" s="1"/>
  <c r="Q73" i="17"/>
  <c r="D43" i="17"/>
  <c r="D86" i="17"/>
  <c r="D10" i="17"/>
  <c r="BC16" i="14"/>
  <c r="BC49" i="14"/>
  <c r="M49" i="14"/>
  <c r="M16" i="14"/>
  <c r="L17" i="5"/>
  <c r="D185" i="435" s="1"/>
  <c r="Q115" i="17"/>
  <c r="AD89" i="14"/>
  <c r="AD45" i="14"/>
  <c r="AD12" i="14"/>
  <c r="AC45" i="14"/>
  <c r="AC89" i="14"/>
  <c r="AC12" i="14"/>
  <c r="E12" i="14"/>
  <c r="E89" i="14"/>
  <c r="E45" i="14"/>
  <c r="D23" i="3"/>
  <c r="AZ22" i="14"/>
  <c r="AZ55" i="14"/>
  <c r="AL22" i="14"/>
  <c r="AL55" i="14"/>
  <c r="S55" i="14"/>
  <c r="S22" i="14"/>
  <c r="O51" i="14"/>
  <c r="O18" i="14"/>
  <c r="Q51" i="14"/>
  <c r="Q18" i="14"/>
  <c r="U18" i="14"/>
  <c r="U51" i="14"/>
  <c r="H53" i="14"/>
  <c r="H20" i="14"/>
  <c r="U53" i="14"/>
  <c r="U20" i="14"/>
  <c r="I14" i="17"/>
  <c r="I47" i="17"/>
  <c r="G11" i="17"/>
  <c r="G44" i="17"/>
  <c r="BE118" i="14"/>
  <c r="D57" i="14"/>
  <c r="J19" i="17"/>
  <c r="J52" i="17"/>
  <c r="H116" i="17"/>
  <c r="AM37" i="14"/>
  <c r="D39" i="14"/>
  <c r="J138" i="14"/>
  <c r="M138" i="14"/>
  <c r="AH17" i="14"/>
  <c r="AH50" i="14"/>
  <c r="E50" i="14"/>
  <c r="E17" i="14"/>
  <c r="I22" i="17"/>
  <c r="I55" i="17"/>
  <c r="AO37" i="14"/>
  <c r="G15" i="11"/>
  <c r="I15" i="11" s="1"/>
  <c r="C18" i="8" l="1"/>
  <c r="D166" i="435"/>
  <c r="D163" i="435"/>
  <c r="I251" i="435" s="1"/>
  <c r="L127" i="436"/>
  <c r="BE68" i="14" s="1"/>
  <c r="Q66" i="17"/>
  <c r="AB65" i="27"/>
  <c r="Q32" i="14"/>
  <c r="S38" i="14"/>
  <c r="L32" i="14"/>
  <c r="AE34" i="14"/>
  <c r="AN32" i="14"/>
  <c r="F55" i="12"/>
  <c r="I55" i="12" s="1"/>
  <c r="AL32" i="14"/>
  <c r="I30" i="14"/>
  <c r="G18" i="22"/>
  <c r="G24" i="22" s="1"/>
  <c r="I252" i="435" s="1"/>
  <c r="BC33" i="14"/>
  <c r="AK30" i="14"/>
  <c r="AC99" i="26"/>
  <c r="K99" i="26"/>
  <c r="AA99" i="26"/>
  <c r="F37" i="12"/>
  <c r="I37" i="12" s="1"/>
  <c r="F40" i="12"/>
  <c r="I40" i="12" s="1"/>
  <c r="F29" i="12"/>
  <c r="I29" i="12" s="1"/>
  <c r="H31" i="3"/>
  <c r="H36" i="14"/>
  <c r="F42" i="12"/>
  <c r="I42" i="12" s="1"/>
  <c r="F51" i="12"/>
  <c r="I51" i="12" s="1"/>
  <c r="F31" i="14"/>
  <c r="N38" i="14"/>
  <c r="AJ31" i="14"/>
  <c r="W31" i="14"/>
  <c r="E36" i="14"/>
  <c r="AJ36" i="14"/>
  <c r="AH36" i="14"/>
  <c r="AS33" i="14"/>
  <c r="AH38" i="14"/>
  <c r="AL33" i="14"/>
  <c r="E33" i="14"/>
  <c r="K127" i="436"/>
  <c r="BE63" i="14" s="1"/>
  <c r="AU38" i="14"/>
  <c r="F15" i="12"/>
  <c r="I15" i="12" s="1"/>
  <c r="AY35" i="14"/>
  <c r="F24" i="12"/>
  <c r="I24" i="12" s="1"/>
  <c r="F65" i="12"/>
  <c r="I65" i="12" s="1"/>
  <c r="F14" i="12"/>
  <c r="I14" i="12" s="1"/>
  <c r="F13" i="12"/>
  <c r="I13" i="12" s="1"/>
  <c r="F62" i="12"/>
  <c r="I62" i="12" s="1"/>
  <c r="F37" i="17"/>
  <c r="F23" i="12"/>
  <c r="I23" i="12" s="1"/>
  <c r="F18" i="12"/>
  <c r="I18" i="12" s="1"/>
  <c r="F27" i="12"/>
  <c r="I27" i="12" s="1"/>
  <c r="F28" i="12"/>
  <c r="I28" i="12" s="1"/>
  <c r="V33" i="14"/>
  <c r="F36" i="14"/>
  <c r="AJ29" i="14"/>
  <c r="BB30" i="14"/>
  <c r="AH32" i="14"/>
  <c r="Z33" i="14"/>
  <c r="AL31" i="14"/>
  <c r="F44" i="12"/>
  <c r="I44" i="12" s="1"/>
  <c r="F48" i="12"/>
  <c r="I48" i="12" s="1"/>
  <c r="F32" i="12"/>
  <c r="I32" i="12" s="1"/>
  <c r="F10" i="12"/>
  <c r="I10" i="12" s="1"/>
  <c r="F33" i="12"/>
  <c r="I33" i="12" s="1"/>
  <c r="F21" i="12"/>
  <c r="I21" i="12" s="1"/>
  <c r="AF40" i="14"/>
  <c r="H38" i="17"/>
  <c r="H41" i="3"/>
  <c r="Q33" i="14"/>
  <c r="J31" i="14"/>
  <c r="AW33" i="14"/>
  <c r="X31" i="14"/>
  <c r="F54" i="12"/>
  <c r="I54" i="12" s="1"/>
  <c r="J30" i="14"/>
  <c r="I27" i="17"/>
  <c r="L38" i="14"/>
  <c r="BE119" i="14"/>
  <c r="AK58" i="14"/>
  <c r="AA32" i="14"/>
  <c r="P58" i="14"/>
  <c r="H87" i="436" s="1"/>
  <c r="I33" i="17"/>
  <c r="F30" i="17"/>
  <c r="H32" i="3"/>
  <c r="AN36" i="14"/>
  <c r="D181" i="435"/>
  <c r="F17" i="5"/>
  <c r="D169" i="435" s="1"/>
  <c r="F17" i="12"/>
  <c r="I17" i="12" s="1"/>
  <c r="AE31" i="14"/>
  <c r="AR38" i="14"/>
  <c r="G33" i="17"/>
  <c r="AH31" i="14"/>
  <c r="H28" i="17"/>
  <c r="E38" i="14"/>
  <c r="AJ38" i="14"/>
  <c r="J37" i="17"/>
  <c r="AC31" i="14"/>
  <c r="AO33" i="14"/>
  <c r="AO34" i="14"/>
  <c r="J36" i="14"/>
  <c r="BA33" i="14"/>
  <c r="H35" i="17"/>
  <c r="AM38" i="14"/>
  <c r="J33" i="14"/>
  <c r="AN30" i="14"/>
  <c r="AX30" i="14"/>
  <c r="X38" i="14"/>
  <c r="AA38" i="14"/>
  <c r="F36" i="12"/>
  <c r="I36" i="12" s="1"/>
  <c r="AX33" i="14"/>
  <c r="R38" i="14"/>
  <c r="AY33" i="14"/>
  <c r="X33" i="14"/>
  <c r="AE30" i="14"/>
  <c r="R36" i="14"/>
  <c r="AO31" i="14"/>
  <c r="Z31" i="14"/>
  <c r="AY31" i="14"/>
  <c r="F49" i="12"/>
  <c r="I49" i="12" s="1"/>
  <c r="F38" i="14"/>
  <c r="D100" i="435"/>
  <c r="V32" i="14"/>
  <c r="G36" i="17"/>
  <c r="AP33" i="14"/>
  <c r="J32" i="17"/>
  <c r="M31" i="14"/>
  <c r="D27" i="17"/>
  <c r="AV34" i="14"/>
  <c r="F11" i="12"/>
  <c r="I11" i="12" s="1"/>
  <c r="J34" i="14"/>
  <c r="AR33" i="14"/>
  <c r="BA36" i="14"/>
  <c r="J36" i="17"/>
  <c r="AT38" i="14"/>
  <c r="AU30" i="14"/>
  <c r="AY30" i="14"/>
  <c r="K33" i="14"/>
  <c r="Q36" i="14"/>
  <c r="AJ32" i="14"/>
  <c r="AD34" i="14"/>
  <c r="I36" i="17"/>
  <c r="BB31" i="14"/>
  <c r="U36" i="14"/>
  <c r="J27" i="17"/>
  <c r="E30" i="14"/>
  <c r="AN38" i="14"/>
  <c r="AF33" i="14"/>
  <c r="AL34" i="14"/>
  <c r="AB36" i="14"/>
  <c r="F34" i="17"/>
  <c r="E31" i="17"/>
  <c r="K36" i="14"/>
  <c r="AI32" i="14"/>
  <c r="AG34" i="14"/>
  <c r="N30" i="14"/>
  <c r="AO30" i="14"/>
  <c r="AZ32" i="14"/>
  <c r="N32" i="14"/>
  <c r="G37" i="17"/>
  <c r="U34" i="14"/>
  <c r="G31" i="14"/>
  <c r="H30" i="17"/>
  <c r="K30" i="14"/>
  <c r="AT30" i="14"/>
  <c r="J38" i="14"/>
  <c r="AG30" i="14"/>
  <c r="W34" i="14"/>
  <c r="AQ38" i="14"/>
  <c r="Z38" i="14"/>
  <c r="F12" i="12"/>
  <c r="I12" i="12" s="1"/>
  <c r="R30" i="14"/>
  <c r="P36" i="14"/>
  <c r="I37" i="17"/>
  <c r="AG31" i="14"/>
  <c r="AW32" i="14"/>
  <c r="I31" i="17"/>
  <c r="AZ34" i="14"/>
  <c r="F32" i="14"/>
  <c r="D37" i="17"/>
  <c r="AV31" i="14"/>
  <c r="AS31" i="14"/>
  <c r="E27" i="17"/>
  <c r="I38" i="14"/>
  <c r="AT34" i="14"/>
  <c r="E34" i="14"/>
  <c r="BE104" i="14"/>
  <c r="AM34" i="14"/>
  <c r="AG58" i="14"/>
  <c r="D34" i="14"/>
  <c r="H31" i="14"/>
  <c r="K31" i="14"/>
  <c r="AG36" i="14"/>
  <c r="AG32" i="14"/>
  <c r="U38" i="14"/>
  <c r="G28" i="17"/>
  <c r="E33" i="17"/>
  <c r="P30" i="14"/>
  <c r="Y33" i="14"/>
  <c r="N36" i="14"/>
  <c r="AK32" i="14"/>
  <c r="F35" i="17"/>
  <c r="F20" i="12"/>
  <c r="I20" i="12" s="1"/>
  <c r="F63" i="12"/>
  <c r="I63" i="12" s="1"/>
  <c r="AM31" i="14"/>
  <c r="E35" i="17"/>
  <c r="AN58" i="14"/>
  <c r="AP30" i="14"/>
  <c r="E28" i="17"/>
  <c r="AU58" i="14"/>
  <c r="S36" i="14"/>
  <c r="AH33" i="14"/>
  <c r="N33" i="14"/>
  <c r="F46" i="12"/>
  <c r="I46" i="12" s="1"/>
  <c r="AB31" i="14"/>
  <c r="AO36" i="14"/>
  <c r="X30" i="14"/>
  <c r="Z58" i="14"/>
  <c r="H97" i="436" s="1"/>
  <c r="F22" i="12"/>
  <c r="I22" i="12" s="1"/>
  <c r="AQ36" i="14"/>
  <c r="I38" i="17"/>
  <c r="AK31" i="14"/>
  <c r="AZ31" i="14"/>
  <c r="AW30" i="14"/>
  <c r="S32" i="14"/>
  <c r="O30" i="14"/>
  <c r="AE36" i="14"/>
  <c r="P33" i="14"/>
  <c r="AE38" i="14"/>
  <c r="Q30" i="14"/>
  <c r="AW38" i="14"/>
  <c r="T32" i="14"/>
  <c r="AM32" i="14"/>
  <c r="F30" i="12"/>
  <c r="I30" i="12" s="1"/>
  <c r="AR32" i="14"/>
  <c r="G38" i="17"/>
  <c r="V38" i="14"/>
  <c r="AX36" i="14"/>
  <c r="BB34" i="14"/>
  <c r="AD30" i="14"/>
  <c r="F36" i="17"/>
  <c r="AR34" i="14"/>
  <c r="F59" i="12"/>
  <c r="I59" i="12" s="1"/>
  <c r="F39" i="12"/>
  <c r="I39" i="12" s="1"/>
  <c r="M34" i="14"/>
  <c r="R32" i="14"/>
  <c r="Z34" i="14"/>
  <c r="AZ30" i="14"/>
  <c r="F28" i="17"/>
  <c r="AK34" i="14"/>
  <c r="AA36" i="14"/>
  <c r="F41" i="12"/>
  <c r="I41" i="12" s="1"/>
  <c r="AZ40" i="14"/>
  <c r="R34" i="14"/>
  <c r="AJ34" i="14"/>
  <c r="D34" i="17"/>
  <c r="H37" i="17"/>
  <c r="AI36" i="14"/>
  <c r="F27" i="17"/>
  <c r="I32" i="17"/>
  <c r="O34" i="14"/>
  <c r="N31" i="14"/>
  <c r="AU33" i="14"/>
  <c r="D31" i="17"/>
  <c r="D36" i="14"/>
  <c r="F34" i="14"/>
  <c r="AC36" i="14"/>
  <c r="I36" i="14"/>
  <c r="AG33" i="14"/>
  <c r="Y31" i="14"/>
  <c r="K38" i="14"/>
  <c r="S34" i="14"/>
  <c r="AI38" i="14"/>
  <c r="F50" i="12"/>
  <c r="I50" i="12" s="1"/>
  <c r="G6" i="4"/>
  <c r="I6" i="4" s="1"/>
  <c r="AY36" i="14"/>
  <c r="AZ36" i="14"/>
  <c r="L36" i="14"/>
  <c r="F32" i="17"/>
  <c r="AR31" i="14"/>
  <c r="AQ34" i="14"/>
  <c r="F25" i="12"/>
  <c r="I25" i="12" s="1"/>
  <c r="AW31" i="14"/>
  <c r="Y38" i="14"/>
  <c r="S31" i="14"/>
  <c r="AY34" i="14"/>
  <c r="AZ29" i="14"/>
  <c r="W36" i="14"/>
  <c r="G34" i="17"/>
  <c r="AQ58" i="14"/>
  <c r="D32" i="17"/>
  <c r="U58" i="14"/>
  <c r="H92" i="436" s="1"/>
  <c r="AA33" i="14"/>
  <c r="V31" i="14"/>
  <c r="AQ33" i="14"/>
  <c r="H34" i="14"/>
  <c r="AA30" i="14"/>
  <c r="F60" i="12"/>
  <c r="I60" i="12" s="1"/>
  <c r="F47" i="12"/>
  <c r="I47" i="12" s="1"/>
  <c r="BB40" i="14"/>
  <c r="I244" i="435"/>
  <c r="I248" i="435" s="1"/>
  <c r="F64" i="12"/>
  <c r="I64" i="12" s="1"/>
  <c r="E29" i="39"/>
  <c r="E35" i="39" s="1"/>
  <c r="E37" i="39" s="1"/>
  <c r="G26" i="22" s="1"/>
  <c r="F19" i="12"/>
  <c r="I19" i="12" s="1"/>
  <c r="F57" i="12"/>
  <c r="I57" i="12" s="1"/>
  <c r="F61" i="12"/>
  <c r="I61" i="12" s="1"/>
  <c r="F34" i="12"/>
  <c r="I34" i="12" s="1"/>
  <c r="H40" i="3"/>
  <c r="F31" i="12"/>
  <c r="I31" i="12" s="1"/>
  <c r="F58" i="12"/>
  <c r="I58" i="12" s="1"/>
  <c r="F56" i="12"/>
  <c r="I56" i="12" s="1"/>
  <c r="F38" i="12"/>
  <c r="I38" i="12" s="1"/>
  <c r="F45" i="12"/>
  <c r="I45" i="12" s="1"/>
  <c r="F35" i="12"/>
  <c r="I35" i="12" s="1"/>
  <c r="F16" i="12"/>
  <c r="I16" i="12" s="1"/>
  <c r="F43" i="12"/>
  <c r="I43" i="12" s="1"/>
  <c r="H37" i="3"/>
  <c r="F26" i="12"/>
  <c r="I26" i="12" s="1"/>
  <c r="P28" i="14"/>
  <c r="P25" i="14"/>
  <c r="E87" i="436" s="1"/>
  <c r="T58" i="14"/>
  <c r="H91" i="436" s="1"/>
  <c r="AC58" i="14"/>
  <c r="AK38" i="14"/>
  <c r="L58" i="14"/>
  <c r="O38" i="14"/>
  <c r="AF58" i="14"/>
  <c r="G25" i="14"/>
  <c r="G28" i="14"/>
  <c r="D31" i="14"/>
  <c r="AD32" i="14"/>
  <c r="AH34" i="14"/>
  <c r="AE32" i="14"/>
  <c r="Q101" i="17"/>
  <c r="D36" i="17"/>
  <c r="E37" i="17"/>
  <c r="H38" i="14"/>
  <c r="AQ32" i="14"/>
  <c r="S30" i="14"/>
  <c r="BA31" i="14"/>
  <c r="AW34" i="14"/>
  <c r="W32" i="14"/>
  <c r="AP31" i="14"/>
  <c r="AR36" i="14"/>
  <c r="AV30" i="14"/>
  <c r="E56" i="17"/>
  <c r="BB33" i="14"/>
  <c r="T31" i="14"/>
  <c r="Y58" i="14"/>
  <c r="H96" i="436" s="1"/>
  <c r="AP58" i="14"/>
  <c r="AV32" i="14"/>
  <c r="D30" i="14"/>
  <c r="W33" i="14"/>
  <c r="AZ33" i="14"/>
  <c r="H32" i="17"/>
  <c r="V34" i="14"/>
  <c r="G27" i="17"/>
  <c r="BB25" i="14"/>
  <c r="BB28" i="14"/>
  <c r="AG28" i="14"/>
  <c r="AG25" i="14"/>
  <c r="L31" i="14"/>
  <c r="BA58" i="14"/>
  <c r="I34" i="17"/>
  <c r="AI33" i="14"/>
  <c r="AU28" i="14"/>
  <c r="AU25" i="14"/>
  <c r="M33" i="14"/>
  <c r="H34" i="17"/>
  <c r="G31" i="17"/>
  <c r="AE25" i="14"/>
  <c r="AE28" i="14"/>
  <c r="BA30" i="14"/>
  <c r="AS38" i="14"/>
  <c r="AX32" i="14"/>
  <c r="D33" i="14"/>
  <c r="M38" i="14"/>
  <c r="R31" i="14"/>
  <c r="AM33" i="14"/>
  <c r="AO38" i="14"/>
  <c r="W30" i="14"/>
  <c r="D28" i="17"/>
  <c r="AU31" i="14"/>
  <c r="U33" i="14"/>
  <c r="E32" i="17"/>
  <c r="AL36" i="14"/>
  <c r="AM58" i="14"/>
  <c r="H27" i="17"/>
  <c r="P32" i="14"/>
  <c r="AV38" i="14"/>
  <c r="AS58" i="14"/>
  <c r="AX31" i="14"/>
  <c r="I129" i="437"/>
  <c r="I146" i="436"/>
  <c r="AV36" i="14"/>
  <c r="AH58" i="14"/>
  <c r="E26" i="17"/>
  <c r="E23" i="17"/>
  <c r="E75" i="437" s="1"/>
  <c r="H25" i="14"/>
  <c r="E79" i="436" s="1"/>
  <c r="H28" i="14"/>
  <c r="M58" i="14"/>
  <c r="H84" i="436" s="1"/>
  <c r="BC31" i="14"/>
  <c r="G34" i="14"/>
  <c r="AS30" i="14"/>
  <c r="AI30" i="14"/>
  <c r="T36" i="14"/>
  <c r="I5" i="11"/>
  <c r="I17" i="11" s="1"/>
  <c r="G17" i="11"/>
  <c r="BB36" i="14"/>
  <c r="AI58" i="14"/>
  <c r="F49" i="3"/>
  <c r="AP28" i="14"/>
  <c r="AP25" i="14"/>
  <c r="AN28" i="14"/>
  <c r="AN25" i="14"/>
  <c r="BE138" i="14"/>
  <c r="S28" i="14"/>
  <c r="S25" i="14"/>
  <c r="E90" i="436" s="1"/>
  <c r="D30" i="17"/>
  <c r="AX58" i="14"/>
  <c r="AN31" i="14"/>
  <c r="J38" i="17"/>
  <c r="J58" i="14"/>
  <c r="H82" i="436" s="1"/>
  <c r="AI34" i="14"/>
  <c r="AF31" i="14"/>
  <c r="I30" i="17"/>
  <c r="AL38" i="14"/>
  <c r="M32" i="14"/>
  <c r="AT36" i="14"/>
  <c r="F30" i="14"/>
  <c r="J25" i="14"/>
  <c r="E82" i="436" s="1"/>
  <c r="J28" i="14"/>
  <c r="AQ30" i="14"/>
  <c r="X34" i="14"/>
  <c r="AC34" i="14"/>
  <c r="G30" i="14"/>
  <c r="AI55" i="27"/>
  <c r="AC65" i="27"/>
  <c r="I34" i="14"/>
  <c r="F58" i="14"/>
  <c r="AJ33" i="14"/>
  <c r="BA38" i="14"/>
  <c r="D40" i="14"/>
  <c r="R28" i="14"/>
  <c r="R25" i="14"/>
  <c r="E89" i="436" s="1"/>
  <c r="AD31" i="14"/>
  <c r="AD38" i="14"/>
  <c r="G32" i="17"/>
  <c r="BC58" i="14"/>
  <c r="D38" i="14"/>
  <c r="AJ58" i="14"/>
  <c r="AI25" i="14"/>
  <c r="AI28" i="14"/>
  <c r="D111" i="435"/>
  <c r="BC28" i="14"/>
  <c r="BC25" i="14"/>
  <c r="BA34" i="14"/>
  <c r="AE33" i="14"/>
  <c r="BB38" i="14"/>
  <c r="AJ25" i="14"/>
  <c r="AJ28" i="14"/>
  <c r="Y25" i="14"/>
  <c r="E96" i="436" s="1"/>
  <c r="Y28" i="14"/>
  <c r="J34" i="17"/>
  <c r="AS28" i="14"/>
  <c r="AS25" i="14"/>
  <c r="AH25" i="14"/>
  <c r="AH28" i="14"/>
  <c r="Z28" i="14"/>
  <c r="Z25" i="14"/>
  <c r="E97" i="436" s="1"/>
  <c r="AC32" i="14"/>
  <c r="AD36" i="14"/>
  <c r="AW36" i="14"/>
  <c r="AD33" i="14"/>
  <c r="V28" i="14"/>
  <c r="V25" i="14"/>
  <c r="E93" i="436" s="1"/>
  <c r="Y30" i="14"/>
  <c r="F56" i="17"/>
  <c r="AL25" i="14"/>
  <c r="AL28" i="14"/>
  <c r="Q55" i="27"/>
  <c r="AD58" i="14"/>
  <c r="AW25" i="14"/>
  <c r="AW28" i="14"/>
  <c r="G30" i="17"/>
  <c r="AF30" i="14"/>
  <c r="AW58" i="14"/>
  <c r="S58" i="14"/>
  <c r="H90" i="436" s="1"/>
  <c r="E23" i="3"/>
  <c r="H10" i="3"/>
  <c r="H23" i="3" s="1"/>
  <c r="R58" i="14"/>
  <c r="H89" i="436" s="1"/>
  <c r="AZ38" i="14"/>
  <c r="BC32" i="14"/>
  <c r="AU34" i="14"/>
  <c r="AP32" i="14"/>
  <c r="R33" i="14"/>
  <c r="X58" i="14"/>
  <c r="H95" i="436" s="1"/>
  <c r="J31" i="17"/>
  <c r="AY38" i="14"/>
  <c r="AZ25" i="14"/>
  <c r="AZ28" i="14"/>
  <c r="AO28" i="14"/>
  <c r="AO25" i="14"/>
  <c r="Y36" i="14"/>
  <c r="F33" i="17"/>
  <c r="V58" i="14"/>
  <c r="H93" i="436" s="1"/>
  <c r="Z32" i="14"/>
  <c r="H33" i="17"/>
  <c r="G36" i="14"/>
  <c r="E36" i="17"/>
  <c r="E30" i="17"/>
  <c r="L30" i="14"/>
  <c r="F33" i="14"/>
  <c r="M99" i="26"/>
  <c r="N81" i="26" s="1"/>
  <c r="P81" i="26" s="1"/>
  <c r="AE81" i="26" s="1"/>
  <c r="AL58" i="14"/>
  <c r="H39" i="3"/>
  <c r="E38" i="17"/>
  <c r="I31" i="14"/>
  <c r="AA25" i="14"/>
  <c r="E98" i="436" s="1"/>
  <c r="AA28" i="14"/>
  <c r="AA58" i="14"/>
  <c r="H98" i="436" s="1"/>
  <c r="X28" i="14"/>
  <c r="X25" i="14"/>
  <c r="E95" i="436" s="1"/>
  <c r="D26" i="17"/>
  <c r="D23" i="17"/>
  <c r="E74" i="437" s="1"/>
  <c r="T33" i="14"/>
  <c r="Y34" i="14"/>
  <c r="Y32" i="14"/>
  <c r="AK36" i="14"/>
  <c r="T30" i="14"/>
  <c r="AB30" i="14"/>
  <c r="T38" i="14"/>
  <c r="D32" i="14"/>
  <c r="H33" i="3"/>
  <c r="P38" i="14"/>
  <c r="G33" i="14"/>
  <c r="M36" i="14"/>
  <c r="J28" i="17"/>
  <c r="W58" i="14"/>
  <c r="H94" i="436" s="1"/>
  <c r="X32" i="14"/>
  <c r="S33" i="14"/>
  <c r="AC38" i="14"/>
  <c r="BB32" i="14"/>
  <c r="F26" i="17"/>
  <c r="F23" i="17"/>
  <c r="E76" i="437" s="1"/>
  <c r="AE58" i="14"/>
  <c r="M28" i="14"/>
  <c r="M25" i="14"/>
  <c r="E84" i="436" s="1"/>
  <c r="AZ58" i="14"/>
  <c r="AO58" i="14"/>
  <c r="W28" i="14"/>
  <c r="W25" i="14"/>
  <c r="E94" i="436" s="1"/>
  <c r="J33" i="17"/>
  <c r="O58" i="14"/>
  <c r="AT58" i="14"/>
  <c r="U32" i="14"/>
  <c r="I25" i="14"/>
  <c r="I28" i="14"/>
  <c r="E31" i="14"/>
  <c r="T34" i="14"/>
  <c r="AF38" i="14"/>
  <c r="I35" i="17"/>
  <c r="AM30" i="14"/>
  <c r="D35" i="17"/>
  <c r="AO32" i="14"/>
  <c r="AF32" i="14"/>
  <c r="AB25" i="14"/>
  <c r="AB28" i="14"/>
  <c r="H35" i="3"/>
  <c r="F31" i="17"/>
  <c r="X36" i="14"/>
  <c r="E34" i="17"/>
  <c r="O28" i="14"/>
  <c r="O25" i="14"/>
  <c r="Q31" i="14"/>
  <c r="AT28" i="14"/>
  <c r="AT25" i="14"/>
  <c r="AA34" i="14"/>
  <c r="W38" i="14"/>
  <c r="AS32" i="14"/>
  <c r="Q28" i="14"/>
  <c r="Q25" i="14"/>
  <c r="E88" i="436" s="1"/>
  <c r="AC30" i="14"/>
  <c r="AM36" i="14"/>
  <c r="I58" i="14"/>
  <c r="P31" i="14"/>
  <c r="J32" i="14"/>
  <c r="D38" i="17"/>
  <c r="J30" i="17"/>
  <c r="AP38" i="14"/>
  <c r="AK25" i="14"/>
  <c r="AK28" i="14"/>
  <c r="BC38" i="14"/>
  <c r="BB58" i="14"/>
  <c r="T28" i="14"/>
  <c r="T25" i="14"/>
  <c r="E91" i="436" s="1"/>
  <c r="BA28" i="14"/>
  <c r="BA25" i="14"/>
  <c r="AP34" i="14"/>
  <c r="AY32" i="14"/>
  <c r="L33" i="14"/>
  <c r="AK33" i="14"/>
  <c r="AI31" i="14"/>
  <c r="BC36" i="14"/>
  <c r="AB58" i="14"/>
  <c r="AU36" i="14"/>
  <c r="I33" i="14"/>
  <c r="AS36" i="14"/>
  <c r="Q131" i="17"/>
  <c r="AR30" i="14"/>
  <c r="Q58" i="14"/>
  <c r="H88" i="436" s="1"/>
  <c r="I130" i="437"/>
  <c r="I147" i="436"/>
  <c r="J56" i="17"/>
  <c r="O32" i="14"/>
  <c r="AT33" i="14"/>
  <c r="D56" i="17"/>
  <c r="Q86" i="17"/>
  <c r="M29" i="484" s="1"/>
  <c r="M36" i="484" s="1"/>
  <c r="U30" i="14"/>
  <c r="AS34" i="14"/>
  <c r="J35" i="17"/>
  <c r="L34" i="14"/>
  <c r="P34" i="14"/>
  <c r="K34" i="14"/>
  <c r="AB38" i="14"/>
  <c r="H32" i="14"/>
  <c r="K58" i="14"/>
  <c r="AN33" i="14"/>
  <c r="I32" i="14"/>
  <c r="Z36" i="14"/>
  <c r="AT31" i="14"/>
  <c r="AH30" i="14"/>
  <c r="BC30" i="14"/>
  <c r="BE89" i="14"/>
  <c r="H29" i="484" s="1"/>
  <c r="H36" i="484" s="1"/>
  <c r="Q116" i="17"/>
  <c r="J26" i="17"/>
  <c r="J23" i="17"/>
  <c r="E80" i="437" s="1"/>
  <c r="AD28" i="14"/>
  <c r="AD25" i="14"/>
  <c r="H31" i="17"/>
  <c r="AQ28" i="14"/>
  <c r="AQ25" i="14"/>
  <c r="O31" i="14"/>
  <c r="U28" i="14"/>
  <c r="U25" i="14"/>
  <c r="E92" i="436" s="1"/>
  <c r="AM28" i="14"/>
  <c r="AM25" i="14"/>
  <c r="AX25" i="14"/>
  <c r="AX28" i="14"/>
  <c r="E58" i="14"/>
  <c r="E25" i="14"/>
  <c r="E28" i="14"/>
  <c r="H26" i="17"/>
  <c r="H23" i="17"/>
  <c r="E78" i="437" s="1"/>
  <c r="AT32" i="14"/>
  <c r="AG38" i="14"/>
  <c r="G35" i="17"/>
  <c r="K25" i="14"/>
  <c r="K28" i="14"/>
  <c r="AQ31" i="14"/>
  <c r="AN34" i="14"/>
  <c r="D33" i="17"/>
  <c r="AY25" i="14"/>
  <c r="AY28" i="14"/>
  <c r="AF34" i="14"/>
  <c r="AB34" i="14"/>
  <c r="AV33" i="14"/>
  <c r="AP36" i="14"/>
  <c r="D58" i="14"/>
  <c r="AX34" i="14"/>
  <c r="E32" i="14"/>
  <c r="G26" i="17"/>
  <c r="G23" i="17"/>
  <c r="E77" i="437" s="1"/>
  <c r="AL30" i="14"/>
  <c r="H36" i="17"/>
  <c r="V36" i="14"/>
  <c r="N28" i="14"/>
  <c r="N25" i="14"/>
  <c r="H30" i="14"/>
  <c r="AC33" i="14"/>
  <c r="G38" i="14"/>
  <c r="I26" i="17"/>
  <c r="I23" i="17"/>
  <c r="E79" i="437" s="1"/>
  <c r="AB32" i="14"/>
  <c r="AF25" i="14"/>
  <c r="AF28" i="14"/>
  <c r="AR28" i="14"/>
  <c r="AR25" i="14"/>
  <c r="AY58" i="14"/>
  <c r="AV28" i="14"/>
  <c r="AV25" i="14"/>
  <c r="D28" i="14"/>
  <c r="D25" i="14"/>
  <c r="N58" i="14"/>
  <c r="H38" i="3"/>
  <c r="I56" i="17"/>
  <c r="H58" i="14"/>
  <c r="H79" i="436" s="1"/>
  <c r="D192" i="435"/>
  <c r="F28" i="14"/>
  <c r="F25" i="14"/>
  <c r="AC25" i="14"/>
  <c r="AC28" i="14"/>
  <c r="Q34" i="14"/>
  <c r="H56" i="17"/>
  <c r="V30" i="14"/>
  <c r="Q38" i="14"/>
  <c r="F38" i="17"/>
  <c r="L25" i="14"/>
  <c r="L28" i="14"/>
  <c r="BC34" i="14"/>
  <c r="Z30" i="14"/>
  <c r="O33" i="14"/>
  <c r="G58" i="14"/>
  <c r="AB33" i="14"/>
  <c r="AR58" i="14"/>
  <c r="AA31" i="14"/>
  <c r="G32" i="14"/>
  <c r="I28" i="17"/>
  <c r="K32" i="14"/>
  <c r="AV58" i="14"/>
  <c r="AJ30" i="14"/>
  <c r="N34" i="14"/>
  <c r="AU32" i="14"/>
  <c r="H33" i="14"/>
  <c r="G56" i="17"/>
  <c r="O36" i="14"/>
  <c r="U31" i="14"/>
  <c r="AF36" i="14"/>
  <c r="BA32" i="14"/>
  <c r="M30" i="14"/>
  <c r="AX38" i="14"/>
  <c r="I253" i="435" l="1"/>
  <c r="I255" i="435" s="1"/>
  <c r="H76" i="436"/>
  <c r="E85" i="436"/>
  <c r="E100" i="436"/>
  <c r="H120" i="436"/>
  <c r="H80" i="436"/>
  <c r="E104" i="436"/>
  <c r="E116" i="436"/>
  <c r="H117" i="436"/>
  <c r="E81" i="436"/>
  <c r="G28" i="22"/>
  <c r="H114" i="436"/>
  <c r="N64" i="26"/>
  <c r="P64" i="26" s="1"/>
  <c r="AE64" i="26" s="1"/>
  <c r="N83" i="26"/>
  <c r="P83" i="26" s="1"/>
  <c r="AE83" i="26" s="1"/>
  <c r="N85" i="26"/>
  <c r="P85" i="26" s="1"/>
  <c r="AE85" i="26" s="1"/>
  <c r="N66" i="26"/>
  <c r="P66" i="26" s="1"/>
  <c r="AE66" i="26" s="1"/>
  <c r="N86" i="26"/>
  <c r="P86" i="26" s="1"/>
  <c r="AE86" i="26" s="1"/>
  <c r="N75" i="26"/>
  <c r="P75" i="26" s="1"/>
  <c r="AE75" i="26" s="1"/>
  <c r="N51" i="26"/>
  <c r="P51" i="26" s="1"/>
  <c r="AE51" i="26" s="1"/>
  <c r="N79" i="26"/>
  <c r="P79" i="26" s="1"/>
  <c r="AE79" i="26" s="1"/>
  <c r="N72" i="26"/>
  <c r="P72" i="26" s="1"/>
  <c r="AE72" i="26" s="1"/>
  <c r="N62" i="26"/>
  <c r="P62" i="26" s="1"/>
  <c r="AE62" i="26" s="1"/>
  <c r="N59" i="26"/>
  <c r="P59" i="26" s="1"/>
  <c r="AE59" i="26" s="1"/>
  <c r="N58" i="26"/>
  <c r="P58" i="26" s="1"/>
  <c r="AE58" i="26" s="1"/>
  <c r="N49" i="26"/>
  <c r="P49" i="26" s="1"/>
  <c r="AE49" i="26" s="1"/>
  <c r="N73" i="26"/>
  <c r="P73" i="26" s="1"/>
  <c r="AE73" i="26" s="1"/>
  <c r="N63" i="26"/>
  <c r="P63" i="26" s="1"/>
  <c r="AE63" i="26" s="1"/>
  <c r="N55" i="26"/>
  <c r="P55" i="26" s="1"/>
  <c r="AE55" i="26" s="1"/>
  <c r="N80" i="26"/>
  <c r="P80" i="26" s="1"/>
  <c r="AE80" i="26" s="1"/>
  <c r="N91" i="26"/>
  <c r="P91" i="26" s="1"/>
  <c r="AE91" i="26" s="1"/>
  <c r="N89" i="26"/>
  <c r="P89" i="26" s="1"/>
  <c r="AE89" i="26" s="1"/>
  <c r="N74" i="26"/>
  <c r="P74" i="26" s="1"/>
  <c r="AE74" i="26" s="1"/>
  <c r="N61" i="26"/>
  <c r="P61" i="26" s="1"/>
  <c r="AE61" i="26" s="1"/>
  <c r="N88" i="26"/>
  <c r="P88" i="26" s="1"/>
  <c r="AE88" i="26" s="1"/>
  <c r="N71" i="26"/>
  <c r="P71" i="26" s="1"/>
  <c r="AE71" i="26" s="1"/>
  <c r="N94" i="26"/>
  <c r="P94" i="26" s="1"/>
  <c r="AE94" i="26" s="1"/>
  <c r="N69" i="26"/>
  <c r="P69" i="26" s="1"/>
  <c r="AE69" i="26" s="1"/>
  <c r="N56" i="26"/>
  <c r="P56" i="26" s="1"/>
  <c r="AE56" i="26" s="1"/>
  <c r="N68" i="26"/>
  <c r="P68" i="26" s="1"/>
  <c r="AE68" i="26" s="1"/>
  <c r="N50" i="26"/>
  <c r="P50" i="26" s="1"/>
  <c r="AE50" i="26" s="1"/>
  <c r="N82" i="26"/>
  <c r="P82" i="26" s="1"/>
  <c r="AE82" i="26" s="1"/>
  <c r="N90" i="26"/>
  <c r="P90" i="26" s="1"/>
  <c r="AE90" i="26" s="1"/>
  <c r="N65" i="26"/>
  <c r="P65" i="26" s="1"/>
  <c r="AE65" i="26" s="1"/>
  <c r="N84" i="26"/>
  <c r="P84" i="26" s="1"/>
  <c r="AE84" i="26" s="1"/>
  <c r="N57" i="26"/>
  <c r="P57" i="26" s="1"/>
  <c r="AE57" i="26" s="1"/>
  <c r="N70" i="26"/>
  <c r="P70" i="26" s="1"/>
  <c r="AE70" i="26" s="1"/>
  <c r="N77" i="26"/>
  <c r="P77" i="26" s="1"/>
  <c r="AE77" i="26" s="1"/>
  <c r="N96" i="26"/>
  <c r="P96" i="26" s="1"/>
  <c r="AE96" i="26" s="1"/>
  <c r="N92" i="26"/>
  <c r="P92" i="26" s="1"/>
  <c r="AE92" i="26" s="1"/>
  <c r="N87" i="26"/>
  <c r="P87" i="26" s="1"/>
  <c r="AE87" i="26" s="1"/>
  <c r="N53" i="26"/>
  <c r="P53" i="26" s="1"/>
  <c r="AE53" i="26" s="1"/>
  <c r="N48" i="26"/>
  <c r="P48" i="26" s="1"/>
  <c r="AE48" i="26" s="1"/>
  <c r="N95" i="26"/>
  <c r="P95" i="26" s="1"/>
  <c r="AE95" i="26" s="1"/>
  <c r="N93" i="26"/>
  <c r="P93" i="26" s="1"/>
  <c r="AE93" i="26" s="1"/>
  <c r="N52" i="26"/>
  <c r="P52" i="26" s="1"/>
  <c r="AE52" i="26" s="1"/>
  <c r="N78" i="26"/>
  <c r="P78" i="26" s="1"/>
  <c r="AE78" i="26" s="1"/>
  <c r="N47" i="26"/>
  <c r="P47" i="26" s="1"/>
  <c r="AE47" i="26" s="1"/>
  <c r="N67" i="26"/>
  <c r="P67" i="26" s="1"/>
  <c r="AE67" i="26" s="1"/>
  <c r="N54" i="26"/>
  <c r="P54" i="26" s="1"/>
  <c r="AE54" i="26" s="1"/>
  <c r="N60" i="26"/>
  <c r="P60" i="26" s="1"/>
  <c r="AE60" i="26" s="1"/>
  <c r="N76" i="26"/>
  <c r="P76" i="26" s="1"/>
  <c r="AE76" i="26" s="1"/>
  <c r="E118" i="436"/>
  <c r="H111" i="436"/>
  <c r="H77" i="436"/>
  <c r="E113" i="436"/>
  <c r="E114" i="436"/>
  <c r="E120" i="436"/>
  <c r="H115" i="436"/>
  <c r="E102" i="436"/>
  <c r="E117" i="436"/>
  <c r="H113" i="436"/>
  <c r="H101" i="436"/>
  <c r="E101" i="436"/>
  <c r="E78" i="436"/>
  <c r="H112" i="436"/>
  <c r="H105" i="436"/>
  <c r="H122" i="436"/>
  <c r="H103" i="436"/>
  <c r="E122" i="436"/>
  <c r="E112" i="436"/>
  <c r="H85" i="436"/>
  <c r="E111" i="436"/>
  <c r="H81" i="436"/>
  <c r="E80" i="436"/>
  <c r="H78" i="436"/>
  <c r="E119" i="436"/>
  <c r="E77" i="436"/>
  <c r="H116" i="436"/>
  <c r="H121" i="436"/>
  <c r="H123" i="436"/>
  <c r="E105" i="436"/>
  <c r="E107" i="436"/>
  <c r="H118" i="436"/>
  <c r="E86" i="436"/>
  <c r="H109" i="436"/>
  <c r="E76" i="436"/>
  <c r="H86" i="436"/>
  <c r="E121" i="436"/>
  <c r="E123" i="436"/>
  <c r="H106" i="436"/>
  <c r="H104" i="436"/>
  <c r="H107" i="436"/>
  <c r="E106" i="436"/>
  <c r="E83" i="436"/>
  <c r="H102" i="436"/>
  <c r="E115" i="436"/>
  <c r="H100" i="436"/>
  <c r="E110" i="436"/>
  <c r="H83" i="436"/>
  <c r="E103" i="436"/>
  <c r="H110" i="436"/>
  <c r="H108" i="436"/>
  <c r="E108" i="436"/>
  <c r="E109" i="436"/>
  <c r="H119" i="436"/>
  <c r="D173" i="435"/>
  <c r="D129" i="435" s="1"/>
  <c r="AR41" i="14"/>
  <c r="AR139" i="14" s="1"/>
  <c r="AC41" i="14"/>
  <c r="AC139" i="14" s="1"/>
  <c r="D113" i="435"/>
  <c r="E41" i="14"/>
  <c r="E139" i="14" s="1"/>
  <c r="Q41" i="14"/>
  <c r="Q139" i="14" s="1"/>
  <c r="Y41" i="14"/>
  <c r="Y139" i="14" s="1"/>
  <c r="AD41" i="14"/>
  <c r="AD139" i="14" s="1"/>
  <c r="G7" i="4"/>
  <c r="I7" i="4" s="1"/>
  <c r="AY41" i="14"/>
  <c r="AY139" i="14" s="1"/>
  <c r="BA41" i="14"/>
  <c r="BA139" i="14" s="1"/>
  <c r="T41" i="14"/>
  <c r="T139" i="14" s="1"/>
  <c r="D39" i="17"/>
  <c r="F74" i="437" s="1"/>
  <c r="L74" i="437" s="1"/>
  <c r="N41" i="14"/>
  <c r="N139" i="14" s="1"/>
  <c r="AM41" i="14"/>
  <c r="AM139" i="14" s="1"/>
  <c r="Z41" i="14"/>
  <c r="Z139" i="14" s="1"/>
  <c r="AH41" i="14"/>
  <c r="AH139" i="14" s="1"/>
  <c r="AW41" i="14"/>
  <c r="AW139" i="14" s="1"/>
  <c r="W41" i="14"/>
  <c r="W139" i="14" s="1"/>
  <c r="F39" i="17"/>
  <c r="J41" i="14"/>
  <c r="J139" i="14" s="1"/>
  <c r="E39" i="17"/>
  <c r="F75" i="437" s="1"/>
  <c r="L75" i="437" s="1"/>
  <c r="I246" i="435"/>
  <c r="I301" i="435"/>
  <c r="I305" i="435" s="1"/>
  <c r="F67" i="12"/>
  <c r="E43" i="3"/>
  <c r="D97" i="435" s="1"/>
  <c r="I67" i="12"/>
  <c r="G286" i="435" s="1"/>
  <c r="I286" i="435" s="1"/>
  <c r="B12" i="8" s="1"/>
  <c r="AE41" i="14"/>
  <c r="AE139" i="14" s="1"/>
  <c r="AS41" i="14"/>
  <c r="AS139" i="14" s="1"/>
  <c r="H39" i="17"/>
  <c r="X41" i="14"/>
  <c r="X139" i="14" s="1"/>
  <c r="AU41" i="14"/>
  <c r="AU139" i="14" s="1"/>
  <c r="D43" i="3"/>
  <c r="D49" i="3" s="1"/>
  <c r="H30" i="3"/>
  <c r="H43" i="3" s="1"/>
  <c r="D101" i="435" s="1"/>
  <c r="S41" i="14"/>
  <c r="S139" i="14" s="1"/>
  <c r="I148" i="436"/>
  <c r="AV41" i="14"/>
  <c r="AV139" i="14" s="1"/>
  <c r="AQ41" i="14"/>
  <c r="AQ139" i="14" s="1"/>
  <c r="AT41" i="14"/>
  <c r="AT139" i="14" s="1"/>
  <c r="I131" i="437"/>
  <c r="AL41" i="14"/>
  <c r="AL139" i="14" s="1"/>
  <c r="AK41" i="14"/>
  <c r="AK139" i="14" s="1"/>
  <c r="AN41" i="14"/>
  <c r="AN139" i="14" s="1"/>
  <c r="AI41" i="14"/>
  <c r="AI139" i="14" s="1"/>
  <c r="G41" i="14"/>
  <c r="G139" i="14" s="1"/>
  <c r="O41" i="14"/>
  <c r="O139" i="14" s="1"/>
  <c r="AA41" i="14"/>
  <c r="AA139" i="14" s="1"/>
  <c r="AJ41" i="14"/>
  <c r="AJ139" i="14" s="1"/>
  <c r="AP41" i="14"/>
  <c r="AP139" i="14" s="1"/>
  <c r="AG41" i="14"/>
  <c r="AG139" i="14" s="1"/>
  <c r="AK55" i="27"/>
  <c r="AI65" i="27"/>
  <c r="V41" i="14"/>
  <c r="V139" i="14" s="1"/>
  <c r="R41" i="14"/>
  <c r="R139" i="14" s="1"/>
  <c r="J39" i="17"/>
  <c r="G49" i="3"/>
  <c r="D91" i="435"/>
  <c r="P41" i="14"/>
  <c r="P139" i="14" s="1"/>
  <c r="I39" i="17"/>
  <c r="AF41" i="14"/>
  <c r="AF139" i="14" s="1"/>
  <c r="G39" i="17"/>
  <c r="AO41" i="14"/>
  <c r="AO139" i="14" s="1"/>
  <c r="D87" i="435"/>
  <c r="J18" i="437" s="1"/>
  <c r="H41" i="14"/>
  <c r="H139" i="14" s="1"/>
  <c r="BB41" i="14"/>
  <c r="BB139" i="14" s="1"/>
  <c r="M41" i="14"/>
  <c r="M139" i="14" s="1"/>
  <c r="K41" i="14"/>
  <c r="K139" i="14" s="1"/>
  <c r="AB41" i="14"/>
  <c r="AB139" i="14" s="1"/>
  <c r="AZ41" i="14"/>
  <c r="AZ139" i="14" s="1"/>
  <c r="BC41" i="14"/>
  <c r="BC139" i="14" s="1"/>
  <c r="L41" i="14"/>
  <c r="L139" i="14" s="1"/>
  <c r="E264" i="435"/>
  <c r="G264" i="435" s="1"/>
  <c r="G90" i="435"/>
  <c r="E75" i="436"/>
  <c r="E99" i="437"/>
  <c r="F41" i="14"/>
  <c r="F139" i="14" s="1"/>
  <c r="U41" i="14"/>
  <c r="U139" i="14" s="1"/>
  <c r="I41" i="14"/>
  <c r="I139" i="14" s="1"/>
  <c r="D41" i="14"/>
  <c r="D139" i="14" s="1"/>
  <c r="H75" i="436"/>
  <c r="AX41" i="14"/>
  <c r="AX139" i="14" s="1"/>
  <c r="L29" i="484" l="1"/>
  <c r="O29" i="484" s="1"/>
  <c r="O36" i="484" s="1"/>
  <c r="Q23" i="17"/>
  <c r="N99" i="26"/>
  <c r="D133" i="435"/>
  <c r="D132" i="17"/>
  <c r="E132" i="17"/>
  <c r="E49" i="3"/>
  <c r="F76" i="437"/>
  <c r="L76" i="437" s="1"/>
  <c r="F132" i="17"/>
  <c r="G8" i="4"/>
  <c r="I8" i="4" s="1"/>
  <c r="D15" i="435"/>
  <c r="I289" i="435"/>
  <c r="C14" i="9" s="1"/>
  <c r="D15" i="9" s="1"/>
  <c r="AK65" i="27"/>
  <c r="I90" i="435"/>
  <c r="G100" i="435"/>
  <c r="D93" i="435"/>
  <c r="D110" i="435"/>
  <c r="G19" i="436" s="1"/>
  <c r="I236" i="435"/>
  <c r="E127" i="436"/>
  <c r="F77" i="437"/>
  <c r="G132" i="17"/>
  <c r="F80" i="437"/>
  <c r="J132" i="17"/>
  <c r="H127" i="436"/>
  <c r="BE58" i="14" s="1"/>
  <c r="F78" i="437"/>
  <c r="H132" i="17"/>
  <c r="P99" i="26"/>
  <c r="Q47" i="26" s="1"/>
  <c r="F79" i="437"/>
  <c r="I132" i="17"/>
  <c r="D103" i="435"/>
  <c r="D114" i="435"/>
  <c r="L36" i="484" l="1"/>
  <c r="G29" i="484"/>
  <c r="G36" i="484" s="1"/>
  <c r="BE25" i="14"/>
  <c r="G9" i="4"/>
  <c r="I9" i="4" s="1"/>
  <c r="B13" i="8"/>
  <c r="I30" i="435"/>
  <c r="V29" i="484" s="1"/>
  <c r="V36" i="484" s="1"/>
  <c r="L79" i="437"/>
  <c r="G131" i="435"/>
  <c r="I100" i="435"/>
  <c r="I113" i="435" s="1"/>
  <c r="AE99" i="26"/>
  <c r="L80" i="437"/>
  <c r="I239" i="435"/>
  <c r="I241" i="435" s="1"/>
  <c r="D269" i="435"/>
  <c r="D272" i="435" s="1"/>
  <c r="G270" i="435" s="1"/>
  <c r="D116" i="435"/>
  <c r="Q72" i="26"/>
  <c r="Q54" i="26"/>
  <c r="Q86" i="26"/>
  <c r="Q68" i="26"/>
  <c r="Q61" i="26"/>
  <c r="Q69" i="26"/>
  <c r="Q78" i="26"/>
  <c r="Q84" i="26"/>
  <c r="Q55" i="26"/>
  <c r="Q65" i="26"/>
  <c r="Q90" i="26"/>
  <c r="Q71" i="26"/>
  <c r="Q76" i="26"/>
  <c r="Q64" i="26"/>
  <c r="Q87" i="26"/>
  <c r="Q67" i="26"/>
  <c r="Q51" i="26"/>
  <c r="Q62" i="26"/>
  <c r="Q52" i="26"/>
  <c r="Q74" i="26"/>
  <c r="Q95" i="26"/>
  <c r="Q83" i="26"/>
  <c r="Q81" i="26"/>
  <c r="Q57" i="26"/>
  <c r="Q82" i="26"/>
  <c r="Q96" i="26"/>
  <c r="Q79" i="26"/>
  <c r="Q73" i="26"/>
  <c r="Q59" i="26"/>
  <c r="Q63" i="26"/>
  <c r="Q91" i="26"/>
  <c r="Q93" i="26"/>
  <c r="Q56" i="26"/>
  <c r="Q58" i="26"/>
  <c r="Q80" i="26"/>
  <c r="Q49" i="26"/>
  <c r="Q77" i="26"/>
  <c r="Q75" i="26"/>
  <c r="Q92" i="26"/>
  <c r="Q48" i="26"/>
  <c r="Q94" i="26"/>
  <c r="Q89" i="26"/>
  <c r="Q60" i="26"/>
  <c r="Q85" i="26"/>
  <c r="Q70" i="26"/>
  <c r="Q88" i="26"/>
  <c r="Q53" i="26"/>
  <c r="Q50" i="26"/>
  <c r="Q66" i="26"/>
  <c r="L78" i="437"/>
  <c r="L77" i="437"/>
  <c r="F99" i="437"/>
  <c r="Q39" i="17" s="1"/>
  <c r="J29" i="484" l="1"/>
  <c r="J36" i="484" s="1"/>
  <c r="G10" i="4"/>
  <c r="I10" i="4" s="1"/>
  <c r="Q99" i="26"/>
  <c r="E18" i="36"/>
  <c r="I131" i="435"/>
  <c r="G170" i="435"/>
  <c r="L99" i="437"/>
  <c r="Q56" i="17" s="1"/>
  <c r="J129" i="437"/>
  <c r="J146" i="436"/>
  <c r="I256" i="435"/>
  <c r="I257" i="435" s="1"/>
  <c r="E262" i="435"/>
  <c r="G262" i="435" s="1"/>
  <c r="G266" i="435" s="1"/>
  <c r="I266" i="435" s="1"/>
  <c r="G87" i="435"/>
  <c r="G14" i="435"/>
  <c r="G11" i="4" l="1"/>
  <c r="I11" i="4" s="1"/>
  <c r="G178" i="435"/>
  <c r="I178" i="435" s="1"/>
  <c r="I170" i="435"/>
  <c r="G130" i="435"/>
  <c r="I130" i="435" s="1"/>
  <c r="G163" i="435"/>
  <c r="G88" i="435"/>
  <c r="I88" i="435" s="1"/>
  <c r="G97" i="435"/>
  <c r="I87" i="435"/>
  <c r="D18" i="36"/>
  <c r="C15" i="36"/>
  <c r="C5" i="36"/>
  <c r="B5" i="36"/>
  <c r="E5" i="36"/>
  <c r="D5" i="36"/>
  <c r="I14" i="435"/>
  <c r="G15" i="435"/>
  <c r="I270" i="435"/>
  <c r="K270" i="435" s="1"/>
  <c r="G92" i="435" s="1"/>
  <c r="G91" i="435"/>
  <c r="J147" i="436"/>
  <c r="K146" i="436"/>
  <c r="J130" i="437"/>
  <c r="K129" i="437"/>
  <c r="I32" i="19"/>
  <c r="E29" i="484" l="1"/>
  <c r="E36" i="484"/>
  <c r="T29" i="484"/>
  <c r="T36" i="484" s="1"/>
  <c r="G12" i="4"/>
  <c r="I12" i="4" s="1"/>
  <c r="J150" i="436"/>
  <c r="K150" i="436" s="1"/>
  <c r="K147" i="436"/>
  <c r="K148" i="436" s="1"/>
  <c r="J133" i="437"/>
  <c r="K133" i="437" s="1"/>
  <c r="K130" i="437"/>
  <c r="K131" i="437" s="1"/>
  <c r="G98" i="435"/>
  <c r="I97" i="435"/>
  <c r="G126" i="435"/>
  <c r="G18" i="436"/>
  <c r="G101" i="435"/>
  <c r="I91" i="435"/>
  <c r="G102" i="435"/>
  <c r="I92" i="435"/>
  <c r="I163" i="435"/>
  <c r="G169" i="435"/>
  <c r="I169" i="435" s="1"/>
  <c r="I15" i="435"/>
  <c r="G16" i="435"/>
  <c r="I93" i="435" l="1"/>
  <c r="G93" i="435" s="1"/>
  <c r="G188" i="435" s="1"/>
  <c r="G13" i="4"/>
  <c r="I13" i="4" s="1"/>
  <c r="E10" i="36"/>
  <c r="E12" i="36"/>
  <c r="E13" i="36"/>
  <c r="E9" i="36"/>
  <c r="E8" i="36"/>
  <c r="I16" i="435"/>
  <c r="G17" i="435"/>
  <c r="I17" i="435" s="1"/>
  <c r="I98" i="435"/>
  <c r="I111" i="435" s="1"/>
  <c r="G106" i="435"/>
  <c r="I106" i="435" s="1"/>
  <c r="I102" i="435"/>
  <c r="I115" i="435" s="1"/>
  <c r="G171" i="435"/>
  <c r="I126" i="435"/>
  <c r="G176" i="435"/>
  <c r="E7" i="36"/>
  <c r="J24" i="437"/>
  <c r="J29" i="437" s="1"/>
  <c r="E11" i="36"/>
  <c r="G166" i="435"/>
  <c r="I101" i="435"/>
  <c r="I114" i="435" s="1"/>
  <c r="G132" i="435" l="1"/>
  <c r="I132" i="435" s="1"/>
  <c r="E15" i="36"/>
  <c r="E21" i="36" s="1"/>
  <c r="G14" i="4"/>
  <c r="I14" i="4" s="1"/>
  <c r="I110" i="435"/>
  <c r="I188" i="435"/>
  <c r="G191" i="435"/>
  <c r="I191" i="435" s="1"/>
  <c r="G190" i="435"/>
  <c r="I190" i="435" s="1"/>
  <c r="I18" i="435"/>
  <c r="G179" i="435"/>
  <c r="G167" i="435"/>
  <c r="I166" i="435"/>
  <c r="I103" i="435"/>
  <c r="J19" i="437"/>
  <c r="J20" i="437" s="1"/>
  <c r="I171" i="435"/>
  <c r="G180" i="435"/>
  <c r="I180" i="435" s="1"/>
  <c r="G177" i="435"/>
  <c r="I177" i="435" s="1"/>
  <c r="I176" i="435"/>
  <c r="AF42" i="26" l="1"/>
  <c r="J31" i="437"/>
  <c r="L31" i="437" s="1"/>
  <c r="G90" i="437" s="1"/>
  <c r="H90" i="437" s="1"/>
  <c r="G15" i="4"/>
  <c r="I15" i="4" s="1"/>
  <c r="G168" i="435"/>
  <c r="I168" i="435" s="1"/>
  <c r="I167" i="435"/>
  <c r="G80" i="437"/>
  <c r="H80" i="437" s="1"/>
  <c r="AF43" i="26"/>
  <c r="E23" i="36"/>
  <c r="G185" i="435"/>
  <c r="I179" i="435"/>
  <c r="G28" i="436" s="1"/>
  <c r="G29" i="436" s="1"/>
  <c r="M29" i="436" s="1"/>
  <c r="I116" i="435"/>
  <c r="G116" i="435" s="1"/>
  <c r="I173" i="435" l="1"/>
  <c r="G89" i="437"/>
  <c r="H89" i="437" s="1"/>
  <c r="G93" i="437"/>
  <c r="H93" i="437" s="1"/>
  <c r="G86" i="437"/>
  <c r="H86" i="437" s="1"/>
  <c r="G85" i="437"/>
  <c r="H85" i="437" s="1"/>
  <c r="G92" i="437"/>
  <c r="H92" i="437" s="1"/>
  <c r="G88" i="437"/>
  <c r="H88" i="437" s="1"/>
  <c r="G82" i="437"/>
  <c r="H82" i="437" s="1"/>
  <c r="G74" i="437"/>
  <c r="H74" i="437" s="1"/>
  <c r="G84" i="437"/>
  <c r="H84" i="437" s="1"/>
  <c r="G94" i="437"/>
  <c r="H94" i="437" s="1"/>
  <c r="G97" i="437"/>
  <c r="H97" i="437" s="1"/>
  <c r="G77" i="437"/>
  <c r="H77" i="437" s="1"/>
  <c r="G87" i="437"/>
  <c r="H87" i="437" s="1"/>
  <c r="G75" i="437"/>
  <c r="H75" i="437" s="1"/>
  <c r="G91" i="437"/>
  <c r="H91" i="437" s="1"/>
  <c r="G79" i="437"/>
  <c r="H79" i="437" s="1"/>
  <c r="G81" i="437"/>
  <c r="H81" i="437" s="1"/>
  <c r="G96" i="437"/>
  <c r="H96" i="437" s="1"/>
  <c r="G95" i="437"/>
  <c r="H95" i="437" s="1"/>
  <c r="G76" i="437"/>
  <c r="H76" i="437" s="1"/>
  <c r="G83" i="437"/>
  <c r="H83" i="437" s="1"/>
  <c r="G78" i="437"/>
  <c r="H78" i="437" s="1"/>
  <c r="J39" i="437"/>
  <c r="J40" i="437" s="1"/>
  <c r="L40" i="437" s="1"/>
  <c r="G17" i="4"/>
  <c r="G16" i="4"/>
  <c r="I16" i="4" s="1"/>
  <c r="I181" i="435"/>
  <c r="J23" i="437"/>
  <c r="J35" i="437" s="1"/>
  <c r="J36" i="437" s="1"/>
  <c r="G22" i="436"/>
  <c r="G24" i="436" s="1"/>
  <c r="G25" i="436" s="1"/>
  <c r="M25" i="436" s="1"/>
  <c r="I129" i="435"/>
  <c r="I133" i="435" s="1"/>
  <c r="G186" i="435"/>
  <c r="I186" i="435" s="1"/>
  <c r="I185" i="435"/>
  <c r="AF47" i="26"/>
  <c r="AF95" i="26"/>
  <c r="AG95" i="26" s="1"/>
  <c r="AF62" i="26"/>
  <c r="AG62" i="26" s="1"/>
  <c r="N89" i="436" s="1"/>
  <c r="AF72" i="26"/>
  <c r="AG72" i="26" s="1"/>
  <c r="N99" i="436" s="1"/>
  <c r="AF57" i="26"/>
  <c r="AG57" i="26" s="1"/>
  <c r="AF54" i="26"/>
  <c r="AG54" i="26" s="1"/>
  <c r="N82" i="436" s="1"/>
  <c r="AF89" i="26"/>
  <c r="AG89" i="26" s="1"/>
  <c r="N115" i="436" s="1"/>
  <c r="AF77" i="26"/>
  <c r="AG77" i="26" s="1"/>
  <c r="AF51" i="26"/>
  <c r="AG51" i="26" s="1"/>
  <c r="N79" i="436" s="1"/>
  <c r="AF79" i="26"/>
  <c r="AG79" i="26" s="1"/>
  <c r="AF90" i="26"/>
  <c r="AG90" i="26" s="1"/>
  <c r="AF55" i="26"/>
  <c r="AG55" i="26" s="1"/>
  <c r="AF76" i="26"/>
  <c r="AG76" i="26" s="1"/>
  <c r="AF49" i="26"/>
  <c r="AG49" i="26" s="1"/>
  <c r="AF81" i="26"/>
  <c r="AG81" i="26" s="1"/>
  <c r="AF78" i="26"/>
  <c r="AG78" i="26" s="1"/>
  <c r="AF50" i="26"/>
  <c r="AG50" i="26" s="1"/>
  <c r="AF66" i="26"/>
  <c r="AG66" i="26" s="1"/>
  <c r="N93" i="436" s="1"/>
  <c r="AF92" i="26"/>
  <c r="AG92" i="26" s="1"/>
  <c r="AF86" i="26"/>
  <c r="AG86" i="26" s="1"/>
  <c r="AF94" i="26"/>
  <c r="AG94" i="26" s="1"/>
  <c r="AF88" i="26"/>
  <c r="AG88" i="26" s="1"/>
  <c r="AF85" i="26"/>
  <c r="AG85" i="26" s="1"/>
  <c r="AF60" i="26"/>
  <c r="AG60" i="26" s="1"/>
  <c r="N87" i="436" s="1"/>
  <c r="AF67" i="26"/>
  <c r="AG67" i="26" s="1"/>
  <c r="N94" i="436" s="1"/>
  <c r="AF64" i="26"/>
  <c r="AG64" i="26" s="1"/>
  <c r="N91" i="436" s="1"/>
  <c r="AF75" i="26"/>
  <c r="AG75" i="26" s="1"/>
  <c r="N97" i="436" s="1"/>
  <c r="AF84" i="26"/>
  <c r="AG84" i="26" s="1"/>
  <c r="AF80" i="26"/>
  <c r="AG80" i="26" s="1"/>
  <c r="AF93" i="26"/>
  <c r="AG93" i="26" s="1"/>
  <c r="AF73" i="26"/>
  <c r="AG73" i="26" s="1"/>
  <c r="AF65" i="26"/>
  <c r="AG65" i="26" s="1"/>
  <c r="N92" i="436" s="1"/>
  <c r="AF87" i="26"/>
  <c r="AG87" i="26" s="1"/>
  <c r="AF56" i="26"/>
  <c r="AG56" i="26" s="1"/>
  <c r="N84" i="436" s="1"/>
  <c r="AF74" i="26"/>
  <c r="AG74" i="26" s="1"/>
  <c r="AF63" i="26"/>
  <c r="AG63" i="26" s="1"/>
  <c r="N90" i="436" s="1"/>
  <c r="AF83" i="26"/>
  <c r="AG83" i="26" s="1"/>
  <c r="AF82" i="26"/>
  <c r="AG82" i="26" s="1"/>
  <c r="AF96" i="26"/>
  <c r="AG96" i="26" s="1"/>
  <c r="AF59" i="26"/>
  <c r="AG59" i="26" s="1"/>
  <c r="AF61" i="26"/>
  <c r="AG61" i="26" s="1"/>
  <c r="N88" i="436" s="1"/>
  <c r="AF52" i="26"/>
  <c r="AG52" i="26" s="1"/>
  <c r="AF69" i="26"/>
  <c r="AG69" i="26" s="1"/>
  <c r="N96" i="436" s="1"/>
  <c r="AF48" i="26"/>
  <c r="AG48" i="26" s="1"/>
  <c r="AF68" i="26"/>
  <c r="AG68" i="26" s="1"/>
  <c r="N95" i="436" s="1"/>
  <c r="AF53" i="26"/>
  <c r="AG53" i="26" s="1"/>
  <c r="AF58" i="26"/>
  <c r="AG58" i="26" s="1"/>
  <c r="AF71" i="26"/>
  <c r="AG71" i="26" s="1"/>
  <c r="AF91" i="26"/>
  <c r="AG91" i="26" s="1"/>
  <c r="AF70" i="26"/>
  <c r="AG70" i="26" s="1"/>
  <c r="N98" i="436" s="1"/>
  <c r="G204" i="435"/>
  <c r="G120" i="435"/>
  <c r="N118" i="436" l="1"/>
  <c r="N108" i="436"/>
  <c r="N81" i="436"/>
  <c r="N111" i="436"/>
  <c r="N103" i="436"/>
  <c r="N101" i="436"/>
  <c r="N116" i="436"/>
  <c r="N109" i="436"/>
  <c r="N104" i="436"/>
  <c r="N85" i="436"/>
  <c r="N119" i="436"/>
  <c r="N77" i="436"/>
  <c r="H99" i="437"/>
  <c r="N113" i="436"/>
  <c r="N117" i="436"/>
  <c r="N83" i="436"/>
  <c r="N120" i="436"/>
  <c r="N122" i="436"/>
  <c r="I17" i="4"/>
  <c r="D120" i="435" s="1"/>
  <c r="N105" i="436"/>
  <c r="N100" i="436"/>
  <c r="N76" i="436"/>
  <c r="N80" i="436"/>
  <c r="N114" i="436"/>
  <c r="N121" i="436"/>
  <c r="N123" i="436"/>
  <c r="N86" i="436"/>
  <c r="N112" i="436"/>
  <c r="N110" i="436"/>
  <c r="N78" i="436"/>
  <c r="N102" i="436"/>
  <c r="N107" i="436"/>
  <c r="N106" i="436"/>
  <c r="I192" i="435"/>
  <c r="AF99" i="26"/>
  <c r="AG47" i="26"/>
  <c r="G121" i="435"/>
  <c r="G205" i="435"/>
  <c r="L36" i="437"/>
  <c r="G32" i="436" l="1"/>
  <c r="G33" i="436" s="1"/>
  <c r="M33" i="436" s="1"/>
  <c r="M35" i="436" s="1"/>
  <c r="F120" i="436" s="1"/>
  <c r="G120" i="436" s="1"/>
  <c r="J43" i="437"/>
  <c r="J44" i="437" s="1"/>
  <c r="L44" i="437" s="1"/>
  <c r="L46" i="437" s="1"/>
  <c r="I120" i="435"/>
  <c r="D124" i="435"/>
  <c r="D135" i="435" s="1"/>
  <c r="D209" i="435" s="1"/>
  <c r="G206" i="435"/>
  <c r="G123" i="435"/>
  <c r="I123" i="435" s="1"/>
  <c r="G122" i="435"/>
  <c r="I122" i="435" s="1"/>
  <c r="I121" i="435"/>
  <c r="AG99" i="26"/>
  <c r="N75" i="436"/>
  <c r="N127" i="436" s="1"/>
  <c r="I89" i="437" l="1"/>
  <c r="J89" i="437" s="1"/>
  <c r="K89" i="437" s="1"/>
  <c r="I88" i="437"/>
  <c r="J88" i="437" s="1"/>
  <c r="K88" i="437" s="1"/>
  <c r="I81" i="437"/>
  <c r="J81" i="437" s="1"/>
  <c r="K81" i="437" s="1"/>
  <c r="I76" i="437"/>
  <c r="J76" i="437" s="1"/>
  <c r="K76" i="437" s="1"/>
  <c r="I90" i="437"/>
  <c r="J90" i="437" s="1"/>
  <c r="K90" i="437" s="1"/>
  <c r="I83" i="437"/>
  <c r="J83" i="437" s="1"/>
  <c r="K83" i="437" s="1"/>
  <c r="I95" i="437"/>
  <c r="J95" i="437" s="1"/>
  <c r="K95" i="437" s="1"/>
  <c r="I96" i="437"/>
  <c r="J96" i="437" s="1"/>
  <c r="K96" i="437" s="1"/>
  <c r="F84" i="436"/>
  <c r="G84" i="436" s="1"/>
  <c r="F89" i="436"/>
  <c r="G89" i="436" s="1"/>
  <c r="F83" i="436"/>
  <c r="G83" i="436" s="1"/>
  <c r="F105" i="436"/>
  <c r="G105" i="436" s="1"/>
  <c r="F102" i="436"/>
  <c r="G102" i="436" s="1"/>
  <c r="F107" i="436"/>
  <c r="G107" i="436" s="1"/>
  <c r="F122" i="436"/>
  <c r="G122" i="436" s="1"/>
  <c r="F78" i="436"/>
  <c r="G78" i="436" s="1"/>
  <c r="F109" i="436"/>
  <c r="G109" i="436" s="1"/>
  <c r="F96" i="436"/>
  <c r="G96" i="436" s="1"/>
  <c r="F104" i="436"/>
  <c r="G104" i="436" s="1"/>
  <c r="F88" i="436"/>
  <c r="G88" i="436" s="1"/>
  <c r="F115" i="436"/>
  <c r="G115" i="436" s="1"/>
  <c r="F85" i="436"/>
  <c r="G85" i="436" s="1"/>
  <c r="F79" i="436"/>
  <c r="G79" i="436" s="1"/>
  <c r="F98" i="436"/>
  <c r="G98" i="436" s="1"/>
  <c r="F124" i="436"/>
  <c r="G124" i="436" s="1"/>
  <c r="F99" i="436"/>
  <c r="G99" i="436" s="1"/>
  <c r="F91" i="436"/>
  <c r="G91" i="436" s="1"/>
  <c r="F110" i="436"/>
  <c r="G110" i="436" s="1"/>
  <c r="F77" i="436"/>
  <c r="G77" i="436" s="1"/>
  <c r="F93" i="436"/>
  <c r="G93" i="436" s="1"/>
  <c r="F103" i="436"/>
  <c r="G103" i="436" s="1"/>
  <c r="F82" i="436"/>
  <c r="G82" i="436" s="1"/>
  <c r="F75" i="436"/>
  <c r="G75" i="436" s="1"/>
  <c r="F92" i="436"/>
  <c r="G92" i="436" s="1"/>
  <c r="F108" i="436"/>
  <c r="G108" i="436" s="1"/>
  <c r="F97" i="436"/>
  <c r="G97" i="436" s="1"/>
  <c r="F86" i="436"/>
  <c r="G86" i="436" s="1"/>
  <c r="F119" i="436"/>
  <c r="G119" i="436" s="1"/>
  <c r="F81" i="436"/>
  <c r="G81" i="436" s="1"/>
  <c r="F94" i="436"/>
  <c r="G94" i="436" s="1"/>
  <c r="F80" i="436"/>
  <c r="G80" i="436" s="1"/>
  <c r="F76" i="436"/>
  <c r="G76" i="436" s="1"/>
  <c r="F106" i="436"/>
  <c r="G106" i="436" s="1"/>
  <c r="F112" i="436"/>
  <c r="G112" i="436" s="1"/>
  <c r="F111" i="436"/>
  <c r="G111" i="436" s="1"/>
  <c r="F114" i="436"/>
  <c r="G114" i="436" s="1"/>
  <c r="F117" i="436"/>
  <c r="G117" i="436" s="1"/>
  <c r="F116" i="436"/>
  <c r="G116" i="436" s="1"/>
  <c r="J46" i="437"/>
  <c r="F101" i="436"/>
  <c r="G101" i="436" s="1"/>
  <c r="F123" i="436"/>
  <c r="G123" i="436" s="1"/>
  <c r="F95" i="436"/>
  <c r="G95" i="436" s="1"/>
  <c r="F87" i="436"/>
  <c r="G87" i="436" s="1"/>
  <c r="F113" i="436"/>
  <c r="G113" i="436" s="1"/>
  <c r="F100" i="436"/>
  <c r="G100" i="436" s="1"/>
  <c r="F118" i="436"/>
  <c r="G118" i="436" s="1"/>
  <c r="F90" i="436"/>
  <c r="G90" i="436" s="1"/>
  <c r="F121" i="436"/>
  <c r="G121" i="436" s="1"/>
  <c r="I75" i="437"/>
  <c r="J75" i="437" s="1"/>
  <c r="K75" i="437" s="1"/>
  <c r="I85" i="437"/>
  <c r="J85" i="437" s="1"/>
  <c r="K85" i="437" s="1"/>
  <c r="I74" i="437"/>
  <c r="J74" i="437" s="1"/>
  <c r="K74" i="437" s="1"/>
  <c r="I84" i="437"/>
  <c r="J84" i="437" s="1"/>
  <c r="K84" i="437" s="1"/>
  <c r="G10" i="20"/>
  <c r="I94" i="437"/>
  <c r="J94" i="437" s="1"/>
  <c r="K94" i="437" s="1"/>
  <c r="I97" i="437"/>
  <c r="J97" i="437" s="1"/>
  <c r="K97" i="437" s="1"/>
  <c r="I79" i="437"/>
  <c r="J79" i="437" s="1"/>
  <c r="K79" i="437" s="1"/>
  <c r="I77" i="437"/>
  <c r="J77" i="437" s="1"/>
  <c r="K77" i="437" s="1"/>
  <c r="I91" i="437"/>
  <c r="J91" i="437" s="1"/>
  <c r="K91" i="437" s="1"/>
  <c r="I78" i="437"/>
  <c r="J78" i="437" s="1"/>
  <c r="K78" i="437" s="1"/>
  <c r="I82" i="437"/>
  <c r="J82" i="437" s="1"/>
  <c r="K82" i="437" s="1"/>
  <c r="I80" i="437"/>
  <c r="J80" i="437" s="1"/>
  <c r="K80" i="437" s="1"/>
  <c r="I86" i="437"/>
  <c r="J86" i="437" s="1"/>
  <c r="K86" i="437" s="1"/>
  <c r="I93" i="437"/>
  <c r="J93" i="437" s="1"/>
  <c r="K93" i="437" s="1"/>
  <c r="I124" i="435"/>
  <c r="I135" i="435" s="1"/>
  <c r="I209" i="435" s="1"/>
  <c r="J53" i="437" s="1"/>
  <c r="J54" i="437" s="1"/>
  <c r="L54" i="437" s="1"/>
  <c r="I92" i="437"/>
  <c r="J92" i="437" s="1"/>
  <c r="K92" i="437" s="1"/>
  <c r="I87" i="437"/>
  <c r="J87" i="437" s="1"/>
  <c r="K87" i="437" s="1"/>
  <c r="I48" i="19"/>
  <c r="I8" i="19"/>
  <c r="I9" i="19" s="1"/>
  <c r="G9" i="19" s="1"/>
  <c r="G115" i="20"/>
  <c r="I40" i="19"/>
  <c r="G133" i="20"/>
  <c r="G82" i="20"/>
  <c r="G83" i="20" s="1"/>
  <c r="G106" i="20"/>
  <c r="I39" i="19"/>
  <c r="I31" i="19"/>
  <c r="I47" i="19"/>
  <c r="I61" i="19"/>
  <c r="I54" i="19"/>
  <c r="G142" i="20"/>
  <c r="I55" i="19"/>
  <c r="I62" i="19"/>
  <c r="G124" i="20"/>
  <c r="I41" i="19" l="1"/>
  <c r="G127" i="436"/>
  <c r="C7" i="8"/>
  <c r="C10" i="8" s="1"/>
  <c r="G42" i="436"/>
  <c r="G43" i="436" s="1"/>
  <c r="M43" i="436" s="1"/>
  <c r="I33" i="19"/>
  <c r="C32" i="19" s="1"/>
  <c r="G4" i="20"/>
  <c r="J99" i="437"/>
  <c r="F9" i="19"/>
  <c r="C40" i="19"/>
  <c r="D40" i="19" s="1"/>
  <c r="E40" i="19" s="1"/>
  <c r="F40" i="19" s="1"/>
  <c r="G15" i="20"/>
  <c r="G17" i="20" s="1"/>
  <c r="I63" i="19"/>
  <c r="C62" i="19" s="1"/>
  <c r="D62" i="19" s="1"/>
  <c r="E62" i="19" s="1"/>
  <c r="F62" i="19" s="1"/>
  <c r="G62" i="19" s="1"/>
  <c r="G63" i="19" s="1"/>
  <c r="I49" i="19"/>
  <c r="C48" i="19" s="1"/>
  <c r="D48" i="19" s="1"/>
  <c r="E48" i="19" s="1"/>
  <c r="K99" i="437"/>
  <c r="C9" i="19"/>
  <c r="G151" i="20"/>
  <c r="G152" i="20" s="1"/>
  <c r="G94" i="20"/>
  <c r="D9" i="19"/>
  <c r="E9" i="19"/>
  <c r="I56" i="19"/>
  <c r="C55" i="19" s="1"/>
  <c r="D32" i="19" l="1"/>
  <c r="C33" i="19"/>
  <c r="G27" i="20" s="1"/>
  <c r="D11" i="9"/>
  <c r="D17" i="9" s="1"/>
  <c r="D21" i="9" s="1"/>
  <c r="D22" i="9" s="1"/>
  <c r="D24" i="9" s="1"/>
  <c r="D333" i="435" s="1"/>
  <c r="D195" i="435" s="1"/>
  <c r="D199" i="435" s="1"/>
  <c r="C14" i="8"/>
  <c r="C17" i="8"/>
  <c r="C19" i="8" s="1"/>
  <c r="C21" i="8" s="1"/>
  <c r="G12" i="20"/>
  <c r="G13" i="20"/>
  <c r="G14" i="20" s="1"/>
  <c r="G16" i="20" s="1"/>
  <c r="G88" i="20"/>
  <c r="D63" i="19"/>
  <c r="C63" i="19"/>
  <c r="F63" i="19"/>
  <c r="D41" i="19"/>
  <c r="E41" i="19"/>
  <c r="C41" i="19"/>
  <c r="E63" i="19"/>
  <c r="D49" i="19"/>
  <c r="C49" i="19"/>
  <c r="F48" i="19"/>
  <c r="E49" i="19"/>
  <c r="E32" i="19"/>
  <c r="D33" i="19"/>
  <c r="G38" i="20" s="1"/>
  <c r="G40" i="19"/>
  <c r="G41" i="19" s="1"/>
  <c r="F41" i="19"/>
  <c r="D55" i="19"/>
  <c r="C56" i="19"/>
  <c r="C15" i="8"/>
  <c r="D196" i="435" l="1"/>
  <c r="D203" i="435" s="1"/>
  <c r="G97" i="20"/>
  <c r="G98" i="20" s="1"/>
  <c r="G99" i="20"/>
  <c r="G30" i="20"/>
  <c r="G31" i="20"/>
  <c r="G32" i="20" s="1"/>
  <c r="G34" i="20" s="1"/>
  <c r="G105" i="20"/>
  <c r="G109" i="20" s="1"/>
  <c r="G110" i="20" s="1"/>
  <c r="G33" i="20"/>
  <c r="G35" i="20" s="1"/>
  <c r="G114" i="20"/>
  <c r="G42" i="20"/>
  <c r="G43" i="20" s="1"/>
  <c r="G45" i="20" s="1"/>
  <c r="G41" i="20"/>
  <c r="G44" i="20"/>
  <c r="G46" i="20" s="1"/>
  <c r="G108" i="20"/>
  <c r="G111" i="20"/>
  <c r="G96" i="20"/>
  <c r="G48" i="19"/>
  <c r="G49" i="19" s="1"/>
  <c r="F49" i="19"/>
  <c r="D204" i="435"/>
  <c r="I204" i="435" s="1"/>
  <c r="D206" i="435"/>
  <c r="I206" i="435" s="1"/>
  <c r="D205" i="435"/>
  <c r="I205" i="435" s="1"/>
  <c r="E55" i="19"/>
  <c r="D56" i="19"/>
  <c r="F32" i="19"/>
  <c r="E33" i="19"/>
  <c r="G49" i="20" s="1"/>
  <c r="I203" i="435" l="1"/>
  <c r="G53" i="20"/>
  <c r="G54" i="20" s="1"/>
  <c r="G56" i="20" s="1"/>
  <c r="G123" i="20"/>
  <c r="G55" i="20"/>
  <c r="G57" i="20" s="1"/>
  <c r="G52" i="20"/>
  <c r="G117" i="20"/>
  <c r="G118" i="20"/>
  <c r="G119" i="20" s="1"/>
  <c r="G120" i="20"/>
  <c r="I207" i="435"/>
  <c r="D207" i="435"/>
  <c r="D212" i="435" s="1"/>
  <c r="G32" i="19"/>
  <c r="G33" i="19" s="1"/>
  <c r="G71" i="20" s="1"/>
  <c r="F33" i="19"/>
  <c r="G60" i="20" s="1"/>
  <c r="F55" i="19"/>
  <c r="E56" i="19"/>
  <c r="G63" i="20" l="1"/>
  <c r="G66" i="20"/>
  <c r="G68" i="20" s="1"/>
  <c r="G132" i="20"/>
  <c r="G64" i="20"/>
  <c r="G65" i="20" s="1"/>
  <c r="G67" i="20" s="1"/>
  <c r="G81" i="20"/>
  <c r="G126" i="20"/>
  <c r="G129" i="20"/>
  <c r="G127" i="20"/>
  <c r="G128" i="20" s="1"/>
  <c r="G141" i="20"/>
  <c r="G150" i="20" s="1"/>
  <c r="G75" i="20"/>
  <c r="G76" i="20" s="1"/>
  <c r="G78" i="20" s="1"/>
  <c r="G77" i="20"/>
  <c r="G79" i="20" s="1"/>
  <c r="G74" i="20"/>
  <c r="G38" i="436"/>
  <c r="G39" i="436" s="1"/>
  <c r="M39" i="436" s="1"/>
  <c r="M45" i="436" s="1"/>
  <c r="I123" i="436" s="1"/>
  <c r="J123" i="436" s="1"/>
  <c r="M123" i="436" s="1"/>
  <c r="O123" i="436" s="1"/>
  <c r="I212" i="435"/>
  <c r="J49" i="437"/>
  <c r="J50" i="437" s="1"/>
  <c r="L50" i="437" s="1"/>
  <c r="L56" i="437" s="1"/>
  <c r="M95" i="437" s="1"/>
  <c r="N95" i="437" s="1"/>
  <c r="Q95" i="437" s="1"/>
  <c r="S95" i="437" s="1"/>
  <c r="G55" i="19"/>
  <c r="G56" i="19" s="1"/>
  <c r="F56" i="19"/>
  <c r="I118" i="436" l="1"/>
  <c r="J118" i="436" s="1"/>
  <c r="M118" i="436" s="1"/>
  <c r="O118" i="436" s="1"/>
  <c r="I82" i="436"/>
  <c r="J82" i="436" s="1"/>
  <c r="M82" i="436" s="1"/>
  <c r="O82" i="436" s="1"/>
  <c r="M76" i="437"/>
  <c r="N76" i="437" s="1"/>
  <c r="Q76" i="437" s="1"/>
  <c r="I89" i="436"/>
  <c r="J89" i="436" s="1"/>
  <c r="M89" i="436" s="1"/>
  <c r="O89" i="436" s="1"/>
  <c r="I117" i="436"/>
  <c r="J117" i="436" s="1"/>
  <c r="M117" i="436" s="1"/>
  <c r="O117" i="436" s="1"/>
  <c r="I101" i="436"/>
  <c r="J101" i="436" s="1"/>
  <c r="M101" i="436" s="1"/>
  <c r="O101" i="436" s="1"/>
  <c r="I109" i="436"/>
  <c r="J109" i="436" s="1"/>
  <c r="M109" i="436" s="1"/>
  <c r="O109" i="436" s="1"/>
  <c r="I93" i="436"/>
  <c r="J93" i="436" s="1"/>
  <c r="M93" i="436" s="1"/>
  <c r="O93" i="436" s="1"/>
  <c r="M82" i="437"/>
  <c r="N82" i="437" s="1"/>
  <c r="Q82" i="437" s="1"/>
  <c r="S82" i="437" s="1"/>
  <c r="I95" i="436"/>
  <c r="J95" i="436" s="1"/>
  <c r="M95" i="436" s="1"/>
  <c r="O95" i="436" s="1"/>
  <c r="I96" i="436"/>
  <c r="J96" i="436" s="1"/>
  <c r="M96" i="436" s="1"/>
  <c r="O96" i="436" s="1"/>
  <c r="M88" i="437"/>
  <c r="N88" i="437" s="1"/>
  <c r="Q88" i="437" s="1"/>
  <c r="S88" i="437" s="1"/>
  <c r="M84" i="437"/>
  <c r="N84" i="437" s="1"/>
  <c r="Q84" i="437" s="1"/>
  <c r="S84" i="437" s="1"/>
  <c r="M91" i="437"/>
  <c r="N91" i="437" s="1"/>
  <c r="Q91" i="437" s="1"/>
  <c r="S91" i="437" s="1"/>
  <c r="I97" i="436"/>
  <c r="J97" i="436" s="1"/>
  <c r="M97" i="436" s="1"/>
  <c r="O97" i="436" s="1"/>
  <c r="I75" i="436"/>
  <c r="J75" i="436" s="1"/>
  <c r="M75" i="436" s="1"/>
  <c r="M87" i="437"/>
  <c r="N87" i="437" s="1"/>
  <c r="Q87" i="437" s="1"/>
  <c r="S87" i="437" s="1"/>
  <c r="I105" i="436"/>
  <c r="J105" i="436" s="1"/>
  <c r="M105" i="436" s="1"/>
  <c r="O105" i="436" s="1"/>
  <c r="I90" i="436"/>
  <c r="J90" i="436" s="1"/>
  <c r="M90" i="436" s="1"/>
  <c r="O90" i="436" s="1"/>
  <c r="I81" i="436"/>
  <c r="J81" i="436" s="1"/>
  <c r="M81" i="436" s="1"/>
  <c r="O81" i="436" s="1"/>
  <c r="I108" i="436"/>
  <c r="J108" i="436" s="1"/>
  <c r="M108" i="436" s="1"/>
  <c r="O108" i="436" s="1"/>
  <c r="I99" i="436"/>
  <c r="J99" i="436" s="1"/>
  <c r="M99" i="436" s="1"/>
  <c r="O99" i="436" s="1"/>
  <c r="I87" i="436"/>
  <c r="J87" i="436" s="1"/>
  <c r="M87" i="436" s="1"/>
  <c r="O87" i="436" s="1"/>
  <c r="I91" i="436"/>
  <c r="J91" i="436" s="1"/>
  <c r="M91" i="436" s="1"/>
  <c r="O91" i="436" s="1"/>
  <c r="I107" i="436"/>
  <c r="J107" i="436" s="1"/>
  <c r="M107" i="436" s="1"/>
  <c r="O107" i="436" s="1"/>
  <c r="I92" i="436"/>
  <c r="J92" i="436" s="1"/>
  <c r="M92" i="436" s="1"/>
  <c r="O92" i="436" s="1"/>
  <c r="I78" i="436"/>
  <c r="J78" i="436" s="1"/>
  <c r="M78" i="436" s="1"/>
  <c r="O78" i="436" s="1"/>
  <c r="I85" i="436"/>
  <c r="J85" i="436" s="1"/>
  <c r="M85" i="436" s="1"/>
  <c r="O85" i="436" s="1"/>
  <c r="I77" i="436"/>
  <c r="J77" i="436" s="1"/>
  <c r="M77" i="436" s="1"/>
  <c r="O77" i="436" s="1"/>
  <c r="I111" i="436"/>
  <c r="J111" i="436" s="1"/>
  <c r="M111" i="436" s="1"/>
  <c r="O111" i="436" s="1"/>
  <c r="I122" i="436"/>
  <c r="J122" i="436" s="1"/>
  <c r="M122" i="436" s="1"/>
  <c r="O122" i="436" s="1"/>
  <c r="I83" i="436"/>
  <c r="J83" i="436" s="1"/>
  <c r="M83" i="436" s="1"/>
  <c r="O83" i="436" s="1"/>
  <c r="I80" i="436"/>
  <c r="J80" i="436" s="1"/>
  <c r="M80" i="436" s="1"/>
  <c r="O80" i="436" s="1"/>
  <c r="I112" i="436"/>
  <c r="J112" i="436" s="1"/>
  <c r="M112" i="436" s="1"/>
  <c r="O112" i="436" s="1"/>
  <c r="I113" i="436"/>
  <c r="J113" i="436" s="1"/>
  <c r="M113" i="436" s="1"/>
  <c r="O113" i="436" s="1"/>
  <c r="I88" i="436"/>
  <c r="J88" i="436" s="1"/>
  <c r="M88" i="436" s="1"/>
  <c r="O88" i="436" s="1"/>
  <c r="I84" i="436"/>
  <c r="J84" i="436" s="1"/>
  <c r="M84" i="436" s="1"/>
  <c r="O84" i="436" s="1"/>
  <c r="I114" i="436"/>
  <c r="J114" i="436" s="1"/>
  <c r="M114" i="436" s="1"/>
  <c r="O114" i="436" s="1"/>
  <c r="M74" i="437"/>
  <c r="N74" i="437" s="1"/>
  <c r="Q74" i="437" s="1"/>
  <c r="I100" i="436"/>
  <c r="J100" i="436" s="1"/>
  <c r="M100" i="436" s="1"/>
  <c r="O100" i="436" s="1"/>
  <c r="I94" i="436"/>
  <c r="J94" i="436" s="1"/>
  <c r="M94" i="436" s="1"/>
  <c r="O94" i="436" s="1"/>
  <c r="I124" i="436"/>
  <c r="J124" i="436" s="1"/>
  <c r="M124" i="436" s="1"/>
  <c r="O124" i="436" s="1"/>
  <c r="I121" i="436"/>
  <c r="J121" i="436" s="1"/>
  <c r="M121" i="436" s="1"/>
  <c r="O121" i="436" s="1"/>
  <c r="M97" i="437"/>
  <c r="N97" i="437" s="1"/>
  <c r="Q97" i="437" s="1"/>
  <c r="S97" i="437" s="1"/>
  <c r="M89" i="437"/>
  <c r="N89" i="437" s="1"/>
  <c r="Q89" i="437" s="1"/>
  <c r="S89" i="437" s="1"/>
  <c r="I102" i="436"/>
  <c r="J102" i="436" s="1"/>
  <c r="M102" i="436" s="1"/>
  <c r="O102" i="436" s="1"/>
  <c r="I106" i="436"/>
  <c r="J106" i="436" s="1"/>
  <c r="M106" i="436" s="1"/>
  <c r="O106" i="436" s="1"/>
  <c r="I110" i="436"/>
  <c r="J110" i="436" s="1"/>
  <c r="M110" i="436" s="1"/>
  <c r="O110" i="436" s="1"/>
  <c r="I120" i="436"/>
  <c r="J120" i="436" s="1"/>
  <c r="M120" i="436" s="1"/>
  <c r="O120" i="436" s="1"/>
  <c r="I79" i="436"/>
  <c r="J79" i="436" s="1"/>
  <c r="M79" i="436" s="1"/>
  <c r="O79" i="436" s="1"/>
  <c r="I119" i="436"/>
  <c r="J119" i="436" s="1"/>
  <c r="M119" i="436" s="1"/>
  <c r="O119" i="436" s="1"/>
  <c r="M86" i="437"/>
  <c r="N86" i="437" s="1"/>
  <c r="Q86" i="437" s="1"/>
  <c r="S86" i="437" s="1"/>
  <c r="I104" i="436"/>
  <c r="J104" i="436" s="1"/>
  <c r="M104" i="436" s="1"/>
  <c r="O104" i="436" s="1"/>
  <c r="M83" i="437"/>
  <c r="N83" i="437" s="1"/>
  <c r="Q83" i="437" s="1"/>
  <c r="S83" i="437" s="1"/>
  <c r="I98" i="436"/>
  <c r="J98" i="436" s="1"/>
  <c r="M98" i="436" s="1"/>
  <c r="O98" i="436" s="1"/>
  <c r="I76" i="436"/>
  <c r="J76" i="436" s="1"/>
  <c r="M76" i="436" s="1"/>
  <c r="O76" i="436" s="1"/>
  <c r="M93" i="437"/>
  <c r="N93" i="437" s="1"/>
  <c r="Q93" i="437" s="1"/>
  <c r="S93" i="437" s="1"/>
  <c r="I103" i="436"/>
  <c r="J103" i="436" s="1"/>
  <c r="M103" i="436" s="1"/>
  <c r="O103" i="436" s="1"/>
  <c r="I115" i="436"/>
  <c r="J115" i="436" s="1"/>
  <c r="M115" i="436" s="1"/>
  <c r="O115" i="436" s="1"/>
  <c r="M85" i="437"/>
  <c r="N85" i="437" s="1"/>
  <c r="Q85" i="437" s="1"/>
  <c r="S85" i="437" s="1"/>
  <c r="I116" i="436"/>
  <c r="J116" i="436" s="1"/>
  <c r="M116" i="436" s="1"/>
  <c r="O116" i="436" s="1"/>
  <c r="I86" i="436"/>
  <c r="J86" i="436" s="1"/>
  <c r="M86" i="436" s="1"/>
  <c r="O86" i="436" s="1"/>
  <c r="G145" i="20"/>
  <c r="G146" i="20" s="1"/>
  <c r="G147" i="20"/>
  <c r="G144" i="20"/>
  <c r="G135" i="20"/>
  <c r="G138" i="20"/>
  <c r="G136" i="20"/>
  <c r="G137" i="20" s="1"/>
  <c r="M75" i="437"/>
  <c r="N75" i="437" s="1"/>
  <c r="Q75" i="437" s="1"/>
  <c r="M92" i="437"/>
  <c r="N92" i="437" s="1"/>
  <c r="Q92" i="437" s="1"/>
  <c r="S92" i="437" s="1"/>
  <c r="M80" i="437"/>
  <c r="N80" i="437" s="1"/>
  <c r="Q80" i="437" s="1"/>
  <c r="S80" i="437" s="1"/>
  <c r="M78" i="437"/>
  <c r="N78" i="437" s="1"/>
  <c r="Q78" i="437" s="1"/>
  <c r="S78" i="437" s="1"/>
  <c r="M77" i="437"/>
  <c r="N77" i="437" s="1"/>
  <c r="Q77" i="437" s="1"/>
  <c r="M94" i="437"/>
  <c r="N94" i="437" s="1"/>
  <c r="Q94" i="437" s="1"/>
  <c r="S94" i="437" s="1"/>
  <c r="M90" i="437"/>
  <c r="N90" i="437" s="1"/>
  <c r="Q90" i="437" s="1"/>
  <c r="S90" i="437" s="1"/>
  <c r="M96" i="437"/>
  <c r="N96" i="437" s="1"/>
  <c r="Q96" i="437" s="1"/>
  <c r="S96" i="437" s="1"/>
  <c r="M81" i="437"/>
  <c r="N81" i="437" s="1"/>
  <c r="Q81" i="437" s="1"/>
  <c r="S81" i="437" s="1"/>
  <c r="M79" i="437"/>
  <c r="N79" i="437" s="1"/>
  <c r="Q79" i="437" s="1"/>
  <c r="S79" i="437" s="1"/>
  <c r="J127" i="436" l="1"/>
  <c r="N99" i="437"/>
  <c r="M127" i="436"/>
  <c r="M129" i="436" s="1"/>
  <c r="O75" i="436"/>
  <c r="O127" i="436" s="1"/>
  <c r="Q99" i="437"/>
  <c r="Q101" i="437" s="1"/>
  <c r="D220" i="435" l="1"/>
  <c r="D216" i="435"/>
  <c r="D221" i="435" l="1"/>
  <c r="I216" i="435"/>
  <c r="I220" i="435"/>
  <c r="I221" i="435" l="1"/>
  <c r="I11" i="435" s="1"/>
  <c r="I20" i="435" s="1"/>
  <c r="W36" i="484" s="1"/>
  <c r="D32" i="435" l="1"/>
  <c r="D36" i="435" l="1"/>
  <c r="D37" i="435" s="1"/>
  <c r="D38" i="435" s="1"/>
  <c r="I36" i="435"/>
  <c r="I37" i="435"/>
  <c r="I38" i="435" s="1"/>
  <c r="D33" i="435"/>
  <c r="F57" i="27"/>
  <c r="I57" i="27" s="1"/>
  <c r="J57" i="27"/>
  <c r="L57" i="27" l="1"/>
  <c r="O57" i="27" l="1"/>
  <c r="Q57" i="27" l="1"/>
  <c r="J58" i="27" l="1"/>
  <c r="L58" i="27" s="1"/>
  <c r="F58" i="27"/>
  <c r="I58" i="27" s="1"/>
  <c r="O58" i="27" l="1"/>
  <c r="Q58" i="27" l="1"/>
  <c r="J59" i="27" l="1"/>
  <c r="L59" i="27" s="1"/>
  <c r="F59" i="27"/>
  <c r="I59" i="27" s="1"/>
  <c r="O59" i="27" l="1"/>
  <c r="Q59" i="27" l="1"/>
  <c r="J60" i="27" l="1"/>
  <c r="F60" i="27"/>
  <c r="I60" i="27"/>
  <c r="L60" i="27" l="1"/>
  <c r="O60" i="27" l="1"/>
  <c r="Q60" i="27" l="1"/>
  <c r="F61" i="27" l="1"/>
  <c r="J61" i="27"/>
  <c r="L61" i="27" s="1"/>
  <c r="I61" i="27" l="1"/>
  <c r="O61" i="27" l="1"/>
  <c r="Q61" i="27" l="1"/>
  <c r="J62" i="27" l="1"/>
  <c r="F62" i="27"/>
  <c r="I62" i="27"/>
  <c r="L62" i="27" l="1"/>
  <c r="O62" i="27" l="1"/>
  <c r="Q62" i="27" l="1"/>
  <c r="D65" i="27" l="1"/>
  <c r="F63" i="27"/>
  <c r="I63" i="27" s="1"/>
  <c r="J63" i="27"/>
  <c r="L63" i="27" s="1"/>
  <c r="L65" i="27" s="1"/>
  <c r="J65" i="27" l="1"/>
  <c r="O63" i="27"/>
  <c r="I65" i="27"/>
  <c r="F65" i="27"/>
  <c r="Q63" i="27" l="1"/>
  <c r="O65" i="27"/>
  <c r="Q65" i="27" l="1"/>
  <c r="R56" i="27" l="1"/>
  <c r="T56" i="27" s="1"/>
  <c r="R55" i="27"/>
  <c r="R57" i="27"/>
  <c r="T57" i="27" s="1"/>
  <c r="R58" i="27"/>
  <c r="T58" i="27" s="1"/>
  <c r="R59" i="27"/>
  <c r="T59" i="27" s="1"/>
  <c r="R60" i="27"/>
  <c r="T60" i="27" s="1"/>
  <c r="R61" i="27"/>
  <c r="T61" i="27" s="1"/>
  <c r="R62" i="27"/>
  <c r="T62" i="27" s="1"/>
  <c r="R63" i="27"/>
  <c r="T63" i="27" s="1"/>
  <c r="AM63" i="27" s="1"/>
  <c r="T55" i="27"/>
  <c r="R65" i="27" l="1"/>
  <c r="AM59" i="27"/>
  <c r="AM60" i="27"/>
  <c r="AM62" i="27"/>
  <c r="AM61" i="27"/>
  <c r="AM58" i="27"/>
  <c r="AM57" i="27"/>
  <c r="AM56" i="27"/>
  <c r="AM55" i="27"/>
  <c r="T65" i="27"/>
  <c r="U55" i="27" s="1"/>
  <c r="U58" i="27" l="1"/>
  <c r="U61" i="27"/>
  <c r="U63" i="27"/>
  <c r="U56" i="27"/>
  <c r="U57" i="27"/>
  <c r="U62" i="27"/>
  <c r="U60" i="27"/>
  <c r="U59" i="27"/>
  <c r="AM65" i="27"/>
  <c r="E32" i="37" l="1"/>
  <c r="U65" i="27"/>
  <c r="D5" i="37"/>
  <c r="D32" i="37"/>
  <c r="C5" i="37"/>
  <c r="C29" i="37"/>
  <c r="E5" i="37"/>
  <c r="B5" i="37"/>
  <c r="E20" i="37" l="1"/>
  <c r="E15" i="37"/>
  <c r="E18" i="37"/>
  <c r="E16" i="37"/>
  <c r="E9" i="37"/>
  <c r="E19" i="37"/>
  <c r="E7" i="37"/>
  <c r="E27" i="37"/>
  <c r="E22" i="37"/>
  <c r="E14" i="37"/>
  <c r="E11" i="37"/>
  <c r="E25" i="37"/>
  <c r="E23" i="37"/>
  <c r="E12" i="37"/>
  <c r="E13" i="37"/>
  <c r="E24" i="37"/>
  <c r="E21" i="37"/>
  <c r="E10" i="37"/>
  <c r="E17" i="37"/>
  <c r="E26" i="37"/>
  <c r="E8" i="37"/>
  <c r="E29" i="37" l="1"/>
  <c r="AN50" i="27" l="1"/>
  <c r="E35" i="37"/>
  <c r="AN51" i="27" l="1"/>
  <c r="E37" i="37"/>
  <c r="AN55" i="27" l="1"/>
  <c r="AN57" i="27"/>
  <c r="AO57" i="27" s="1"/>
  <c r="R77" i="437" s="1"/>
  <c r="S77" i="437" s="1"/>
  <c r="AN58" i="27"/>
  <c r="AO58" i="27" s="1"/>
  <c r="R76" i="437" s="1"/>
  <c r="S76" i="437" s="1"/>
  <c r="AN61" i="27"/>
  <c r="AO61" i="27" s="1"/>
  <c r="AN59" i="27"/>
  <c r="AN60" i="27"/>
  <c r="AO60" i="27" s="1"/>
  <c r="AN62" i="27"/>
  <c r="AO62" i="27" s="1"/>
  <c r="AN63" i="27"/>
  <c r="AN56" i="27"/>
  <c r="AO56" i="27" s="1"/>
  <c r="R75" i="437" s="1"/>
  <c r="S75" i="437" s="1"/>
  <c r="AO55" i="27"/>
  <c r="R74" i="437" s="1"/>
  <c r="R99" i="437" l="1"/>
  <c r="S74" i="437"/>
  <c r="S99" i="437" s="1"/>
  <c r="AO59" i="27"/>
  <c r="AO63" i="27"/>
  <c r="AN65" i="27" l="1"/>
  <c r="AO65" i="27"/>
</calcChain>
</file>

<file path=xl/sharedStrings.xml><?xml version="1.0" encoding="utf-8"?>
<sst xmlns="http://schemas.openxmlformats.org/spreadsheetml/2006/main" count="2429" uniqueCount="1291">
  <si>
    <t>page 1 of 5</t>
  </si>
  <si>
    <t xml:space="preserve">Formula Rate - Non-Levelized </t>
  </si>
  <si>
    <t>Rate Formula Template</t>
  </si>
  <si>
    <t xml:space="preserve"> </t>
  </si>
  <si>
    <t>Utilizing FERC Form 1 Data</t>
  </si>
  <si>
    <t>American Transmission Company LLC</t>
  </si>
  <si>
    <t>Thirteen Monthly Balances</t>
  </si>
  <si>
    <t>Composite Depreciation Rates</t>
  </si>
  <si>
    <t>Line</t>
  </si>
  <si>
    <t>Allocated</t>
  </si>
  <si>
    <t>No.</t>
  </si>
  <si>
    <t>Amount</t>
  </si>
  <si>
    <r>
      <t xml:space="preserve">GROSS REVENUE REQUIREMENT  (page 3, line </t>
    </r>
    <r>
      <rPr>
        <sz val="12"/>
        <rFont val="Times New Roman"/>
        <family val="1"/>
      </rPr>
      <t>31)</t>
    </r>
  </si>
  <si>
    <t xml:space="preserve">REVENUE CREDITS </t>
  </si>
  <si>
    <t>(Note T)</t>
  </si>
  <si>
    <t>Total</t>
  </si>
  <si>
    <t>Allocator</t>
  </si>
  <si>
    <t xml:space="preserve">  Account No. 454</t>
  </si>
  <si>
    <t>(page 4, line 34)</t>
  </si>
  <si>
    <t>TP</t>
  </si>
  <si>
    <t xml:space="preserve">  Account No. 456.1</t>
  </si>
  <si>
    <t>(page 4, line 37)</t>
  </si>
  <si>
    <t xml:space="preserve">  Revenues from Grandfathered Interzonal Transactions</t>
  </si>
  <si>
    <t xml:space="preserve">  Revenues from service provided by the ISO at a discount</t>
  </si>
  <si>
    <t>TOTAL REVENUE CREDITS  (sum lines 2-5)</t>
  </si>
  <si>
    <t>NET REVENUE REQUIREMENT</t>
  </si>
  <si>
    <t>(line 1 minus line 6)</t>
  </si>
  <si>
    <t xml:space="preserve">DIVISOR </t>
  </si>
  <si>
    <t xml:space="preserve">  Average of 12 coincident system peaks for requirements (RQ) service       </t>
  </si>
  <si>
    <t>(Note A)</t>
  </si>
  <si>
    <t xml:space="preserve">  Plus 12 CP of firm bundled sales over one year not in line 8</t>
  </si>
  <si>
    <t>(Note B)</t>
  </si>
  <si>
    <t xml:space="preserve">  Plus 12 CP of Network Load not in line 8</t>
  </si>
  <si>
    <t>(Note C)</t>
  </si>
  <si>
    <t xml:space="preserve">  Less 12 CP of firm P-T-P over one year (enter negative)</t>
  </si>
  <si>
    <t>(Note D)</t>
  </si>
  <si>
    <t xml:space="preserve">  Plus Contract Demand of firm P-T-P over one year</t>
  </si>
  <si>
    <t xml:space="preserve">  Less Contract Demand from Grandfathered Interzonal Transactions over one year (enter negative)  (Note S)</t>
  </si>
  <si>
    <t xml:space="preserve">  Less Contract Demands from service over one year provided by ISO at a discount (enter negative)</t>
  </si>
  <si>
    <t>Divisor (sum lines 8-14)</t>
  </si>
  <si>
    <t>Annual Cost ($/kW/Yr)</t>
  </si>
  <si>
    <t>(line 7 / line 15)</t>
  </si>
  <si>
    <t xml:space="preserve">Network &amp; P-to-P Rate ($/kW/Mo) </t>
  </si>
  <si>
    <t>(line 16 / 12)</t>
  </si>
  <si>
    <t>Peak Rate</t>
  </si>
  <si>
    <t>Off-Peak Rate</t>
  </si>
  <si>
    <t>Point-To-Point Rate ($/kW/Wk)</t>
  </si>
  <si>
    <t>(line 16 / 52; line 16 / 52)</t>
  </si>
  <si>
    <t>Point-To-Point Rate ($/kW/Day)</t>
  </si>
  <si>
    <t>(line 16 / 260; line 16 / 365)</t>
  </si>
  <si>
    <t>Capped at weekly rate</t>
  </si>
  <si>
    <t>Point-To-Point Rate ($/MWh)</t>
  </si>
  <si>
    <t>(line 16 / 4,160; line 16 / 8,760</t>
  </si>
  <si>
    <t>Capped at weekly</t>
  </si>
  <si>
    <t xml:space="preserve"> times 1,000)</t>
  </si>
  <si>
    <t>and daily rates</t>
  </si>
  <si>
    <t>FERC Annual Charge ($/MWh)</t>
  </si>
  <si>
    <t>(Note E)</t>
  </si>
  <si>
    <t>Short Term</t>
  </si>
  <si>
    <t>Long Term</t>
  </si>
  <si>
    <t>page 2 of 5</t>
  </si>
  <si>
    <t>Thirteen Month Average Rate Base Balances (Note Z)</t>
  </si>
  <si>
    <t>(1)</t>
  </si>
  <si>
    <t>(2)</t>
  </si>
  <si>
    <t>(3)</t>
  </si>
  <si>
    <t>(4)</t>
  </si>
  <si>
    <t>(5)</t>
  </si>
  <si>
    <t>Form No. 1</t>
  </si>
  <si>
    <t>Transmission</t>
  </si>
  <si>
    <t>Page, Line, Col.</t>
  </si>
  <si>
    <t>Company Total</t>
  </si>
  <si>
    <t xml:space="preserve">                  Allocator</t>
  </si>
  <si>
    <t>(Col 3 times Col 4)</t>
  </si>
  <si>
    <r>
      <t>RATE BASE:</t>
    </r>
    <r>
      <rPr>
        <b/>
        <sz val="12"/>
        <color indexed="10"/>
        <rFont val="Times New Roman"/>
        <family val="1"/>
      </rPr>
      <t xml:space="preserve"> </t>
    </r>
  </si>
  <si>
    <t>GROSS PLANT IN SERVICE</t>
  </si>
  <si>
    <t xml:space="preserve">  Production</t>
  </si>
  <si>
    <t>205.46.g</t>
  </si>
  <si>
    <t>NA</t>
  </si>
  <si>
    <t>2a</t>
  </si>
  <si>
    <t xml:space="preserve">  Transmission &amp; Intangible</t>
  </si>
  <si>
    <t>207.58.g &amp; 205.5g</t>
  </si>
  <si>
    <t>2b</t>
  </si>
  <si>
    <t xml:space="preserve">  CWIP</t>
  </si>
  <si>
    <t xml:space="preserve">  Distribution</t>
  </si>
  <si>
    <t>207.75.g</t>
  </si>
  <si>
    <t xml:space="preserve">  General</t>
  </si>
  <si>
    <t>207.99.g</t>
  </si>
  <si>
    <t>W/S</t>
  </si>
  <si>
    <t xml:space="preserve">  Common</t>
  </si>
  <si>
    <t>356.1</t>
  </si>
  <si>
    <t>CE</t>
  </si>
  <si>
    <t>TOTAL GROSS PLANT  (sum lines 1-5)</t>
  </si>
  <si>
    <t>GP=</t>
  </si>
  <si>
    <t>ACCUMULATED DEPRECIATION</t>
  </si>
  <si>
    <t>219.20-24.c</t>
  </si>
  <si>
    <t>8a</t>
  </si>
  <si>
    <t>219.25.c&amp;d &amp; 200.21.c</t>
  </si>
  <si>
    <t>8b</t>
  </si>
  <si>
    <t>219.26.c</t>
  </si>
  <si>
    <t>219.28.c&amp;d</t>
  </si>
  <si>
    <t>TOTAL ACCUM. DEPRECIATION  (sum lines 7-11)</t>
  </si>
  <si>
    <t>NET PLANT IN SERVICE</t>
  </si>
  <si>
    <t>(line 1- line 7)</t>
  </si>
  <si>
    <t>14a</t>
  </si>
  <si>
    <t>14b</t>
  </si>
  <si>
    <t>(line 3 - line 9)</t>
  </si>
  <si>
    <t xml:space="preserve">  General </t>
  </si>
  <si>
    <t>(line 4 - line 10)</t>
  </si>
  <si>
    <t>(line 5 - line 11)</t>
  </si>
  <si>
    <t>TOTAL NET PLANT  (sum lines 13-17)</t>
  </si>
  <si>
    <t>NP=</t>
  </si>
  <si>
    <t>ADJUSTMENTS TO RATE BASE  (Note F)</t>
  </si>
  <si>
    <t xml:space="preserve">  Account No. 281 (enter negative)</t>
  </si>
  <si>
    <t>273.8.k</t>
  </si>
  <si>
    <t>zero</t>
  </si>
  <si>
    <t xml:space="preserve">  Account No. 282 (enter negative)</t>
  </si>
  <si>
    <t>275.2.k</t>
  </si>
  <si>
    <t>NP</t>
  </si>
  <si>
    <t xml:space="preserve">  Account No. 283 (enter negative)</t>
  </si>
  <si>
    <t>277.9.k</t>
  </si>
  <si>
    <t xml:space="preserve">  Account No. 190 </t>
  </si>
  <si>
    <t>234.8.c</t>
  </si>
  <si>
    <t xml:space="preserve">  Account No. 255 (enter negative)</t>
  </si>
  <si>
    <t>267.8.h</t>
  </si>
  <si>
    <t>TOTAL ADJUSTMENTS  (sum lines 19- 23)</t>
  </si>
  <si>
    <t xml:space="preserve">LAND HELD FOR FUTURE USE </t>
  </si>
  <si>
    <t>214.x.d  (Note G)</t>
  </si>
  <si>
    <t>WORKING CAPITAL  (Note H)</t>
  </si>
  <si>
    <t xml:space="preserve">  CWC </t>
  </si>
  <si>
    <t>calculated</t>
  </si>
  <si>
    <t>227.8.c &amp; .16.c</t>
  </si>
  <si>
    <t>TE</t>
  </si>
  <si>
    <t xml:space="preserve">  Prepayments (Account 165)</t>
  </si>
  <si>
    <t>111.57.c</t>
  </si>
  <si>
    <t>GP</t>
  </si>
  <si>
    <t>TOTAL WORKING CAPITAL  (sum lines 26 - 28)</t>
  </si>
  <si>
    <t>RATE BASE  (sum lines 18, 24, 25, &amp; 29)</t>
  </si>
  <si>
    <t>page 3 of 5</t>
  </si>
  <si>
    <t>O&amp;M (Note U, Note CC)</t>
  </si>
  <si>
    <t xml:space="preserve">  Transmission </t>
  </si>
  <si>
    <t>1a</t>
  </si>
  <si>
    <t xml:space="preserve">     Less LSE Expenses Included in Transmission O&amp;M Accounts  (Note W)</t>
  </si>
  <si>
    <t xml:space="preserve">     Less Account 565</t>
  </si>
  <si>
    <t>321.96.b</t>
  </si>
  <si>
    <t xml:space="preserve">  A&amp;G</t>
  </si>
  <si>
    <t>323.197.b</t>
  </si>
  <si>
    <t xml:space="preserve">     Less FERC Annual Fees</t>
  </si>
  <si>
    <t xml:space="preserve">     Less EPRI &amp; Reg. Comm. Exp. &amp; Non-safety  Ad.  (Note I)</t>
  </si>
  <si>
    <t>5a</t>
  </si>
  <si>
    <t xml:space="preserve">     Plus Transmission Related Reg. Comm. Exp.  (Note I)</t>
  </si>
  <si>
    <t xml:space="preserve">  Transmission Lease Payments</t>
  </si>
  <si>
    <t>DEPRECIATION AND AMORTIZATION EXPENSE</t>
  </si>
  <si>
    <t>336.7.b &amp; 336.1.d</t>
  </si>
  <si>
    <t>336.10.b&amp;d</t>
  </si>
  <si>
    <t>336.11.b&amp;d</t>
  </si>
  <si>
    <t>TOTAL DEPRECIATION  (sum lines 9 - 11)</t>
  </si>
  <si>
    <t>TAXES OTHER THAN INCOME TAXES  (Note J)</t>
  </si>
  <si>
    <t xml:space="preserve">  LABOR RELATED</t>
  </si>
  <si>
    <t xml:space="preserve">          Payroll</t>
  </si>
  <si>
    <t>263.i</t>
  </si>
  <si>
    <t xml:space="preserve">          Highway and vehicle</t>
  </si>
  <si>
    <t xml:space="preserve">  PLANT RELATED</t>
  </si>
  <si>
    <t xml:space="preserve">         Property</t>
  </si>
  <si>
    <t xml:space="preserve">         Gross Receipts</t>
  </si>
  <si>
    <t xml:space="preserve">         Other</t>
  </si>
  <si>
    <t xml:space="preserve">         Payments in lieu of taxes</t>
  </si>
  <si>
    <t>TOTAL OTHER TAXES  (sum lines 13 - 19)</t>
  </si>
  <si>
    <t xml:space="preserve">INCOME TAXES          </t>
  </si>
  <si>
    <t>(Note K)</t>
  </si>
  <si>
    <t xml:space="preserve">     T=1 - {[(1 - SIT) * (1 - FIT)] / (1 - SIT * FIT * p)} * (1-TEP)=</t>
  </si>
  <si>
    <t xml:space="preserve">       where WCLTD = (page 4, line 27) and R = (page 4, line 30)</t>
  </si>
  <si>
    <t xml:space="preserve">       and FIT, SIT &amp; p are as given in footnote K.</t>
  </si>
  <si>
    <t xml:space="preserve">      1 / (1 - T)  =  (from line 21)</t>
  </si>
  <si>
    <t>Amortized Investment Tax Credit (266.8f) (enter negative)</t>
  </si>
  <si>
    <t>24a</t>
  </si>
  <si>
    <t>24b</t>
  </si>
  <si>
    <t>Tax Affect of Permanent Differences</t>
  </si>
  <si>
    <t>Income Tax Calculation = line 22 * line 28</t>
  </si>
  <si>
    <t>ITC adjustment (line 23 * line 24)</t>
  </si>
  <si>
    <t>26a</t>
  </si>
  <si>
    <t>26b</t>
  </si>
  <si>
    <t>Permanent Differences Tax Adjustment</t>
  </si>
  <si>
    <t>Total Income Taxes (line 25 plus line 26 plus lines 26a and 26b)</t>
  </si>
  <si>
    <t xml:space="preserve">RETURN </t>
  </si>
  <si>
    <t xml:space="preserve">  [Rate Base (page 2, line 30) * Rate of Return (page 4, line 30)]</t>
  </si>
  <si>
    <t>REV. REQUIREMENT  (sum lines 8, 12, 20, 27, 28)</t>
  </si>
  <si>
    <t>LESS ATTACHMENT GG ADJUSTMENT [Attachment GG, page 2, line 3]   (Note X)</t>
  </si>
  <si>
    <t xml:space="preserve">[Revenue Requirement for facilities included on page 2, line 2, and also  </t>
  </si>
  <si>
    <t>included in Attachment GG]</t>
  </si>
  <si>
    <t>30a</t>
  </si>
  <si>
    <t>LESS ATTACHMENT MM ADJUSTMENT [Attachment MM, page 2, line 3]   (Note AA)</t>
  </si>
  <si>
    <t>included in Attachment MM]</t>
  </si>
  <si>
    <t>REV. REQUIREMENT TO BE COLLECTED UNDER ATTACHMENT O</t>
  </si>
  <si>
    <t>(line 29 - line 30 - line30a)</t>
  </si>
  <si>
    <t>page 4 of 5</t>
  </si>
  <si>
    <t xml:space="preserve">                SUPPORTING CALCULATIONS AND NOTES</t>
  </si>
  <si>
    <t>TRANSMISSION PLANT INCLUDED IN ISO RATES</t>
  </si>
  <si>
    <t>Total Transmission plant  (page 2, line 2a, column 3)</t>
  </si>
  <si>
    <t>Less Transmission plant excluded from ISO rates  (Note M)</t>
  </si>
  <si>
    <t>Less Transmission plant included in OATT Ancillary Services  (Note N )</t>
  </si>
  <si>
    <t>Transmission plant included in ISO rates  (line 1 less lines 2 &amp; 3)</t>
  </si>
  <si>
    <t>Percentage of Transmission plant included in ISO Rates  (line 4 divided by line 1)</t>
  </si>
  <si>
    <t>TP=</t>
  </si>
  <si>
    <t xml:space="preserve">TRANSMISSION EXPENSES </t>
  </si>
  <si>
    <r>
      <t>Total Transmission expenses  (page 3, line 1, column 3)</t>
    </r>
    <r>
      <rPr>
        <sz val="12"/>
        <color indexed="10"/>
        <rFont val="Times New Roman"/>
        <family val="1"/>
      </rPr>
      <t xml:space="preserve"> </t>
    </r>
  </si>
  <si>
    <t>Less revenue received attributable to account 457.1  (Note L)</t>
  </si>
  <si>
    <r>
      <t>Included Transmission expenses  (line 6 less line</t>
    </r>
    <r>
      <rPr>
        <sz val="12"/>
        <color indexed="10"/>
        <rFont val="Times New Roman"/>
        <family val="1"/>
      </rPr>
      <t xml:space="preserve"> </t>
    </r>
    <r>
      <rPr>
        <sz val="12"/>
        <rFont val="Times New Roman"/>
        <family val="1"/>
      </rPr>
      <t>7)</t>
    </r>
  </si>
  <si>
    <t>Percentage of Transmission expenses after adjustment  (line 8 divided by line 6)</t>
  </si>
  <si>
    <t>Percentage of Transmission plant included in ISO Rates  (line 5)</t>
  </si>
  <si>
    <t>Percentage of Transmission expenses included in ISO Rates  (line 9 times line 10)</t>
  </si>
  <si>
    <t>TE=</t>
  </si>
  <si>
    <t>WAGES &amp; SALARY ALLOCATOR  (W&amp;S)</t>
  </si>
  <si>
    <t>Form 1 Reference</t>
  </si>
  <si>
    <t>$</t>
  </si>
  <si>
    <t>Allocation</t>
  </si>
  <si>
    <t>354.20.b</t>
  </si>
  <si>
    <t xml:space="preserve">  Transmission</t>
  </si>
  <si>
    <t>354.21.b</t>
  </si>
  <si>
    <t>354.23.b</t>
  </si>
  <si>
    <t>W&amp;S Allocator</t>
  </si>
  <si>
    <t xml:space="preserve">  Other</t>
  </si>
  <si>
    <t>354.24,25,26.b</t>
  </si>
  <si>
    <t>($ / Allocation)</t>
  </si>
  <si>
    <t xml:space="preserve">  Total  (sum lines 12-15)</t>
  </si>
  <si>
    <t>=</t>
  </si>
  <si>
    <t>WS</t>
  </si>
  <si>
    <t>COMMON PLANT ALLOCATOR  (CE)  (Note O)</t>
  </si>
  <si>
    <t>% Electric</t>
  </si>
  <si>
    <t xml:space="preserve">  Electric</t>
  </si>
  <si>
    <t>200.3.c</t>
  </si>
  <si>
    <t>(line 17 / line 20)</t>
  </si>
  <si>
    <t>(line 16)</t>
  </si>
  <si>
    <t xml:space="preserve">  Gas</t>
  </si>
  <si>
    <t>200.3.d</t>
  </si>
  <si>
    <t>*</t>
  </si>
  <si>
    <t xml:space="preserve">  Water</t>
  </si>
  <si>
    <t>200.3.e</t>
  </si>
  <si>
    <t xml:space="preserve">  Total  (sum lines 17 - 19)</t>
  </si>
  <si>
    <t>RETURN (R)</t>
  </si>
  <si>
    <t>Long Term Interest (117, sum of 62.c through 66.c)</t>
  </si>
  <si>
    <t>n/a</t>
  </si>
  <si>
    <t>Preferred Dividends (118.29c)  (positive number)</t>
  </si>
  <si>
    <t xml:space="preserve">                                          Development of Common Stock:</t>
  </si>
  <si>
    <t>Proprietary Capital (112.16.c)</t>
  </si>
  <si>
    <t xml:space="preserve">Less Preferred Stock (line 28) </t>
  </si>
  <si>
    <t>Less Account 216.1 (112.12.c)  (enter negative)</t>
  </si>
  <si>
    <t>Common Stock</t>
  </si>
  <si>
    <t>(sum lines 23-25)</t>
  </si>
  <si>
    <t>Cost</t>
  </si>
  <si>
    <t>%</t>
  </si>
  <si>
    <t>(Note P)</t>
  </si>
  <si>
    <t>Weighted</t>
  </si>
  <si>
    <t xml:space="preserve">  Long Term Debt  (112, sum of 18.c through 21.c)</t>
  </si>
  <si>
    <t>=WCLTD</t>
  </si>
  <si>
    <t xml:space="preserve">  Preferred Stock  (112.3.c)</t>
  </si>
  <si>
    <t xml:space="preserve">  Common Stock  (line 26)</t>
  </si>
  <si>
    <t>Total  (sum lines 27-29)</t>
  </si>
  <si>
    <t>=R</t>
  </si>
  <si>
    <t>REVENUE CREDITS</t>
  </si>
  <si>
    <t>Load</t>
  </si>
  <si>
    <t>ACCOUNT 447 (SALES FOR RESALE)</t>
  </si>
  <si>
    <t>(310-311)</t>
  </si>
  <si>
    <t>(Note Q)</t>
  </si>
  <si>
    <t xml:space="preserve">  a. Bundled Non-RQ Sales for Resale (311.x.h)</t>
  </si>
  <si>
    <t xml:space="preserve">  b. Bundled Sales for Resale  included in Divisor on page 1</t>
  </si>
  <si>
    <t xml:space="preserve">  Total of (a)-(b)</t>
  </si>
  <si>
    <t>ACCOUNT 454 (RENT FROM ELECTRIC PROPERTY)  (Note R)</t>
  </si>
  <si>
    <t>ACCOUNT 456.1 (OTHER ELECTRIC REVENUES)  (Note V)</t>
  </si>
  <si>
    <t>(330.x.n)</t>
  </si>
  <si>
    <t xml:space="preserve">  a. Transmission charges for all transmission transactions </t>
  </si>
  <si>
    <t xml:space="preserve">  b. Transmission charges for all transmission transactions included in Divisor on Page 1</t>
  </si>
  <si>
    <t>36a</t>
  </si>
  <si>
    <t xml:space="preserve">  c. Transmission charges from Schedules associated with Attachment GG  (Note Y)</t>
  </si>
  <si>
    <t>36b</t>
  </si>
  <si>
    <t xml:space="preserve">  d. Transmission charges from Schedules associated with Attachment MM  (Note BB)</t>
  </si>
  <si>
    <t xml:space="preserve">  Total of (a)-(b)-(c)-(d)</t>
  </si>
  <si>
    <t>page 5 of 5</t>
  </si>
  <si>
    <t>General Note:  References to pages in this formulary rate are indicated as:  (page#, line#, col.#)</t>
  </si>
  <si>
    <t>References to data from FERC Form 1 are indicated as:  #.y.x  (page, line, column)</t>
  </si>
  <si>
    <t>Note</t>
  </si>
  <si>
    <t>Letter</t>
  </si>
  <si>
    <t>A</t>
  </si>
  <si>
    <t>Peak as would be reported on page 401, column d of Form 1 at the time of the applicable pricing zone coincident monthly peaks.</t>
  </si>
  <si>
    <t>B</t>
  </si>
  <si>
    <t>Labeled LF, LU, IF, IU on pages 310-311 of Form 1at the time of the applicable pricing zone coincident monthly peaks.</t>
  </si>
  <si>
    <t>C</t>
  </si>
  <si>
    <t>Labeled LF on page 328 of Form 1 at the time of the applicable pricing zone coincident monthly peaks.</t>
  </si>
  <si>
    <t>D</t>
  </si>
  <si>
    <t>E</t>
  </si>
  <si>
    <t xml:space="preserve">The FERC's annual charges for the year assessed the Transmission Owner for service under this tariff. </t>
  </si>
  <si>
    <t>F</t>
  </si>
  <si>
    <t>The balances in Accounts 190, 281, 282 and 283, as adjusted by any amounts in contra accounts identified as regulatory assets or liabilities related to FASB 106 or 109.  Balance of Account 255 is reduced by prior flow throughs and excluded if the utility chose to utilize amortization of tax credits against taxable income as discussed in Note K.  Account 281 is not allocated.  The maximum deferred tax offset to rate base is calculated in accordance with the proration formula prescribed by IRS regulation section 1.167(l)-1(h)(6).</t>
  </si>
  <si>
    <t>G</t>
  </si>
  <si>
    <t>Identified in Form 1 as being only transmission related.</t>
  </si>
  <si>
    <t>H</t>
  </si>
  <si>
    <t>Cash Working Capital assigned to transmission is one-eighth of O&amp;M allocated to transmission at page 3, line 8, column 5.  Prepayments are the electric related prepayments booked to Account No. 165 and reported on pages 111, line 57 in the Form 1.</t>
  </si>
  <si>
    <t>I</t>
  </si>
  <si>
    <t xml:space="preserve">Line 5 - EPRI Annual Membership Dues listed in Form 1 at 353.f, all Regulatory Commission Expenses itemized at 351.h, and non-safety related advertising included in Account 930.1.  Line 5a - Regulatory Commission Expenses directly related to transmission service, ISO filings, or transmission siting itemized at 351.h. </t>
  </si>
  <si>
    <t>J</t>
  </si>
  <si>
    <t>Includes only FICA, unemployment, highway, property, gross receipts, and other assessments charged in the current year.  Taxes related to income are excluded. Gross receipts taxes are not included in transmission revenue requirement in the Rate Formula Template, since they are recovered elsewhere.</t>
  </si>
  <si>
    <t>K</t>
  </si>
  <si>
    <t xml:space="preserve">         Inputs Required:</t>
  </si>
  <si>
    <t>FIT =</t>
  </si>
  <si>
    <t>SIT=</t>
  </si>
  <si>
    <t>(State Income Tax Rate or Composite SIT)</t>
  </si>
  <si>
    <t>p =</t>
  </si>
  <si>
    <t>(percent of federal income tax deductible for state purposes)</t>
  </si>
  <si>
    <t>TEP =</t>
  </si>
  <si>
    <t>(percent of the tax exempt ownership)</t>
  </si>
  <si>
    <t>L</t>
  </si>
  <si>
    <t>M</t>
  </si>
  <si>
    <t>Removes transmission plant determined by Commission order to be state-jurisdictional according to the seven-factor test (until Form 1 balances are adjusted to reflect application of seven-factor test).</t>
  </si>
  <si>
    <t>N</t>
  </si>
  <si>
    <t xml:space="preserve">Removes dollar amount of transmission plant to be included in the development of OATT ancillary services rates and generation step-up facilities, which are deemed included in OATT ancillary services.  For these purposes, generation step-up facilities are those facilities at a generator substation on which there is no through-flow when the generator is shut down.  </t>
  </si>
  <si>
    <t>O</t>
  </si>
  <si>
    <t>Enter dollar amounts</t>
  </si>
  <si>
    <t>P</t>
  </si>
  <si>
    <t>Q</t>
  </si>
  <si>
    <t>Line 33 must equal zero since all short-term power sales must be unbundled and the transmission component reflected in Account No. 456 and all other uses are to be included in the divisor.</t>
  </si>
  <si>
    <t>R</t>
  </si>
  <si>
    <t>Includes income related only to transmission facilities, such as pole attachments, rentals and special use.</t>
  </si>
  <si>
    <t>S</t>
  </si>
  <si>
    <t>Grandfathered agreements whose rates have been changed to eliminate or mitigate pancaking - the revenues are included in line 4, page 1 and the loads are included in line 13, page 1.  Grandfathered agreements whose rates have not been changed to eliminate or mitigate pancaking - the revenues are not included in line 4, page 1 nor are the loads included in line 13, page 1.</t>
  </si>
  <si>
    <t>T</t>
  </si>
  <si>
    <r>
      <t>The revenues credited on page 1 lines 2-5 shall include only the amounts received directly (in the case of grandfathered agreements) or from the ISO (for service under this tariff) reflecting the Transmission Owner's integrated transmission facilities.  They do not include revenues associated with FERC annual charges, gross receipts taxes,</t>
    </r>
    <r>
      <rPr>
        <strike/>
        <sz val="12"/>
        <rFont val="Times New Roman"/>
        <family val="1"/>
      </rPr>
      <t xml:space="preserve"> </t>
    </r>
    <r>
      <rPr>
        <sz val="12"/>
        <rFont val="Times New Roman"/>
        <family val="1"/>
      </rPr>
      <t>facilities not included in this template (e.g., direct assignment facilities and GSUs) which are not recovered under this Rate Formula Template.</t>
    </r>
  </si>
  <si>
    <t>U</t>
  </si>
  <si>
    <t>Preliminary Survey and Investigation charges related to transmission construction projects started on or after January 1, 2004 are included in account 566 and not in account 183.</t>
  </si>
  <si>
    <t>V</t>
  </si>
  <si>
    <t>Account 456.1 entry shall be the annual total of the quarterly values reported at Form 1, page 300.22.b.</t>
  </si>
  <si>
    <t>W</t>
  </si>
  <si>
    <t>Account Nos. 561.4 and 561.8 consist of RTO expenses billed to load-serving entities and are not included in Transmission Owner revenue requirements.</t>
  </si>
  <si>
    <t>X</t>
  </si>
  <si>
    <t>Y</t>
  </si>
  <si>
    <t>Z</t>
  </si>
  <si>
    <t>AA</t>
  </si>
  <si>
    <t>BB</t>
  </si>
  <si>
    <t>CC</t>
  </si>
  <si>
    <t>Schedule 10-FERC charges should not be included in O&amp;M recovered under this Attachment O.</t>
  </si>
  <si>
    <t>Gross Plant Balances</t>
  </si>
  <si>
    <t>Transmission, General &amp; Intangible (includes Held for Future Use)</t>
  </si>
  <si>
    <t>Transmission &amp; Intangible</t>
  </si>
  <si>
    <t>CWIP</t>
  </si>
  <si>
    <t>General</t>
  </si>
  <si>
    <t>Held for Future Use</t>
  </si>
  <si>
    <t>Deferred Tax Balance for Averaging</t>
  </si>
  <si>
    <t>Year</t>
  </si>
  <si>
    <t>Materials &amp; Supplies</t>
  </si>
  <si>
    <t>Prepayments</t>
  </si>
  <si>
    <t>Month</t>
  </si>
  <si>
    <t>American Transmission Company</t>
  </si>
  <si>
    <t>Projected Monthly Plant and Accumulated Depreciation Balances</t>
  </si>
  <si>
    <t>Line Number</t>
  </si>
  <si>
    <t>Avg</t>
  </si>
  <si>
    <t>Accumulated Depreciation</t>
  </si>
  <si>
    <t>Net Plant Balances</t>
  </si>
  <si>
    <t>Projected Monthly Deferred Tax Balances</t>
  </si>
  <si>
    <t>Balance at End of Month</t>
  </si>
  <si>
    <t>Change</t>
  </si>
  <si>
    <t>Days to Prorate</t>
  </si>
  <si>
    <t>Days in Calendar Year</t>
  </si>
  <si>
    <t>Prorated Change</t>
  </si>
  <si>
    <t>True-up</t>
  </si>
  <si>
    <t>A&amp;G</t>
  </si>
  <si>
    <t>EPRI &amp; Reg. Comm. Exp. &amp; Non-safety  Ad.</t>
  </si>
  <si>
    <t>Transmission Related Reg. Comm. Exp.</t>
  </si>
  <si>
    <t>Payroll</t>
  </si>
  <si>
    <t>Property</t>
  </si>
  <si>
    <t>Other</t>
  </si>
  <si>
    <t>Excess Deferred Income Taxes</t>
  </si>
  <si>
    <t>Amortization Schedule</t>
  </si>
  <si>
    <t>Amortized Investment Tax Credit (266.8f)</t>
  </si>
  <si>
    <t xml:space="preserve">Schedule 9 </t>
  </si>
  <si>
    <t>Schedule 26</t>
  </si>
  <si>
    <t>Schedule 26-A</t>
  </si>
  <si>
    <t>Schedule 7&amp;8</t>
  </si>
  <si>
    <t>Account 454</t>
  </si>
  <si>
    <t>Total Revenue Requirement</t>
  </si>
  <si>
    <t>Account 457.1</t>
  </si>
  <si>
    <t>Proof of SIT Calculation</t>
  </si>
  <si>
    <t>Return ( Lines 28, page 3)</t>
  </si>
  <si>
    <t>Total Income taxes (line 27, page 3)</t>
  </si>
  <si>
    <t xml:space="preserve">   Less:  Michigan Business Tax paid by LLC</t>
  </si>
  <si>
    <t>Return + Total Members income taxes</t>
  </si>
  <si>
    <t>Debt component of return (page 4, line 27)</t>
  </si>
  <si>
    <t>Total return (page 4, line 30)</t>
  </si>
  <si>
    <t xml:space="preserve">  Less:  Interest Expense Calculated by Attachment O</t>
  </si>
  <si>
    <t>Equity Return</t>
  </si>
  <si>
    <t>Taxable Portion of Equity Return (Taxable Members)</t>
  </si>
  <si>
    <t xml:space="preserve">  Blended State Tax Rate</t>
  </si>
  <si>
    <t>State Taxes</t>
  </si>
  <si>
    <t>SIT</t>
  </si>
  <si>
    <t>Taxable Ownership Percentage</t>
  </si>
  <si>
    <t>State Rate:</t>
  </si>
  <si>
    <t>Apportioned Rate</t>
  </si>
  <si>
    <t>Wisconsin</t>
  </si>
  <si>
    <t>Minnesota</t>
  </si>
  <si>
    <t>Illinois</t>
  </si>
  <si>
    <t>District of Columbia</t>
  </si>
  <si>
    <t>Michigan</t>
  </si>
  <si>
    <t>North Carolina</t>
  </si>
  <si>
    <t>Notes:</t>
  </si>
  <si>
    <t>Apportionment formulas for states are not uniform, resulting in an aggregate apportionment that may not equal 100%</t>
  </si>
  <si>
    <t>Proof of Tax Exempt Ownership % for Attachment O</t>
  </si>
  <si>
    <t>Return on rate base (page 3, line 28)</t>
  </si>
  <si>
    <t>Equity component of return (page 4, line 29)</t>
  </si>
  <si>
    <t>Equity / total return</t>
  </si>
  <si>
    <t>Equity component of return on rate base</t>
  </si>
  <si>
    <t>Total income taxes (page3, line 27)</t>
  </si>
  <si>
    <t>Earnings before tax from Attachment O</t>
  </si>
  <si>
    <t>Attach GG (pg. 1, line 3a, col. 3)</t>
  </si>
  <si>
    <t>Attach MM (pg. 1, line 3a1, col. 3)</t>
  </si>
  <si>
    <t>Preliminary Survey and Investigation</t>
  </si>
  <si>
    <t>pg. 4 line 36</t>
  </si>
  <si>
    <t>pg. 4 line 36a</t>
  </si>
  <si>
    <t>pg. 4 line 36b</t>
  </si>
  <si>
    <t>pg. 4 line 37</t>
  </si>
  <si>
    <t>pg. 4 line 35</t>
  </si>
  <si>
    <t>pg. 4 line 34</t>
  </si>
  <si>
    <t>pg. 4 line 7</t>
  </si>
  <si>
    <t>pg. 3 line 30</t>
  </si>
  <si>
    <t>pg. 3 line 30a</t>
  </si>
  <si>
    <t>pg. 3 line 29</t>
  </si>
  <si>
    <t>pg. 1 line 7</t>
  </si>
  <si>
    <t>pg. 1 line 3</t>
  </si>
  <si>
    <t>pg. 1 line 2</t>
  </si>
  <si>
    <t>TE%</t>
  </si>
  <si>
    <t xml:space="preserve">  Materials &amp; Supplies
(after TE%)</t>
  </si>
  <si>
    <t>D - Effective rates for LT debt are calculated by General Accounting for each issuance using the debt issue costs &amp; coupon rate Effective rates for ST debt are calculated by Asset Accounting using the average rate of ST debt outstanding during the month (shown on AFUDC Rate Calc)</t>
  </si>
  <si>
    <t>C - Calculation of the percentage of the weighted debt total</t>
  </si>
  <si>
    <t>B - the number of months the debt it outstanding during the year</t>
  </si>
  <si>
    <t>A - Amount of note shown for Long-term Debt, Weighted average monthly Short-term Debt is calculated using the individual debt issuances and the days outstanding during the month (shown on AFUDC Rate Calc)</t>
  </si>
  <si>
    <t>C*D</t>
  </si>
  <si>
    <t>A*B</t>
  </si>
  <si>
    <t>Weighted Rate</t>
  </si>
  <si>
    <t>Percentage of Total</t>
  </si>
  <si>
    <t>Weighted Debt Amount</t>
  </si>
  <si>
    <t>Debt Amount</t>
  </si>
  <si>
    <t>Description</t>
  </si>
  <si>
    <t>Weighted Avg. Debt Rate</t>
  </si>
  <si>
    <t>ATC LLC</t>
  </si>
  <si>
    <t>Total Income Taxes</t>
  </si>
  <si>
    <t>Transmission O&amp;M</t>
  </si>
  <si>
    <t>Preliminary Survey and Investigation expense (pre-certification costs) equals the actual value booked, or projected to be booked for forward-looking rate periods, for each of the MISO approved RECB Projects and included in Attachment O – ATCLLC, Page 3, Line 1, Column 5.</t>
  </si>
  <si>
    <t>Preliminary Survey and Investigation expense (pre-certification costs) equals the actual value booked, or projected to be booked for forward-looking rate periods, for all of the MISO approved projects and included in Attachment O – ATCLLC, Page 3, Line 1, Column 5.</t>
  </si>
  <si>
    <t>The Network Upgrade Charge is the value to be used in schedules associated with Attachment GG - ATCLLC.</t>
  </si>
  <si>
    <t>True-Up Adjustment is included pursuant to a FERC approved methodology, if applicable.</t>
  </si>
  <si>
    <t>Project Depreciation Expense is the actual value booked for the project and included in the Depreciation Expense in Attachment O - ATCLLC page 3 line 12.</t>
  </si>
  <si>
    <t>Project Net Plant is the Project Gross Plant Identified in Column 3 less the associated Accumulated Depreciation.</t>
  </si>
  <si>
    <t>Rev. Req. Adj For Attachment O - ATCLLC</t>
  </si>
  <si>
    <t>Annual Totals</t>
  </si>
  <si>
    <t>2</t>
  </si>
  <si>
    <t>1p</t>
  </si>
  <si>
    <t>1o</t>
  </si>
  <si>
    <t>1n</t>
  </si>
  <si>
    <t>1m</t>
  </si>
  <si>
    <t>1l</t>
  </si>
  <si>
    <t>1k</t>
  </si>
  <si>
    <t>1j</t>
  </si>
  <si>
    <t>1i</t>
  </si>
  <si>
    <t>2452 / 3160</t>
  </si>
  <si>
    <t>1h</t>
  </si>
  <si>
    <t>1g</t>
  </si>
  <si>
    <t>1d</t>
  </si>
  <si>
    <t>1c</t>
  </si>
  <si>
    <t>1b</t>
  </si>
  <si>
    <t>(Sum Col. 10 &amp; 11)
(Note G)</t>
  </si>
  <si>
    <t>(Note F)</t>
  </si>
  <si>
    <t>(Sum Col. 5, 8, 9  &amp; 9a)</t>
  </si>
  <si>
    <t>(Note J)</t>
  </si>
  <si>
    <t>(Col. 6 * Col. 7)</t>
  </si>
  <si>
    <t>(Page 1 line 14)</t>
  </si>
  <si>
    <t>(Col. 3 * Col. 4)</t>
  </si>
  <si>
    <t>(Page 1 line 9)</t>
  </si>
  <si>
    <t>Network Upgrade Charge</t>
  </si>
  <si>
    <t>True-Up Adjustment</t>
  </si>
  <si>
    <t>Annual Revenue Requirement</t>
  </si>
  <si>
    <t>Preliminary Survey and Investigation Expense</t>
  </si>
  <si>
    <t>Project Depreciation Expense</t>
  </si>
  <si>
    <t>Annual Return Charge</t>
  </si>
  <si>
    <t>Annual Allocation Factor for Return</t>
  </si>
  <si>
    <t xml:space="preserve">Project Net Plant </t>
  </si>
  <si>
    <t>Annual Expense Charge</t>
  </si>
  <si>
    <t>Annual Allocation Factor for Expense</t>
  </si>
  <si>
    <t xml:space="preserve">Project Gross Plant </t>
  </si>
  <si>
    <t>MTEP Project Number</t>
  </si>
  <si>
    <t>Project Name</t>
  </si>
  <si>
    <t>Line No.</t>
  </si>
  <si>
    <t>(9a)</t>
  </si>
  <si>
    <t xml:space="preserve">                           Network Upgrade Charge Calculation By Project</t>
  </si>
  <si>
    <t>Page 2 of 2</t>
  </si>
  <si>
    <t xml:space="preserve"> Utilizing Attachment O - ATCLLC Data</t>
  </si>
  <si>
    <t>Attachment GG - ATCLLC</t>
  </si>
  <si>
    <t>Sum of line 11 and 13</t>
  </si>
  <si>
    <t>14</t>
  </si>
  <si>
    <t>(line 12 divided by line 2 col 3)</t>
  </si>
  <si>
    <t>Annual Allocation Factor for Return on Rate Base</t>
  </si>
  <si>
    <t>13</t>
  </si>
  <si>
    <t>Attach O - ATCLLC, p 3, line 28 col 5</t>
  </si>
  <si>
    <t>Return on Rate Base</t>
  </si>
  <si>
    <t>12</t>
  </si>
  <si>
    <t>(line 10 divided by line 2 col 3)</t>
  </si>
  <si>
    <t>Annual Allocation Factor for Income Taxes</t>
  </si>
  <si>
    <t>11</t>
  </si>
  <si>
    <t>Attach O - ATCLLC, p 3, line 27 col 5</t>
  </si>
  <si>
    <t>10</t>
  </si>
  <si>
    <t>INCOME TAXES</t>
  </si>
  <si>
    <t>Sum of line 4, 6, and 8</t>
  </si>
  <si>
    <t>9</t>
  </si>
  <si>
    <t>(line 7 divided by line 1 col 3)</t>
  </si>
  <si>
    <t>Annual Allocation Factor for Other Taxes</t>
  </si>
  <si>
    <t>8</t>
  </si>
  <si>
    <t>Attach O - ATCLLC, p 3, line 20 col 5</t>
  </si>
  <si>
    <t>Total Other Taxes</t>
  </si>
  <si>
    <t>7</t>
  </si>
  <si>
    <t>TAXES OTHER THAN INCOME TAXES</t>
  </si>
  <si>
    <t>(line 5 divided by line 1 col 3)</t>
  </si>
  <si>
    <t>Annual Allocation Factor for G&amp;C Depreciation Expense</t>
  </si>
  <si>
    <t>6</t>
  </si>
  <si>
    <t>Total G&amp;C Depreciation Expense</t>
  </si>
  <si>
    <t>5</t>
  </si>
  <si>
    <t>(line 3b divided by line 1 col 3)</t>
  </si>
  <si>
    <t>Annual Allocation Factor for O&amp;M</t>
  </si>
  <si>
    <t>(line 3 minus line 3a col 3)</t>
  </si>
  <si>
    <t>Adjusted O&amp;M Allocated to Transmission</t>
  </si>
  <si>
    <t>3b</t>
  </si>
  <si>
    <t>Included in Attach O - ATCLLC, P 3, line 1 col 5</t>
  </si>
  <si>
    <t>Less: Preliminary Survey and Investigation Adjustment  (Note I)</t>
  </si>
  <si>
    <t>3a</t>
  </si>
  <si>
    <t>Attach O - ATCLLC, p 3, line 8 col 5</t>
  </si>
  <si>
    <t>Total O&amp;M Allocated to Transmission</t>
  </si>
  <si>
    <t>O&amp;M EXPENSE</t>
  </si>
  <si>
    <t>Net Transmission Plant - Total</t>
  </si>
  <si>
    <t>Gross Transmission Plant - Total</t>
  </si>
  <si>
    <t>Attachment O - ATCLLC</t>
  </si>
  <si>
    <t>To be completed in conjunction with Attachment O - ATCLLC.</t>
  </si>
  <si>
    <t>Page 1 of 2</t>
  </si>
  <si>
    <t xml:space="preserve">     Rate Formula Template</t>
  </si>
  <si>
    <t>Formula Rate calculation</t>
  </si>
  <si>
    <t>Precertification Expense Total</t>
  </si>
  <si>
    <t>Column (9a)</t>
  </si>
  <si>
    <t>Precertification Expense</t>
  </si>
  <si>
    <t>Project O&amp;M Incentive</t>
  </si>
  <si>
    <t>Depreciation Expense Total</t>
  </si>
  <si>
    <t>Project Amortization Expense</t>
  </si>
  <si>
    <t>Column (9)</t>
  </si>
  <si>
    <t>Depreciation Expense</t>
  </si>
  <si>
    <t>13 Month Average</t>
  </si>
  <si>
    <t>Column (6)</t>
  </si>
  <si>
    <t>Net Plant</t>
  </si>
  <si>
    <t>Depreciation</t>
  </si>
  <si>
    <t>Accumulated</t>
  </si>
  <si>
    <t>Column (3)</t>
  </si>
  <si>
    <t>Gross Plant</t>
  </si>
  <si>
    <t>Reliability</t>
  </si>
  <si>
    <t>Allocation Type Per Attachment FF</t>
  </si>
  <si>
    <t>ATC</t>
  </si>
  <si>
    <t>Pricing Zone</t>
  </si>
  <si>
    <t>MTEP Project ID</t>
  </si>
  <si>
    <t>Reporting Company</t>
  </si>
  <si>
    <t xml:space="preserve">Rate Year </t>
  </si>
  <si>
    <t>Attachment GG - Supporting Data for Network Upgrade Charge Calculation - Forward Looking Rate Transmission Owner</t>
  </si>
  <si>
    <t>New Green Bay area sub to Morgan 345 kV line and new 138 kV line from Holmes to 18th road</t>
  </si>
  <si>
    <t>Tap the Plains-Dead River 345 kV line into the Arnold 138 kV substation and add a 345/138 kV transformer</t>
  </si>
  <si>
    <t>Install AC-DC-AC Back to Back Voltage Source Converter (VSC) power flow controller at the Straits 138-kV substation</t>
  </si>
  <si>
    <t>1) Construct a new Barnhart 345 &amp; 138 kV substation
2) Install a new 345/138 kV transformer at Barnhart
3) Loop Edgewater-South Fond du Lac, Edgewater-Cedarsauk, Sheboygan Energy Center-Granville 
    345 kV lines into Barnhart
4) Loop the South Sheboygan Falls-Mullet River 138 kV line into Barnhart 138 kV
5) Construct a new 138 kV line from Barnhart to Plymouth #4
6) Construct a new 138 kV line from Plymouth #4 to Howards Grove
7) Construct a new 138 kV line from Howards Grove to Erdman
8) Convert the existing Forest Junction-Howards Grove-Plymouth #4 138 kV line and the 
    northern portion of the existing Plymouth #4-Holland 138 kV line to 345 kV
9) Terminate the not-converted Holland 138 kV line at Barnhart 138 kV
10) Terminate the southern end of the converted 345 kV line at Barnhart  
11) Construct a new Branch River 345 kV substation
12) Loop the converted 345 kV line into Branch River 345 kV substation
13) Loop the Point Beach-Forest Juction, Point Beach-Sheboygan Energy Center 345 kV lines into Branch River
14) Uprate Barnhart-Cedarsauk 345 kV line to 960 MVA for SN/SE</t>
  </si>
  <si>
    <t>5955, 5970-73</t>
  </si>
  <si>
    <t>Reconfigure Kewaunee 345/138 kV switchyard and install a 2nd Kewaunee 345-138 kV transformer of 500 MVA.</t>
  </si>
  <si>
    <t>G883/4 Increase ground clearance of the Point Beach-Sheboygan EC 345-kV to 167 deg F</t>
  </si>
  <si>
    <t>G833/4-J022/3 Uprate Cypress-Arcadian 345 kV line to 584 MVA SE = 125 deg F clearance</t>
  </si>
  <si>
    <t>G706 Glacier Hills Wind Farm; taps Friesland-Hamilton 138 kV line</t>
  </si>
  <si>
    <t>4393, 5550-53</t>
  </si>
  <si>
    <t>98 MW wind farm at Cedar Ridge 138kV sub</t>
  </si>
  <si>
    <t>2708, 2712</t>
  </si>
  <si>
    <t>Construct a new 345/138 kV substation at Cardinal (next to the existing West Middleton sub), install a 345/138 kV 500 MVA transformer at Cardinal, construct 47.9 miles overhead 345 kV line from Albion to Cardinal/West Middleton, modifications to the existing West Middleton substation, construct a new Albion 345 kV switching station.  Facility costs listed in the facility table are for the southern route.</t>
  </si>
  <si>
    <t>486, 488, 897, 3383, 3384</t>
  </si>
  <si>
    <t>Construct Cranberry-Lakota Rd 115 kV line, 	Rebuild/convert Conover-Plains 69 kV line to 138 kV, 	Construct 138 kV bus and install 138/115 kV 150 MVA and 138/69 kV 60 MVA transformers at Conover, 	Construct 138 kV bus and install 60 MVA transformer at Aspen, 	Relocate Iron River substation (Iron Grove), 	Construct 138 kV bus and install a 138/69 kV, 60 MVA transformer at Iron Grove</t>
  </si>
  <si>
    <t>St Lawrence - Pleasant Valley - Saukville 138 kV line reconductor</t>
  </si>
  <si>
    <t>467, 468</t>
  </si>
  <si>
    <t>Morgan - Werner West 345 kV line, Clintonville - Werner West 138 kV line primarily on 345 kV line structures, and terminate the existing Werner - White Lake 138 kV line at the Werner West switching station</t>
  </si>
  <si>
    <t>480, 608, 2458, 2459, 2994</t>
  </si>
  <si>
    <t>Description of Facilities Included in Network Upgrade Charge as of Record Date</t>
  </si>
  <si>
    <t>Facility #(s)</t>
  </si>
  <si>
    <t>Project Record Date</t>
  </si>
  <si>
    <t>Attachment GG - Description of Facilities Included in Network Upgrade Charge</t>
  </si>
  <si>
    <t>The MVP Annual Revenue Requirement is the value to be used in Schedule 26-A.</t>
  </si>
  <si>
    <t>True-Up Adjustment is included pursuant to Attachment MM - ATCLLC Annual True-up Procedure.</t>
  </si>
  <si>
    <t>Note deliberately left blank.</t>
  </si>
  <si>
    <t>MVP Total Annual Revenue Requirements</t>
  </si>
  <si>
    <t/>
  </si>
  <si>
    <t>Pleasant Prairie - Zion Energy Center 345 kV Line</t>
  </si>
  <si>
    <t>Multi-Value Projects (MVP)</t>
  </si>
  <si>
    <t>Sum Col. 14 &amp; 15
(Note G)</t>
  </si>
  <si>
    <t>(Sum Col. 9, 12, 13 &amp; 13a)</t>
  </si>
  <si>
    <t>(Col 10 * Col 11)</t>
  </si>
  <si>
    <t>(Col 3 - Col 4)</t>
  </si>
  <si>
    <t>(Col 6 + Col 8)</t>
  </si>
  <si>
    <t>(Col 3 * Col 7)</t>
  </si>
  <si>
    <t>Page 1 line 9</t>
  </si>
  <si>
    <t>(Col 4 * Col 5)</t>
  </si>
  <si>
    <t>Page 1 line 4</t>
  </si>
  <si>
    <t>MVP Annual Adjusted Revenue Requirement</t>
  </si>
  <si>
    <t>Annual Allocation for Other Expense</t>
  </si>
  <si>
    <t>Other Expense Annual Allocation Factor</t>
  </si>
  <si>
    <t>Annual Allocation for Transmission O&amp;M Expense</t>
  </si>
  <si>
    <t>Transmission O&amp;M Annual Allocation Factor</t>
  </si>
  <si>
    <t>Project Accumulated Depreciation</t>
  </si>
  <si>
    <t>Project Gross Plant</t>
  </si>
  <si>
    <t>(16)</t>
  </si>
  <si>
    <t>(15)</t>
  </si>
  <si>
    <t>(14)</t>
  </si>
  <si>
    <t>(13a)</t>
  </si>
  <si>
    <t>(13)</t>
  </si>
  <si>
    <t>(12)</t>
  </si>
  <si>
    <t>(11)</t>
  </si>
  <si>
    <t>(10)</t>
  </si>
  <si>
    <t>(9)</t>
  </si>
  <si>
    <t>(8)</t>
  </si>
  <si>
    <t>(7)</t>
  </si>
  <si>
    <t>(6)</t>
  </si>
  <si>
    <t>Multi-Value Project (MVP) Revenue Requirement Calculation</t>
  </si>
  <si>
    <t>Sum of line 4b, 6, and 8</t>
  </si>
  <si>
    <t>Annual Allocation Factor for Other Expense</t>
  </si>
  <si>
    <t>Line 4a divided by Line 1, col 3</t>
  </si>
  <si>
    <t>Annual Allocation Factor for Other O&amp;M</t>
  </si>
  <si>
    <t>4b</t>
  </si>
  <si>
    <t>Other O&amp;M Allocated to Transmission</t>
  </si>
  <si>
    <t>4a</t>
  </si>
  <si>
    <t>OTHER O&amp;M EXPENSE</t>
  </si>
  <si>
    <t>(Line 3d divided by line 1a, col 3)</t>
  </si>
  <si>
    <t>Annual Allocation Factor for Transmission O&amp;M</t>
  </si>
  <si>
    <t>Line 3a minus Lines 3a1, 3b and 3c</t>
  </si>
  <si>
    <t>Adjusted Transmission O&amp;M</t>
  </si>
  <si>
    <t>3d</t>
  </si>
  <si>
    <t>Attach O - ATCLLC, p 3, line 2 col 5</t>
  </si>
  <si>
    <t>Less: Account 565 included in above, if any</t>
  </si>
  <si>
    <t>3c</t>
  </si>
  <si>
    <t>Attach O - ATCLLC, p 3, line 1a col 5</t>
  </si>
  <si>
    <t>Less: LSE Expenses included in above, if any</t>
  </si>
  <si>
    <t>3a1</t>
  </si>
  <si>
    <t>O&amp;M TRANSMISSION EXPENSE</t>
  </si>
  <si>
    <t>Line 1 minus Line 1a (Note B)</t>
  </si>
  <si>
    <t>Transmission Accumulated Depreciation</t>
  </si>
  <si>
    <t>(inputs from Attachment O - ATCLLC are rounded to whole dollars)</t>
  </si>
  <si>
    <t>Column (14)</t>
  </si>
  <si>
    <t>Column (13)</t>
  </si>
  <si>
    <t>Column (10)</t>
  </si>
  <si>
    <t>MVP</t>
  </si>
  <si>
    <t>Attachment MM - Supporting Data for Network Upgrade Charge Calculation - Forward Looking Rate Transmission Owner</t>
  </si>
  <si>
    <t>LaCrosse-Madison 345 kV - Dubuque Co - Cardinal 345 kV project</t>
  </si>
  <si>
    <t>Attachment MM - Description of Facilities Included in Network Upgrade Charge</t>
  </si>
  <si>
    <t>ATC rate</t>
  </si>
  <si>
    <t>Zonal Revenue</t>
  </si>
  <si>
    <t>ATC load</t>
  </si>
  <si>
    <t>ATC ATRR</t>
  </si>
  <si>
    <t>Coincident load</t>
  </si>
  <si>
    <t>Rate Calculation</t>
  </si>
  <si>
    <t>MISO ATRR</t>
  </si>
  <si>
    <t>UPPCO</t>
  </si>
  <si>
    <t>WEC/ESE</t>
  </si>
  <si>
    <t>WPS</t>
  </si>
  <si>
    <t>WPL/SB</t>
  </si>
  <si>
    <t>MGE</t>
  </si>
  <si>
    <t xml:space="preserve">Date modified: </t>
  </si>
  <si>
    <t>Schedule 9</t>
  </si>
  <si>
    <t>ave</t>
  </si>
  <si>
    <t>Check totals:</t>
  </si>
  <si>
    <t>kWs</t>
  </si>
  <si>
    <t>Off-Peak Hourly Charge per MW:</t>
  </si>
  <si>
    <t>On-Peak Hourly Charge per MW:</t>
  </si>
  <si>
    <t>Off-Peak Daily Charge per MW:</t>
  </si>
  <si>
    <t>On-Peak Daily Charge per MW:</t>
  </si>
  <si>
    <t>Weekly Charge per MW:</t>
  </si>
  <si>
    <t>Monthly Charge per MW:</t>
  </si>
  <si>
    <t>Total NITS and long-term Point-to-Point kilowatts are:</t>
  </si>
  <si>
    <t>Phase-in Revenue Requirement:</t>
  </si>
  <si>
    <t>WISCONSIN ENERGY CORP</t>
  </si>
  <si>
    <t>WISCONSIN POWER &amp; LIGHT</t>
  </si>
  <si>
    <t>WISCONSIN PUBLIC SERVICE</t>
  </si>
  <si>
    <t>MADISON GAS &amp; ELECTRIC COMPANY</t>
  </si>
  <si>
    <t>ATCLLC's Annual Transmission Revenue Requirement is:</t>
  </si>
  <si>
    <t>Schedule 8</t>
  </si>
  <si>
    <t>Non-Firm Point to Point Transmission Rates</t>
  </si>
  <si>
    <t>Schedule 7</t>
  </si>
  <si>
    <t>Firm Point to Point Transmission Rates</t>
  </si>
  <si>
    <t>Source references may vary by company; page references are to each company's source document; analogous figures would be provided for projected year.  Inputs in whole dollars.</t>
  </si>
  <si>
    <t>Revenue collected by the Transmission Owner or ITC under this Schedule 1 for firm transactions of less than 1 year, all non-firm transactions, and any other transactions whose loads are not included in the Attachment O Zonal Rate Divisor for the zone. This revenue credit is derived from the MISO MR Settlemenets file by subtracting Schedule 9 revenues related to Schedule 1 from the total Schedule 1 revenues, which results in the total revenue credit for Schedule 1.</t>
  </si>
  <si>
    <t>Form 1 page references are for actual year for which there is a Form 1; analogous figures would be provided for projected year.</t>
  </si>
  <si>
    <t>Utilized by forward-looking Transmission Owners.  Line 8 will be supported by a True-Up Worksheet.</t>
  </si>
  <si>
    <t>Net Schedule 1 Adjusted Annual Revenue Requirement</t>
  </si>
  <si>
    <t>True-up Adjustment (Note D)</t>
  </si>
  <si>
    <t>Total Schedule 1 Annual Revenue Requirement</t>
  </si>
  <si>
    <t>Revenue Credits (excluding True-Up Adjustment) (Note C)</t>
  </si>
  <si>
    <t>(Form 1, footnote to p 320, Lines 85,86,87)</t>
  </si>
  <si>
    <t>Account 561.BA for Schedule 24</t>
  </si>
  <si>
    <t>(sum lines 1 - 3)</t>
  </si>
  <si>
    <t xml:space="preserve">   Subtotal</t>
  </si>
  <si>
    <t>(Form 1, p 321, Line 87)</t>
  </si>
  <si>
    <t>Account 561.3</t>
  </si>
  <si>
    <t>(Form 1, p 321, Line 86)</t>
  </si>
  <si>
    <t>Account 561.2</t>
  </si>
  <si>
    <t>(Form 1, p 321, Line 85)</t>
  </si>
  <si>
    <t>Account 561.1 (Note B)</t>
  </si>
  <si>
    <t>Company</t>
  </si>
  <si>
    <t>Projected</t>
  </si>
  <si>
    <t>Projected or Actual:</t>
  </si>
  <si>
    <t>True-Up Year:</t>
  </si>
  <si>
    <t>Rate Year:</t>
  </si>
  <si>
    <t>Company:</t>
  </si>
  <si>
    <t>Schedule 1 Recoverable Expenses</t>
  </si>
  <si>
    <t>Interest on the (over)/under collected amount will not be know at the time the template is submitted pursuant to the approved FERC methodology.</t>
  </si>
  <si>
    <t>Current Year Schedule 1 revenues include revenue credits and exclude True-Up Adjustments.</t>
  </si>
  <si>
    <t>Scheduling, Control, and Dispatch Service--Transmission.</t>
  </si>
  <si>
    <t>Scheduling, Control, and Dispatch Service--Balancing Authority.</t>
  </si>
  <si>
    <t>Source references may vary by company; page references are to each company's source document.  Inputs in whole dollars.</t>
  </si>
  <si>
    <t>(Over)/Under Collected Amount (Note E)</t>
  </si>
  <si>
    <t>(Form 1, footnote to p 300, Line 23)</t>
  </si>
  <si>
    <r>
      <t>Revenues including revenue credits (Account 457.1)</t>
    </r>
    <r>
      <rPr>
        <sz val="11"/>
        <color theme="1"/>
        <rFont val="Times New Roman"/>
        <family val="1"/>
      </rPr>
      <t xml:space="preserve"> (Note D)</t>
    </r>
  </si>
  <si>
    <r>
      <t>Account 561 Available excluding revenue credits</t>
    </r>
    <r>
      <rPr>
        <sz val="11"/>
        <color theme="1"/>
        <rFont val="Times New Roman"/>
        <family val="1"/>
      </rPr>
      <t xml:space="preserve"> (Note C)</t>
    </r>
  </si>
  <si>
    <t>(Form 1, footnote to p 321, Lines 85, 86, &amp; 87)</t>
  </si>
  <si>
    <t>Account 561.BA for Schedule 24 (Note B)</t>
  </si>
  <si>
    <t xml:space="preserve">   Subtotal (sum lines 1-3)</t>
  </si>
  <si>
    <t>Account 561.1 (Note A)</t>
  </si>
  <si>
    <t>Schedule 1 True-Up Adjustment</t>
  </si>
  <si>
    <r>
      <t xml:space="preserve">Revenue Received </t>
    </r>
    <r>
      <rPr>
        <b/>
        <vertAlign val="superscript"/>
        <sz val="12"/>
        <rFont val="Arial MT"/>
      </rPr>
      <t>4</t>
    </r>
  </si>
  <si>
    <t>Interest</t>
  </si>
  <si>
    <t>% of Revenue Received</t>
  </si>
  <si>
    <t>Interest Rate</t>
  </si>
  <si>
    <t>The cells highlighted in yellow contain the official data, either actual or projected, the cells in highlighted in orange contain placeholder estimates that assume the actual results equal the projected values.</t>
  </si>
  <si>
    <t xml:space="preserve"> Utilizing Attachment O Data</t>
  </si>
  <si>
    <t>Attachment O</t>
  </si>
  <si>
    <t>Attach O, p 2, line 2 col 5 (Note A)</t>
  </si>
  <si>
    <t>GP + CWIP in RB</t>
  </si>
  <si>
    <t>Attach O, p 2, line 14 col 5 (Note B)</t>
  </si>
  <si>
    <t>NP + CWIP in RB</t>
  </si>
  <si>
    <t>Attach O, p 3, line 8 col 5</t>
  </si>
  <si>
    <t>Recoverable O&amp;M (excl depr and Sch 1 revenue)</t>
  </si>
  <si>
    <t>(line 3 divided by line 1 col 3)</t>
  </si>
  <si>
    <t>Attach O, p 3, lines 10 &amp; 11, col 5 (Note H)</t>
  </si>
  <si>
    <t>Attach O, p 3, line 20 col 5</t>
  </si>
  <si>
    <t>TOTIT</t>
  </si>
  <si>
    <t>Attach O, p 3, line 27 col 5</t>
  </si>
  <si>
    <t>Total income taxes</t>
  </si>
  <si>
    <t>Attach O, p 3, line 28 col 5</t>
  </si>
  <si>
    <t>Return</t>
  </si>
  <si>
    <t xml:space="preserve">Annual Expense Factor </t>
  </si>
  <si>
    <t xml:space="preserve">Annual Return Factor </t>
  </si>
  <si>
    <t>C1</t>
  </si>
  <si>
    <t>C2</t>
  </si>
  <si>
    <t>C3</t>
  </si>
  <si>
    <t>C4</t>
  </si>
  <si>
    <t>C5</t>
  </si>
  <si>
    <t>C6</t>
  </si>
  <si>
    <t>C7</t>
  </si>
  <si>
    <t>I1</t>
  </si>
  <si>
    <t>I2</t>
  </si>
  <si>
    <t>I3</t>
  </si>
  <si>
    <t>I4</t>
  </si>
  <si>
    <t>I5</t>
  </si>
  <si>
    <t>I6</t>
  </si>
  <si>
    <t>I7</t>
  </si>
  <si>
    <r>
      <t xml:space="preserve">Project Gross Plant </t>
    </r>
    <r>
      <rPr>
        <vertAlign val="superscript"/>
        <sz val="12"/>
        <rFont val="Arial"/>
        <family val="2"/>
      </rPr>
      <t>1</t>
    </r>
  </si>
  <si>
    <r>
      <t xml:space="preserve">True-Up Adjustment </t>
    </r>
    <r>
      <rPr>
        <vertAlign val="superscript"/>
        <sz val="12"/>
        <rFont val="Arial"/>
        <family val="2"/>
      </rPr>
      <t>2</t>
    </r>
  </si>
  <si>
    <t>% of Total Rev. Req</t>
  </si>
  <si>
    <t>Revenue Received</t>
  </si>
  <si>
    <r>
      <t xml:space="preserve">Project Gross Plant </t>
    </r>
    <r>
      <rPr>
        <vertAlign val="superscript"/>
        <sz val="12"/>
        <rFont val="Arial"/>
        <family val="2"/>
      </rPr>
      <t>3</t>
    </r>
  </si>
  <si>
    <t>Net Under/(Over) Collection</t>
  </si>
  <si>
    <r>
      <t xml:space="preserve">Interest Income (Expense) </t>
    </r>
    <r>
      <rPr>
        <vertAlign val="superscript"/>
        <sz val="12"/>
        <rFont val="Arial"/>
        <family val="2"/>
      </rPr>
      <t>5</t>
    </r>
  </si>
  <si>
    <t>Received</t>
  </si>
  <si>
    <t xml:space="preserve">1) Average Gross Plant Balance as it is included in the Projected Attachment O for the same year. </t>
  </si>
  <si>
    <t xml:space="preserve">2) True-Up adjustment from prior year. </t>
  </si>
  <si>
    <t>3) Average Gross Plant Balance as it is included in the Actual Attachment O.</t>
  </si>
  <si>
    <t>4) The “Total Schedule 26 Revenue Received by TO” in the Current Year.</t>
  </si>
  <si>
    <t>5)Interest calculated in accordance with the Attachment O True-Up Interest calculation based on the Aggregate Schedule 26 True-Up.</t>
  </si>
  <si>
    <t xml:space="preserve">Less O&amp;M incentive </t>
  </si>
  <si>
    <t>Attach MM, p2 line 2 col 14</t>
  </si>
  <si>
    <t xml:space="preserve">Adjusted O&amp;M </t>
  </si>
  <si>
    <t>C8</t>
  </si>
  <si>
    <t>I8</t>
  </si>
  <si>
    <t>Attach O, p 2, line 8 col 5 (Note A)</t>
  </si>
  <si>
    <t>Attach O, p 3, line 1 col 5</t>
  </si>
  <si>
    <t>Less project O&amp;M incentive</t>
  </si>
  <si>
    <t>Attach O, p 3, line 1a col 5</t>
  </si>
  <si>
    <t>Attach O, p 3, line 2 col 5</t>
  </si>
  <si>
    <t>Line 3a minus Line 3b minus Line 3c</t>
  </si>
  <si>
    <t>Line 3 minus Line 3d</t>
  </si>
  <si>
    <t>Annual Interest Rate</t>
  </si>
  <si>
    <t>Interest Income(Expense)</t>
  </si>
  <si>
    <t>C9</t>
  </si>
  <si>
    <t>C10</t>
  </si>
  <si>
    <t>C11</t>
  </si>
  <si>
    <t>C12</t>
  </si>
  <si>
    <t>I9</t>
  </si>
  <si>
    <t>I10</t>
  </si>
  <si>
    <t>I11</t>
  </si>
  <si>
    <t>I12</t>
  </si>
  <si>
    <r>
      <t xml:space="preserve">Project Gross Plant </t>
    </r>
    <r>
      <rPr>
        <vertAlign val="superscript"/>
        <sz val="12"/>
        <rFont val="Arial MT"/>
      </rPr>
      <t>1</t>
    </r>
  </si>
  <si>
    <r>
      <t xml:space="preserve">Project Gross Plant </t>
    </r>
    <r>
      <rPr>
        <vertAlign val="superscript"/>
        <sz val="12"/>
        <rFont val="Arial MT"/>
      </rPr>
      <t>3</t>
    </r>
  </si>
  <si>
    <t>Total Interest Due</t>
  </si>
  <si>
    <t>Years</t>
  </si>
  <si>
    <t>.</t>
  </si>
  <si>
    <t>1q</t>
  </si>
  <si>
    <t>1r</t>
  </si>
  <si>
    <t>1s</t>
  </si>
  <si>
    <t>1t</t>
  </si>
  <si>
    <t>22380, 22381</t>
  </si>
  <si>
    <t>138 kV Falcon SS Construction and 138 kV Darlington- North Monroe (X-49) Line Upgrade</t>
  </si>
  <si>
    <t>J703 GIC- Huron SS, Interconnection and Network Upgrades</t>
  </si>
  <si>
    <t>J704 GIC- Interconnection and Network Upgrades</t>
  </si>
  <si>
    <r>
      <t xml:space="preserve">   For </t>
    </r>
    <r>
      <rPr>
        <b/>
        <sz val="11"/>
        <color theme="1"/>
        <rFont val="Calibri"/>
        <family val="2"/>
        <scheme val="minor"/>
      </rPr>
      <t>Minnesota Power</t>
    </r>
    <r>
      <rPr>
        <sz val="11"/>
        <color theme="1"/>
        <rFont val="Calibri"/>
        <family val="2"/>
        <scheme val="minor"/>
      </rPr>
      <t xml:space="preserve"> specifically, please enter Allocated Gross Transmission Plant for the AC system only from Attachment O, page 2, column 7, line 2</t>
    </r>
  </si>
  <si>
    <r>
      <t xml:space="preserve">   For </t>
    </r>
    <r>
      <rPr>
        <b/>
        <sz val="11"/>
        <color theme="1"/>
        <rFont val="Calibri"/>
        <family val="2"/>
        <scheme val="minor"/>
      </rPr>
      <t>DPC</t>
    </r>
    <r>
      <rPr>
        <sz val="11"/>
        <color theme="1"/>
        <rFont val="Calibri"/>
        <family val="2"/>
        <scheme val="minor"/>
      </rPr>
      <t xml:space="preserve"> specifically, please enter Allocated Gross Transmission Plant from Attachment O, page 2, column 5, lines 2 + 2a + 2b + 2c</t>
    </r>
  </si>
  <si>
    <r>
      <t xml:space="preserve">   For </t>
    </r>
    <r>
      <rPr>
        <b/>
        <sz val="11"/>
        <color theme="1"/>
        <rFont val="Calibri"/>
        <family val="2"/>
        <scheme val="minor"/>
      </rPr>
      <t>CMMPA</t>
    </r>
    <r>
      <rPr>
        <sz val="11"/>
        <color theme="1"/>
        <rFont val="Calibri"/>
        <family val="2"/>
        <scheme val="minor"/>
      </rPr>
      <t xml:space="preserve"> and</t>
    </r>
    <r>
      <rPr>
        <b/>
        <sz val="11"/>
        <color theme="1"/>
        <rFont val="Calibri"/>
        <family val="2"/>
        <scheme val="minor"/>
      </rPr>
      <t xml:space="preserve"> MRES</t>
    </r>
    <r>
      <rPr>
        <sz val="11"/>
        <color theme="1"/>
        <rFont val="Calibri"/>
        <family val="2"/>
        <scheme val="minor"/>
      </rPr>
      <t xml:space="preserve"> specifically, please enter Allocated Gross Transmission Plant from Attachment O, page 2, column 5, lines 2 + 2a</t>
    </r>
  </si>
  <si>
    <r>
      <rPr>
        <b/>
        <vertAlign val="superscript"/>
        <sz val="11"/>
        <color theme="1"/>
        <rFont val="Calibri"/>
        <family val="2"/>
        <scheme val="minor"/>
      </rPr>
      <t>1</t>
    </r>
    <r>
      <rPr>
        <sz val="11"/>
        <color theme="1"/>
        <rFont val="Calibri"/>
        <family val="2"/>
        <scheme val="minor"/>
      </rPr>
      <t xml:space="preserve">  For </t>
    </r>
    <r>
      <rPr>
        <b/>
        <sz val="11"/>
        <color theme="1"/>
        <rFont val="Calibri"/>
        <family val="2"/>
        <scheme val="minor"/>
      </rPr>
      <t>ATC</t>
    </r>
    <r>
      <rPr>
        <sz val="11"/>
        <color theme="1"/>
        <rFont val="Calibri"/>
        <family val="2"/>
        <scheme val="minor"/>
      </rPr>
      <t xml:space="preserve"> specifically, please enter Allocated Gross Transmission Plant from Attachment O, page 2, column 5, line 2a</t>
    </r>
  </si>
  <si>
    <t>(N)</t>
  </si>
  <si>
    <t>(L)</t>
  </si>
  <si>
    <t>(K) = H + I + J</t>
  </si>
  <si>
    <t>(J)</t>
  </si>
  <si>
    <t>(I)</t>
  </si>
  <si>
    <t>(H)</t>
  </si>
  <si>
    <t>(G) = D + E + F</t>
  </si>
  <si>
    <t>(F)</t>
  </si>
  <si>
    <t>(E)</t>
  </si>
  <si>
    <t>(D)</t>
  </si>
  <si>
    <t>(C)</t>
  </si>
  <si>
    <t>(B)</t>
  </si>
  <si>
    <t>(A)</t>
  </si>
  <si>
    <t>Gross Trans Plant For Sched 7 &amp; 8 Thru &amp; Out Rev Distribution</t>
  </si>
  <si>
    <r>
      <rPr>
        <b/>
        <sz val="11"/>
        <color rgb="FFFF0000"/>
        <rFont val="Calibri"/>
        <family val="2"/>
        <scheme val="minor"/>
      </rPr>
      <t xml:space="preserve">MP Only - AC System       </t>
    </r>
    <r>
      <rPr>
        <b/>
        <sz val="11"/>
        <color theme="1"/>
        <rFont val="Calibri"/>
        <family val="2"/>
        <scheme val="minor"/>
      </rPr>
      <t>Gross Trans Plant Attach ZZ, pg 2, total col 3</t>
    </r>
  </si>
  <si>
    <t>Subtotal Gross Trans Plant Att MM</t>
  </si>
  <si>
    <t>AFUDC excl from Att MM, page 2, col 3 (enter as positive)</t>
  </si>
  <si>
    <t>CWIP in Att MM, pg 2, col 3 (enter as negative)</t>
  </si>
  <si>
    <t>Gross Trans Plant Attach MM, pg 2, total of col 3</t>
  </si>
  <si>
    <t xml:space="preserve">Subtotal Gross Trans Plant Att GG </t>
  </si>
  <si>
    <t>AFUDC excl from Att GG, page 2, col 3 (enter as positive)</t>
  </si>
  <si>
    <t>CWIP in Att GG, pg 2, col 3 (enter as negative)</t>
  </si>
  <si>
    <t>Less Gross Trans Plant, Attach MM, page 2, col 3</t>
  </si>
  <si>
    <t>Columns H - J - enter Attach MM information similar to how Attach GG information was entered for columns D - F</t>
  </si>
  <si>
    <t>Column C - enter Allocated Gross Transmission Plant from Attachment O, page 2, line 2, column 5 applicable to each TPZ - unless otherwise noted in footnote 1 below</t>
  </si>
  <si>
    <t>Column A - enter the TO name or name abbreviation</t>
  </si>
  <si>
    <t>Enter "non-MISO" as the TPZ for transmission facilities and/or load included in Attachment O that is located outside of MISO</t>
  </si>
  <si>
    <t>Instructions:</t>
  </si>
  <si>
    <t>Per Appendix C.III.7 of the Transmission Owners Agreement (TOA), MISO is required to distribute Schedule 7 and 8 Through and Out Revenues (1) 50% in proportion to transmission investment reflected in the applicable rates determined by the Attachment O formula; and (2) 50% based upon power flows.</t>
  </si>
  <si>
    <t>Purpose:</t>
  </si>
  <si>
    <t>Gross Transmission Plant Reporting Form</t>
  </si>
  <si>
    <t>345 kV Substation</t>
  </si>
  <si>
    <t>1v</t>
  </si>
  <si>
    <t>1w</t>
  </si>
  <si>
    <t>1x</t>
  </si>
  <si>
    <t xml:space="preserve">ROE Determination </t>
  </si>
  <si>
    <t>GIP</t>
  </si>
  <si>
    <t>7/5/2013, 10/5/2016</t>
  </si>
  <si>
    <t>J505 GIC, Apollo SS, Generator Interconnection and Network Facilities</t>
  </si>
  <si>
    <t>1y</t>
  </si>
  <si>
    <t>1z</t>
  </si>
  <si>
    <t>1aa</t>
  </si>
  <si>
    <t>1u</t>
  </si>
  <si>
    <t>3925-26, 5484, 5626-28, 6573, 20578, 20580-81, 20607, 23506-07</t>
  </si>
  <si>
    <t>J928 Interconnection request is for a new 80 MW wind farm. This will be an expansion of the wind farm that is already at Garden Corners.</t>
  </si>
  <si>
    <t>24478, 24479</t>
  </si>
  <si>
    <t>J928/J849 Indian Lake Common Use Upgrades - Ground Grid work</t>
  </si>
  <si>
    <t>J870/J871 Network Upgrades at Highland SS, Eden SS, Spring Green SS, X-17 and Y-138</t>
  </si>
  <si>
    <t>J886 Kewaunee Substation Network Upgrades</t>
  </si>
  <si>
    <t>25248-51</t>
  </si>
  <si>
    <t>J855 GIC Ebenezer SS &amp; X-16 Network Upgrades</t>
  </si>
  <si>
    <t>Werner West-Morgan (MTEP06)</t>
  </si>
  <si>
    <t>Pleasant Valley - St. Lawrence (MTEP06)</t>
  </si>
  <si>
    <t>Cranberry-Conover-Iron River-Plains (MTEP06)</t>
  </si>
  <si>
    <t>Garden Corners SS GIC Network Upgrades (MTEP19)</t>
  </si>
  <si>
    <t>J928/J849 Indian Lake Common Use Upgrades (MTEP19)</t>
  </si>
  <si>
    <t>J870/J871 MPFCA Highland Generator Network Upgrades (MTEP20)</t>
  </si>
  <si>
    <t>J886 GIC Kewaunee SS Interconnection Facilities and Network Upgrades (MTEP20)</t>
  </si>
  <si>
    <t>J864 J870 J871 MPFCA Common Use Upgrades (MTEP20)</t>
  </si>
  <si>
    <t>Rockdale-W.Middleton 345kV (MTEP08)</t>
  </si>
  <si>
    <t>G507-Cedar Ridge Wind Farm (MTEP07)</t>
  </si>
  <si>
    <t>GIC706-H012 Glacier Hills Wind Park (MTEP09/11)</t>
  </si>
  <si>
    <t>G834 Interim Upgrades (MTEP10)</t>
  </si>
  <si>
    <t>G833 Interim Upgrades (MTEP10)</t>
  </si>
  <si>
    <t>2nd Kewaunee Xfr (MTEP11)</t>
  </si>
  <si>
    <t>G833/4 Long Term Solution (MTEP11)</t>
  </si>
  <si>
    <t>Straits Power Flow Controller (MTEP11)</t>
  </si>
  <si>
    <t>Rebuild Arcadian - Waukesha 138kV lines (MTEP12)</t>
  </si>
  <si>
    <t>Arnold Transformer (MTEP12)</t>
  </si>
  <si>
    <t>Green Bay to Morgan 345 kV / Memominee Co to Delta Co 138 kV (MTEP12)</t>
  </si>
  <si>
    <t>Lafayette County Wind GIC-J395 Falcon Substation &amp; Network Upgrades  (MTEP17)</t>
  </si>
  <si>
    <t>West Riverside GIC J390 Kittyhawk Substation  (MTEP17)</t>
  </si>
  <si>
    <t>J703 WeEnergies GIC-NetworkUpgrades (MTEP18)</t>
  </si>
  <si>
    <t>J704 WeEnergies GIC-NetworkUpgrades (MTEP18)</t>
  </si>
  <si>
    <t>J505 GIC, Apollo SS, Generator Interconnection and Network Facilities (MTEP18)</t>
  </si>
  <si>
    <t>Pleasant Prairie - Zion Energy Center 345 kV Line (MTEP11)</t>
  </si>
  <si>
    <t>LaCrosse-Madison 345 kV - Dubuque Co - Spring Green 345 kV (MTEP11)</t>
  </si>
  <si>
    <t>Average Gross Plant Balance</t>
  </si>
  <si>
    <t>Average CWIP Balance</t>
  </si>
  <si>
    <t>Average Net Plant Balance</t>
  </si>
  <si>
    <t>Average Acc Depreciation</t>
  </si>
  <si>
    <t>2022 - $50M/10yr(Feb)</t>
  </si>
  <si>
    <t>2022 - $50M/10yr(July)</t>
  </si>
  <si>
    <t>25454-55</t>
  </si>
  <si>
    <t>J864 J870 J871 MPFCA Common Use Upgrades</t>
  </si>
  <si>
    <t>J870 J871 Highland SS Interconnection Facilities and Network Upgrades</t>
  </si>
  <si>
    <t>J986 7 Mile Creek SS, Generator Interconnection Facilities and Network Upgrades</t>
  </si>
  <si>
    <t>J947 Tennyson SS, Generator Interconnection Facilities and Network Upgrades</t>
  </si>
  <si>
    <t>1bb</t>
  </si>
  <si>
    <t>J870 J871 Highland SS Interconnection Facilities and Network Upgrades (MTEP20)</t>
  </si>
  <si>
    <t>1cc</t>
  </si>
  <si>
    <t>1dd</t>
  </si>
  <si>
    <t>1ee</t>
  </si>
  <si>
    <t>1ff</t>
  </si>
  <si>
    <t>J986 7 Mile Creek SS, Generator Interconnection Facilities and Network Upgrades (MTEP21)</t>
  </si>
  <si>
    <t>J947 Tennyson SS, Generator Interconnection Facilities and Network Upgrades (MTEP20)</t>
  </si>
  <si>
    <t>J850/J878 MPFCA East Paris New SS (MTEP20)</t>
  </si>
  <si>
    <t>1gg</t>
  </si>
  <si>
    <t>1hh</t>
  </si>
  <si>
    <t>1ii</t>
  </si>
  <si>
    <t>1jj</t>
  </si>
  <si>
    <t>1ll</t>
  </si>
  <si>
    <t>1e</t>
  </si>
  <si>
    <t>1f</t>
  </si>
  <si>
    <t>1kk</t>
  </si>
  <si>
    <t>J807 J864 J870 J871 J947 MPFCA Common Use Upgrades (MTEP20)</t>
  </si>
  <si>
    <t>J807 J819 J870 J947 MPFCA Common Use Upgrades (MTEP20)</t>
  </si>
  <si>
    <t>J878 GIC Paris SS, Generator Interconnection Facilities and Network Upgrades (MTEP20)</t>
  </si>
  <si>
    <t>J855 J864 J870 J871 MPFCA (MTEP22)</t>
  </si>
  <si>
    <t>J1153 Holland SS Network Upgrades and Interconnection Facilities (MTEP22)</t>
  </si>
  <si>
    <t>J1171 Butternut SS Network Upgrades and Interconnection Facilities (MTEP22)</t>
  </si>
  <si>
    <t>J1154 Crawfish River Solar Network Upgrades (MTEP22)</t>
  </si>
  <si>
    <t>J986 J1002 J1003 MPFCA (MTEP22)</t>
  </si>
  <si>
    <t>J864 J870 J871 J947 MPFCA Common Use Upgrades (MTEP20)</t>
  </si>
  <si>
    <t>Includes specific regulatory liabilities recorded in Account 254, as approved by FERC, as an offset to rate base, and amortization associated with such regulatory liabilities recorded in Account 407.4. ATC commits to providing a supporting workpaper.</t>
  </si>
  <si>
    <t>EE</t>
  </si>
  <si>
    <t>By Commission order, includes expenses recorded in Account 555.1 associated with charging a transmission storage asset and, to the extent related revenues are associated with net settlements for exchange of electricity or power, revenues associated with discharging a transmission storage asset, which are recorded in Account 555.1.</t>
  </si>
  <si>
    <t>DD</t>
  </si>
  <si>
    <t xml:space="preserve">Removes from revenue credits revenues that are distributed pursuant to the associated schedules of the MISO Tariff, since the Transmission Owner's Attachment O revenue requirements have already been reduced by the Attachment MM revenue requirements.  </t>
  </si>
  <si>
    <t>Pursuant to Attachment MM of the MISO Tariff, removes dollar amount of revenue requirements calculated pursuant to Attachment MM and recovered under the associated schedules of the MISO Tariff.</t>
  </si>
  <si>
    <r>
      <t xml:space="preserve">All amounts shown on this page (with the following exceptions </t>
    </r>
    <r>
      <rPr>
        <strike/>
        <sz val="12"/>
        <rFont val="Times New Roman"/>
        <family val="1"/>
      </rPr>
      <t>of</t>
    </r>
    <r>
      <rPr>
        <sz val="12"/>
        <rFont val="Times New Roman"/>
        <family val="1"/>
      </rPr>
      <t xml:space="preserve"> CWC</t>
    </r>
    <r>
      <rPr>
        <strike/>
        <sz val="12"/>
        <rFont val="Times New Roman"/>
        <family val="1"/>
      </rPr>
      <t>,</t>
    </r>
    <r>
      <rPr>
        <sz val="12"/>
        <rFont val="Times New Roman"/>
        <family val="1"/>
      </rPr>
      <t xml:space="preserve"> in line 26, Account 282 in line 20, Account 283 in line 21, and Account 190 in line 22) are based on 13 month averages.  Work papers will be provided.</t>
    </r>
  </si>
  <si>
    <t xml:space="preserve">Removes from revenue credits revenues that are distributed pursuant to the associated schedules of the MISO Tariff, since the Transmission Owner's Attachment O revenue requirements have already been reduced by the Attachment GG revenue requirements.  </t>
  </si>
  <si>
    <t>Pursuant to Attachment GG of the MISO Tariff, removes dollar amount of revenue requirements calculated pursuant to Attachment GG and recovered under the associated schedules of the MISO Tariff.</t>
  </si>
  <si>
    <t>Debt cost rate = long-term interest (line 21) / long term debt (line 27). Preferred cost rate = preferred dividends (line 22) / preferred outstanding (line 28). The allowed base ROE of 10.02% was established in Opinion No. 569-B and no change in the base ROE may be made absent a filing with FERC. A 50 basis point adder for RTO participation may be added to the base ROE up to the upper end of the zone of reasonableness of 12.62% as established by FERC.</t>
  </si>
  <si>
    <t>Removes revenues that are distributed pursuant to Schedule 1 of the MISO Tariff.  The projected dollar amount of transmission expenses to be included in the OATT ancillary services rates, including Account Nos. 561.1, 561.2, 561.3, and 561.BA will be used as the estimated revenues for the calculation of prospective rates used for billing. The revenues recieved pursuant to Schedule 1 as reported in Account 457.1 will be used in the annual calculation of the Attachment O True-Up.</t>
  </si>
  <si>
    <r>
      <t>The currently effective income tax rate,</t>
    </r>
    <r>
      <rPr>
        <strike/>
        <sz val="12"/>
        <rFont val="Times New Roman"/>
        <family val="1"/>
      </rPr>
      <t xml:space="preserve">  </t>
    </r>
    <r>
      <rPr>
        <sz val="12"/>
        <rFont val="Times New Roman"/>
        <family val="1"/>
      </rPr>
      <t>where FIT is the Federal income tax rate; SIT is the State income tax rate, and p = "the percentage of federal income tax deductible for state income taxes" and TEP = "the tax exempt ownership interest".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(page 3, line 26).  Excess Deferred Income Taxes reduce income tax expense by the amount of the expense multiplied by (1/(1-T)) and Deficient Deferred Income Taxes increase income tax expense by the amount of the deficiency multiplied by (1/(1-T)) (page 3, line 26a).</t>
    </r>
  </si>
  <si>
    <t>RTO Adder per ER15-358, Effective January 6, 2015</t>
  </si>
  <si>
    <t>(Excess)/ Deficient Deferred Income Tax Adjustment (line 23 * line 24a)</t>
  </si>
  <si>
    <t>(Excess)/Deficient Deferred Income Taxes</t>
  </si>
  <si>
    <r>
      <t xml:space="preserve">     CIT=(T</t>
    </r>
    <r>
      <rPr>
        <b/>
        <sz val="12"/>
        <color rgb="FF0070C0"/>
        <rFont val="Times New Roman"/>
        <family val="1"/>
      </rPr>
      <t>/(</t>
    </r>
    <r>
      <rPr>
        <sz val="12"/>
        <rFont val="Times New Roman"/>
        <family val="1"/>
      </rPr>
      <t>1-T)</t>
    </r>
    <r>
      <rPr>
        <b/>
        <sz val="12"/>
        <color rgb="FF0070C0"/>
        <rFont val="Times New Roman"/>
        <family val="1"/>
      </rPr>
      <t>)</t>
    </r>
    <r>
      <rPr>
        <sz val="12"/>
        <rFont val="Times New Roman"/>
        <family val="1"/>
      </rPr>
      <t xml:space="preserve"> * (1-(WCLTD/R)) =</t>
    </r>
  </si>
  <si>
    <t>114.13.c</t>
  </si>
  <si>
    <t>Regulatory Credits (Note EE) (enter negative)</t>
  </si>
  <si>
    <t>9a</t>
  </si>
  <si>
    <t>321.112.b &amp; 321.XX.b (Note DD)</t>
  </si>
  <si>
    <t>(line 2a- line 8a + line 12a)</t>
  </si>
  <si>
    <t>278.XX.f</t>
  </si>
  <si>
    <t>Account No. 254 (enter negative)</t>
  </si>
  <si>
    <t>12a</t>
  </si>
  <si>
    <t>REGULATORY LIABILITIES (NOTE EE)</t>
  </si>
  <si>
    <t xml:space="preserve">2021 True-Up </t>
  </si>
  <si>
    <t>Regulatory Credits</t>
  </si>
  <si>
    <t>2022 - $100M/20yr</t>
  </si>
  <si>
    <t>445-7, 896, 2460</t>
  </si>
  <si>
    <t>6910-12, 6919, 6923, 7243</t>
  </si>
  <si>
    <t>24579,25355 25356-58, 24580-24582 83</t>
  </si>
  <si>
    <t>25398-25399, 25400-02, 26143-145</t>
  </si>
  <si>
    <t>J807 J864 J870 J871 J947 MPFCA Common Use Upgrades - Nelson Dewey Grounding Improvements</t>
  </si>
  <si>
    <t>25439, 25966</t>
  </si>
  <si>
    <t>J864 J870 J871 J947 MPFCA Common Use Upgrades - Eden and Hill Valley Grounding improvements</t>
  </si>
  <si>
    <t>J807 J819 J870 J947 MPFCA Common Use Upgrades - Hillman Grounding Improvements</t>
  </si>
  <si>
    <t>25442-25444</t>
  </si>
  <si>
    <t>J878 GIC Paris SS, Generator Interconnection Facilities and Network Upgrades</t>
  </si>
  <si>
    <t>The total  charge in any week, pursuant to reservations for daily service,
shall not exceed the weekly charge specified above.</t>
  </si>
  <si>
    <t>The total charge in any day, pursuant to reservations for hourly service,
shall not exceed the daily charge specified above.</t>
  </si>
  <si>
    <t>For Network Integration Transmission Service Customers, the monthly charge is one-twelfth of the Customer's Load Ratio Share as calculated in accrdance with the OATT</t>
  </si>
  <si>
    <t>Ending Accumulated Reserve</t>
  </si>
  <si>
    <t>2023 - $100M/30yr</t>
  </si>
  <si>
    <t>J1304 Big Hill Park Network Upgrade</t>
  </si>
  <si>
    <t>J1305 Norwegian CreekSS Netwrk Upgr</t>
  </si>
  <si>
    <t>J1042 J1188 MPFCA Network Upgrades</t>
  </si>
  <si>
    <t>J1374 Ebenezer SS Network Upgrades</t>
  </si>
  <si>
    <t>1mm</t>
  </si>
  <si>
    <t>1nn</t>
  </si>
  <si>
    <t>J818 Jefferson SS Generator Interconnection Facilities and Network Upgrades (MTEP20)</t>
  </si>
  <si>
    <t>REGULATORY LIABILITY AMORTIZATION AND GENERAL AND COMMON (G&amp;C) DEPRECIATION EXPENSE</t>
  </si>
  <si>
    <t>REGULATORY LIABILITY AMORTIZATION AND
GENERAL AND COMMON (G&amp;C) DEPRECIATION EXPENSE</t>
  </si>
  <si>
    <t>J1002 Wautoma SS Network Upgrades (MTEP22)</t>
  </si>
  <si>
    <t>J986 J1002 MPFCA Network Upgrades (MTEP22)</t>
  </si>
  <si>
    <t>J1002 J1003 MPFCA Network Upgrades (MTEP22)</t>
  </si>
  <si>
    <t>J886 GIC Kewaunee SS Network Upgrades (MTEP20)</t>
  </si>
  <si>
    <t>J870 J871 Highland SS Network Upgrades (MTEP20)</t>
  </si>
  <si>
    <t>J947 Tennyson SS Network Upgrades (MTEP20)</t>
  </si>
  <si>
    <t>J878 GIC Paris SS Network Upgrades (MTEP20)</t>
  </si>
  <si>
    <t>J986 7 Mile Creek SS Network Upgrades (MTEP21)</t>
  </si>
  <si>
    <t>J1153 Holland SS Network Upgrades (MTEP22)</t>
  </si>
  <si>
    <t>J1171 Butternut SS Network Upgrades (MTEP22)</t>
  </si>
  <si>
    <t>J1000 Comet SS Network Upgrades (MTEP22)</t>
  </si>
  <si>
    <t>26697-98</t>
  </si>
  <si>
    <t>26393-263400</t>
  </si>
  <si>
    <t>J505 GIC, Apollo SS Network Facilities (MTEP18)</t>
  </si>
  <si>
    <t>J704 WeEnergies GIC-Network Upgrades (MTEP18)</t>
  </si>
  <si>
    <t>J703 WeEnergies GIC-Network Upgrades (MTEP18)</t>
  </si>
  <si>
    <t>26381-85, 26387</t>
  </si>
  <si>
    <t>Installation of a 75MW solar farm located in Jefferson County, Wisconsin.</t>
  </si>
  <si>
    <t>Ground gird mitigation at Roeder substation in Green Lake County, Wisconsin.</t>
  </si>
  <si>
    <t>Installation of ground conductor, ground rods and possibly ground wells along the perimeter of the Spring Green substaiton.</t>
  </si>
  <si>
    <t>Interconnection Customer shall install a 150 MW solar farm interconnecting at Holland SS in Sheboygan County.</t>
  </si>
  <si>
    <t>Interconnection Customer shall install a 100 MW solar farm interconnecting at Butternut SS in Dodge County.</t>
  </si>
  <si>
    <t>Interconnection Customer shall install a Solar Generating Facility modeled at 50 MW in Grant County, Wisconsin.</t>
  </si>
  <si>
    <t>Interconnection Customer shall install a 99 MW solar facility connecting into the Wautoma SS in Waushara County.</t>
  </si>
  <si>
    <t xml:space="preserve">Each individual Interconnection Customer is responsible for a proportionate percentage
share of the Common Use Upgrades (CUU) estimated cost based on its proportionate impact on the constrained
facilities causing the need for the CUU. 
-J986 is seeking interconnection service for 149.76MW
-J1002 is seeking interconnection service for 99 MW
</t>
  </si>
  <si>
    <t xml:space="preserve">Shared work for ground grid upgrades at North Beaver Dam SS, cost shared jointly between J1002 and J1003.
J1002 - 5.54%
J1003 - 94.46%
</t>
  </si>
  <si>
    <t>Tremval-Eau Claire-Jump River (MTEP21)</t>
  </si>
  <si>
    <t>Tremval-Columbia (MTEP21)</t>
  </si>
  <si>
    <t>2023 - $50M/10yr</t>
  </si>
  <si>
    <t>2023 - $50M/30yr</t>
  </si>
  <si>
    <t>2002 - $32.5M/30yr</t>
  </si>
  <si>
    <t>2002 - $17.5M/30yr</t>
  </si>
  <si>
    <t>2003 - $100M/30yr/40yr</t>
  </si>
  <si>
    <t>2005 - $100M/30yr</t>
  </si>
  <si>
    <t>2007 - $250M/30yr</t>
  </si>
  <si>
    <t>2010 - $50M/30yr</t>
  </si>
  <si>
    <t>2010 - $75M/15yr</t>
  </si>
  <si>
    <t>2011 - $75M/15yr</t>
  </si>
  <si>
    <t>2011 - $150M/30yr</t>
  </si>
  <si>
    <t>2012 - $150M/30yr</t>
  </si>
  <si>
    <t>2014 - $50M/15yr</t>
  </si>
  <si>
    <t>2014 - $50M/30yr</t>
  </si>
  <si>
    <t>2014 - $29M/15yr</t>
  </si>
  <si>
    <t>2014 - $47M/30yr</t>
  </si>
  <si>
    <t>2015 - $21M/15yr</t>
  </si>
  <si>
    <t>2015 - $28M/30yr</t>
  </si>
  <si>
    <t>2016 - $150M/30yr</t>
  </si>
  <si>
    <t>2017 - $50M/30yr</t>
  </si>
  <si>
    <t>2018 - $75M/30yr</t>
  </si>
  <si>
    <t>2018 - $100M/10yr</t>
  </si>
  <si>
    <t>2018 - $100M/15yr</t>
  </si>
  <si>
    <t>2018 - $100M/30yr</t>
  </si>
  <si>
    <t>2019 - $200M/12yr</t>
  </si>
  <si>
    <t>2019 - $100M/20yr</t>
  </si>
  <si>
    <t>2020 - $100M/30yr</t>
  </si>
  <si>
    <t>2020 - $100M/10yr</t>
  </si>
  <si>
    <t>27106, 27109, 27110, 27107, 27108, 27111, 28039</t>
  </si>
  <si>
    <t>LRTP-06: Tremval – Rocky Run – Columbia
Modifications to the Rocky Run and Columbia SS's, and construct new transmission line between Tremval to Rocky Run and Rocky Run to Columbia.</t>
  </si>
  <si>
    <t>27104, 27105</t>
  </si>
  <si>
    <t>LRTP-05: Tremval – Eau Claire – Jump River
Constructing new Jump River SS, and new transmission line from Eau Claire to Jump River.</t>
  </si>
  <si>
    <t>1oo</t>
  </si>
  <si>
    <t>J818 Jefferson SS Generator Network Upgrades (MTEP20)</t>
  </si>
  <si>
    <t>J850 North Creek Network Upgrade</t>
  </si>
  <si>
    <t>1989, 1990</t>
  </si>
  <si>
    <t>Rebuild the two Arcadian-Waukesha 138 kV lines</t>
  </si>
  <si>
    <t>25343-46</t>
  </si>
  <si>
    <t>Jefferson SS , Crawfish River SS , Jefferson SS Relay ,Concord - Cooney (9042) 138kV transmission line upgrade</t>
  </si>
  <si>
    <t>26010-13</t>
  </si>
  <si>
    <t>26724-31</t>
  </si>
  <si>
    <t>26733-37</t>
  </si>
  <si>
    <t>26313, 26314-15</t>
  </si>
  <si>
    <t>26388-89</t>
  </si>
  <si>
    <t>State Tax Rate</t>
  </si>
  <si>
    <t>State Apportionment Factor</t>
  </si>
  <si>
    <t>Ending CWIP Balance</t>
  </si>
  <si>
    <t>Ending Gross Plant Balance</t>
  </si>
  <si>
    <t>Ending Net Plant Balance</t>
  </si>
  <si>
    <t>Months Oustanding for Year</t>
  </si>
  <si>
    <t>Effective Rate</t>
  </si>
  <si>
    <t>Weighted Avg. ST Debt - Jan</t>
  </si>
  <si>
    <t>Weighted Avg. ST Debt - Feb</t>
  </si>
  <si>
    <t>Weighted Avg. ST Debt - Mar</t>
  </si>
  <si>
    <t>Weighted Avg. ST Debt - Apr</t>
  </si>
  <si>
    <t>Weighted Avg. ST Debt - May</t>
  </si>
  <si>
    <t>Weighted Avg. ST Debt - Jun</t>
  </si>
  <si>
    <t>Weighted Avg. ST Debt - Jul</t>
  </si>
  <si>
    <t>Weighted Avg. ST Debt - Aug</t>
  </si>
  <si>
    <t>Weighted Avg. ST Debt - Sep</t>
  </si>
  <si>
    <t>Weighted Avg. ST Debt - Oct</t>
  </si>
  <si>
    <t>Weighted Avg. ST Debt - Nov</t>
  </si>
  <si>
    <t>Weighted Avg. ST Debt - Dec</t>
  </si>
  <si>
    <t>25402 - Other Reg Liab - Sales &amp; Use Tax Refund</t>
  </si>
  <si>
    <t>Federal Income Tax Rate</t>
  </si>
  <si>
    <t>State Income Tax Rate</t>
  </si>
  <si>
    <t>% Tax-exempt Ownership</t>
  </si>
  <si>
    <t>2024 - $125M/10yr</t>
  </si>
  <si>
    <t>2024 - $125M/30yr</t>
  </si>
  <si>
    <t>2024 - $100M/12yr</t>
  </si>
  <si>
    <t>Earnings allocated to tax exempt owners</t>
  </si>
  <si>
    <t>1pp</t>
  </si>
  <si>
    <t>1qq</t>
  </si>
  <si>
    <t>1rr</t>
  </si>
  <si>
    <t>1ss</t>
  </si>
  <si>
    <t>1tt</t>
  </si>
  <si>
    <t>1uu</t>
  </si>
  <si>
    <t>1vv</t>
  </si>
  <si>
    <t>2023 Rates:</t>
  </si>
  <si>
    <t>2024 Rates:</t>
  </si>
  <si>
    <t>2025 Rates:</t>
  </si>
  <si>
    <t xml:space="preserve">  Energy Storage</t>
  </si>
  <si>
    <t>204.84.14.g</t>
  </si>
  <si>
    <t>ES</t>
  </si>
  <si>
    <t>219.27.1.c&amp;d</t>
  </si>
  <si>
    <t>15a</t>
  </si>
  <si>
    <t>(line 3a - line 9a)</t>
  </si>
  <si>
    <t>27a</t>
  </si>
  <si>
    <t xml:space="preserve">  Energy Storage Materials &amp; Supplies  (Note GG)</t>
  </si>
  <si>
    <t>227.10.1.c &amp; .16.c</t>
  </si>
  <si>
    <t>5b</t>
  </si>
  <si>
    <t>320.131.16.b</t>
  </si>
  <si>
    <t>9b</t>
  </si>
  <si>
    <t>336.9.1.b</t>
  </si>
  <si>
    <t>ENERGY STORAGE PLANT INCLUDED IN ISO RATES</t>
  </si>
  <si>
    <t>Total Energy Storage plant  (page 2, line 3a, column 3)</t>
  </si>
  <si>
    <t>Less Energy Storage plant excluded from ISO rates  (Note FF)</t>
  </si>
  <si>
    <t>5c</t>
  </si>
  <si>
    <t>Energy Storage plant included in ISO rates  (line 5a less line 5b)</t>
  </si>
  <si>
    <t>5d</t>
  </si>
  <si>
    <t>Percentage of Energy Storage plant included in ISO Rates  (line 5c divided by line 5a)</t>
  </si>
  <si>
    <t>ES=</t>
  </si>
  <si>
    <t>354.22.1.b</t>
  </si>
  <si>
    <t>ROE per EL14-12, Effective 9-28-2016</t>
  </si>
  <si>
    <t>FF</t>
  </si>
  <si>
    <t>Removes energy storage plant not recovered in transmission rates as demonstrated on supporting workpaper or footnote to the Form 1, if applicable.</t>
  </si>
  <si>
    <t>GG</t>
  </si>
  <si>
    <t xml:space="preserve">Identified in Form 1 as being only energy storage related.  The amount reported on Form 1 page 227, line 10.1 is entirely transmission-related unless specified in a footnote to the Form 1. </t>
  </si>
  <si>
    <t xml:space="preserve"> - Include with page 1, line 5</t>
  </si>
  <si>
    <t>4. Depreciation &amp; amortization related to Accounts 351.1, 351.2 and 351.3 (included in Attachment O-ATCLLC, p 3, line 9)</t>
  </si>
  <si>
    <t xml:space="preserve"> - Exclude from page 1, line 2</t>
  </si>
  <si>
    <t>3. Net plant for Accounts 351.1, 351.2 and 351.3.</t>
  </si>
  <si>
    <t>2. Accumulated depreciation related to Accounts 351.1, 351.2 and 351.3 (included in Attachment O-ATCLLC, p 2, line 8a).</t>
  </si>
  <si>
    <t xml:space="preserve"> - Exclude from page 1, line 1</t>
  </si>
  <si>
    <t>1. Gross plant in Accounts 351.1, 351.2 and 351.3 (included in Attachment O-ATCLLC, p 2, line 2a).</t>
  </si>
  <si>
    <t>Gross plant, net plant and general and common depreciation expense adjustments related to Accounts 351.1, 351.2 and 351.3.</t>
  </si>
  <si>
    <t>Total Reg. Liability Amort. and G&amp;C Depreciation Expense</t>
  </si>
  <si>
    <t xml:space="preserve"> - Exclude from page 1, line 1a</t>
  </si>
  <si>
    <t>Gross plant, accumulated depreciation and general and common depreciation expense adjustments related to Accounts 351.1, 351.2 and 351.3.</t>
  </si>
  <si>
    <t xml:space="preserve"> Subregion as identified in Attachment XX.</t>
  </si>
  <si>
    <t>Line 6 is only applicable to the MISO system-wide footprint projects approved as part of a Portfolio with benefits spread broadly across the MISO system-wide footprint that terminates in either the MISO Midwest MVP Cost Allocation Subregion or the MISO South MVP Cost Allocation</t>
  </si>
  <si>
    <t xml:space="preserve">Line 4 is only applicable to the MISO Midwest MVP Cost Allocation Subregion projects or MVPs approved prior to May 19, 2022 and located in the MISO Midwest MVP Cost Allocation Subregion. Line 5 is only applicable to the MISO South MVP Cost Allocation Subregion projects. </t>
  </si>
  <si>
    <t>Preliminary Survey and Investigation expense (pre-certification costs) equals the actual value booked, or projected to be booked for forward-looking rate periods, for each of the MISO approved MVP Projects and included in Attachment O - ATCLLC, Page 3, Line 1, Column 5.</t>
  </si>
  <si>
    <t>Preliminary Survey and Investigation expense (pre-certification costs) equals the actual value booked, or projected to be booked for forward-looking rate periods, for all of the MISO approved projects and included in Attachment O - ATCLLC, Page 3, Line 1, Column 5.</t>
  </si>
  <si>
    <r>
      <t xml:space="preserve">Project Depreciation Expense is the actual value booked for the project and included in the Depreciation Expense in Attachment O - </t>
    </r>
    <r>
      <rPr>
        <sz val="12"/>
        <rFont val="Arial"/>
        <family val="2"/>
      </rPr>
      <t>ATCLLC page 3 line 12.</t>
    </r>
  </si>
  <si>
    <t>capital investments required to maintain the facilities to their original capabilities.</t>
  </si>
  <si>
    <t>MISO System-Wide Total MVP Annual Revenue Requirement (Note K)</t>
  </si>
  <si>
    <t>MISO South MVP Cost Allocation Subregion Total MVP Annual Revenue Requirement (Note K)</t>
  </si>
  <si>
    <t>MISO Midwest MVP Cost Allocation Subregion Total MVP Annual Revenue Requirement (Note K)</t>
  </si>
  <si>
    <t>Preliminary Survey and Investigation Expenses</t>
  </si>
  <si>
    <r>
      <t xml:space="preserve">Attachment MM - </t>
    </r>
    <r>
      <rPr>
        <sz val="10"/>
        <rFont val="Arial"/>
        <family val="2"/>
      </rPr>
      <t>ATCLLC</t>
    </r>
  </si>
  <si>
    <t>Total Reg. Liability Amort., and G&amp;C Depreciation Expense</t>
  </si>
  <si>
    <t>REGULATORY LIABILITY AMPORTIZATION AND GENERAL AND COMMON (G&amp;C) DEPRECIATION EXPENSE</t>
  </si>
  <si>
    <t>Line 3 minus Line 3d and 3a1</t>
  </si>
  <si>
    <t>ATCLLC, P 3, line 1 col 5</t>
  </si>
  <si>
    <t>Less Preliminary Survey and Investigation Adjustment (Note I)</t>
  </si>
  <si>
    <t>Preliminary and Survey Expense included in Attach O-</t>
  </si>
  <si>
    <t xml:space="preserve">  Energy Storage Materials &amp; Supplies</t>
  </si>
  <si>
    <t>Energy Storage</t>
  </si>
  <si>
    <t>Software &amp; Comm Equipment - Trans Gross Plant - Forecast</t>
  </si>
  <si>
    <t>Software &amp; Comm Equipment - Trans Acc Dep - Forecast</t>
  </si>
  <si>
    <t>Software &amp; Comm Equipment - Trans Net Plant - Forecast</t>
  </si>
  <si>
    <t>Software &amp; Comm Equipment - Trans Dep Expense - Forecast</t>
  </si>
  <si>
    <t>Projected Monthly Software &amp; Communication Equipment Balances/Activity</t>
  </si>
  <si>
    <t>2025 - $92M/30yr</t>
  </si>
  <si>
    <t>2025 - $58M/30yr</t>
  </si>
  <si>
    <t>LRTP-29: Bluemound - Arcadian - Waukesha - Muskego - Elm Road - Racine (MTEP24)</t>
  </si>
  <si>
    <t>LRTP-30: Columbia - Sugar Creek (MTEP24)</t>
  </si>
  <si>
    <t>LRTP-26: North Rochester - Columbia (MTEP24)</t>
  </si>
  <si>
    <t xml:space="preserve">  Transmission Materials &amp; Supplies  (Note G)</t>
  </si>
  <si>
    <t>TOTAL O&amp;M   (sum lines 1, 3, 5a, 5b, 6, 7 less lines 1a, 2, 4, 5)</t>
  </si>
  <si>
    <t>Attach O - ATCLLC, p 2, lines 2 &amp; 3a col 5 less Note K (Note A)</t>
  </si>
  <si>
    <t>Attach O - ATCLLC, p 2, lines 14 &amp; 15a col 5 less Note K (Note B)</t>
  </si>
  <si>
    <t>Attach O - ATCLLC, p 3, lines 9a, 10 &amp; 11, col 5 plus Note K (Note H)</t>
  </si>
  <si>
    <r>
      <t>Gross Transmission Plant is that identified on page 2 line 2 of Attachment O - ATCLLC and includes any sub lines 2a or 2b etc. and is inclusive of any CWIP included in rate base when authorized by FERC order</t>
    </r>
    <r>
      <rPr>
        <sz val="12"/>
        <rFont val="Arial"/>
        <family val="2"/>
      </rPr>
      <t xml:space="preserve"> less any prefunded AFUDC, if applicable.</t>
    </r>
    <r>
      <rPr>
        <sz val="12"/>
        <rFont val="Arial MT"/>
      </rPr>
      <t xml:space="preserve">  Also, includes Gross Energy Storage Plant identified as a transmission asset on page 2 line 3a of Attachment O - ATCLLC less Note K, line 1 adjustment.</t>
    </r>
  </si>
  <si>
    <r>
      <t xml:space="preserve">Net Transmission Plant is that identified on page 2 line 14 of Attachment O - ATCLLC and includes any sub lines 14a or 14b etc. and is inclusive of any CWIP included in rate base when authorized by FERC order </t>
    </r>
    <r>
      <rPr>
        <sz val="12"/>
        <rFont val="Arial"/>
        <family val="2"/>
      </rPr>
      <t>less any prefunded AFUDC, if applicable.</t>
    </r>
    <r>
      <rPr>
        <sz val="12"/>
        <rFont val="Arial MT"/>
      </rPr>
      <t xml:space="preserve">  Also includes Net Energy Storage Plant identified as a transmission asset on page 2 line 15a of Attachment O - ATCLLC less Note K, line 3 adjustment.</t>
    </r>
  </si>
  <si>
    <t>Project Gross Plant is the total capital investment for the project calculated in the same method as the gross plant value in line 1, but does not exclude project-specific amounts in Accounts 351.1, 351.2, or 351.3 (if applicable), and includes CWIP in rate base less any prefunded AFUDC, if applicable.  This value includes subsequent capital investments required to maintain the facilities to their original capabilities.</t>
  </si>
  <si>
    <t>The Total General and Common Depreciation Expense excludes any depreciation expense directly associated with a project and thereby included in page 2 column 9.  Note the amount reported in Line 9a of Attachment O – ATCLLC is a negative and should be used as a negative number.  Also includes Note K adjustment, line 4.</t>
  </si>
  <si>
    <t>Attach O - ATCLLC, p 3, lines 1 &amp; 5b col 5</t>
  </si>
  <si>
    <t>Attach O - ATCLLC, p 3, lines 9a, 10 &amp; 11, col 5 plus Note L (Note H)</t>
  </si>
  <si>
    <t>Attach O - ATCLLC, p 2, lines 9a, minus 12a col 5 less Note L (Note A)</t>
  </si>
  <si>
    <t>Attach O - ATCLLC, p 2, lines3a col 5 less Note L (Note A)</t>
  </si>
  <si>
    <r>
      <t xml:space="preserve">Gross Transmission Plant is that identified on page 2 lines 2a and 2b of Attachment O- ATCLLC and is inclusive of any CWIP included in rate base.  Gross Transmission Plant also includes Gross Energy Storage Plant identified as a transmission asset on page 2 line 3a of Attachment O-ATCLLC less gross plant adjustment from Note L, line 1.  Transmission Accumulated Depreciation includes Energy Storage Accumulated Depreciation identified as a transmission asset and are </t>
    </r>
    <r>
      <rPr>
        <strike/>
        <sz val="12"/>
        <rFont val="Arial MT"/>
      </rPr>
      <t>is that</t>
    </r>
    <r>
      <rPr>
        <sz val="12"/>
        <rFont val="Arial MT"/>
      </rPr>
      <t xml:space="preserve"> identified on Attachment O-ATCLLC page 2, lines 8a, 8b and 12a and Attachment O-ATCLLC page 2 line 9a, respectively, and comports with this Note A and Note B below.  Note the amount reported in Line 12a of Attachment O – ATCLLC is a negative and subtracting a negative number results in a positive value.  Transmission Accumulated Depreciation on line 1a is reduced by the accumulated depreciation adjustment from Note L, line 2.</t>
    </r>
  </si>
  <si>
    <r>
      <t>Net Transmission and Energy Storage Plant is that identified on page 2 lines 14</t>
    </r>
    <r>
      <rPr>
        <sz val="12"/>
        <rFont val="Arial"/>
        <family val="2"/>
      </rPr>
      <t xml:space="preserve">a, </t>
    </r>
    <r>
      <rPr>
        <strike/>
        <sz val="12"/>
        <rFont val="Arial"/>
        <family val="2"/>
      </rPr>
      <t xml:space="preserve">and </t>
    </r>
    <r>
      <rPr>
        <sz val="12"/>
        <rFont val="Arial"/>
        <family val="2"/>
      </rPr>
      <t>14b and 15a of Attachment O - ATCLLC and is inclusive of any CWIP included in rate base.</t>
    </r>
  </si>
  <si>
    <t>Project Gross Plant is the total capital investment for the project calculated in the same method as the gross plant value in line 1, but does not exclude project-specific amounts in Accounts 351.1, 351.2, or 351.3 (if applicable), and includes CWIP in rate base.  This value includes subsequent</t>
  </si>
  <si>
    <t>The Total General and Common Depreciation Expense excludes any depreciation expense directly associated with a project and thereby included in page 2 column 13.  Note the amount reported in Line 9a of Attachment O – ATCLLC is a negative and should be used as a
negative number.  Also includes depreciation and amortization adjustment from Note L, line 4.</t>
  </si>
  <si>
    <t>J1304 J1305 J1460 MPFCA Network Upgrades (MTEP23)</t>
  </si>
  <si>
    <t>Elm Road Generation POI Relocation Project (MTEP24)</t>
  </si>
  <si>
    <t>26146-26147, 25410, 25403-08</t>
  </si>
  <si>
    <t>Interconnection of a 250 MW solar farm located in Walworth County, Wisconsin.</t>
  </si>
  <si>
    <t>25363-64, 25359-60</t>
  </si>
  <si>
    <t>The purpose of the project is to construct a 345-138 kV substation to the east of the 138kV Paris substation.</t>
  </si>
  <si>
    <t>Each individual Interconnection Customer is responsible for a proportionate percentage share of the Common Use Upgrades (CUU) estimated cost based on its proportionate impact on the constrained facilities causing the need for the CUU.     -J1042 is seeking interconnection service for 180 MW  -J1188 is seeking interconnection service for 50 MW</t>
  </si>
  <si>
    <t>Wind Turbine generating Facility located in Grant County, Wisconsin. J1374 Ebenezer SS Network Upgrades</t>
  </si>
  <si>
    <t>28374-77</t>
  </si>
  <si>
    <t>Solar generating facility in Green County, Wisconsin.</t>
  </si>
  <si>
    <t>50062-65</t>
  </si>
  <si>
    <t>Solar farm in Rock County, Wisconsin.</t>
  </si>
  <si>
    <t>Installation of a 20MW battery storage project at the J886 Generating Facility.</t>
  </si>
  <si>
    <t>UNIG52 (138KV) Line Reconductor</t>
  </si>
  <si>
    <t>Driven by WEC’s Generating Facility Modification Request to relocate Elm Road generation POIs, this project will expand Elm Road 345 kV substation breaker and a half configuration with three new rungs and six new 345kV breakers.</t>
  </si>
  <si>
    <t>LRTP-26: North Rochester - Columbia
Install single circuit 765kV transmission line from the existing North Rochester Substation to the existing Columbia Substation.</t>
  </si>
  <si>
    <t xml:space="preserve">50996-51025 </t>
  </si>
  <si>
    <t>LRTP-29: Bluemound - Arcadian - Waukesha - Muskego - Elm Road - Racine
Install single circuit 345kV transmission line from the existing Bluemound Substation to the existing Arcadian Substation, to the existing Muskego Dam Road Substation, to the existing Elm Road Substation, to the existing Racine Substation. Install double circuit 138kV transmission line from the existing Arcadian Substation to the existing Waukesha Substation</t>
  </si>
  <si>
    <t>51026-51027</t>
  </si>
  <si>
    <t xml:space="preserve">LRTP-30: Columbia - Sugar Creek
Install single circuit 765kV transmission line from the existing Columbia Substation to the existing Sugar Creek Substation.	</t>
  </si>
  <si>
    <t>J1305 Norwegian CreekSS Netwrk Upgr (MTEP23)</t>
  </si>
  <si>
    <t>1ww</t>
  </si>
  <si>
    <t>1xx</t>
  </si>
  <si>
    <t>J1304 Big Hill Park Network Upgrade (MTEP24)</t>
  </si>
  <si>
    <t>J1042 J1188 MPFCA Network Upgrades (MTEP22)</t>
  </si>
  <si>
    <t>J850 North Creek Network Upgrade (MTEP20)</t>
  </si>
  <si>
    <t>J1374 Ebenezer SS Network Upgrades (MTEP23)</t>
  </si>
  <si>
    <r>
      <rPr>
        <b/>
        <vertAlign val="superscript"/>
        <sz val="11"/>
        <color theme="1"/>
        <rFont val="Calibri"/>
        <family val="2"/>
        <scheme val="minor"/>
      </rPr>
      <t>5</t>
    </r>
    <r>
      <rPr>
        <sz val="11"/>
        <color theme="1"/>
        <rFont val="Calibri"/>
        <family val="2"/>
        <scheme val="minor"/>
      </rPr>
      <t xml:space="preserve">  Order 898 accounting changes (such as 351.1, 351.2 and 351.3) should be included the balances reported for each JPZ</t>
    </r>
  </si>
  <si>
    <r>
      <rPr>
        <vertAlign val="superscript"/>
        <sz val="11"/>
        <color theme="1"/>
        <rFont val="Calibri"/>
        <family val="2"/>
        <scheme val="minor"/>
      </rPr>
      <t>4</t>
    </r>
    <r>
      <rPr>
        <sz val="11"/>
        <color theme="1"/>
        <rFont val="Calibri"/>
        <family val="2"/>
        <scheme val="minor"/>
      </rPr>
      <t xml:space="preserve"> Cooperative (</t>
    </r>
    <r>
      <rPr>
        <b/>
        <sz val="11"/>
        <color theme="1"/>
        <rFont val="Calibri"/>
        <family val="2"/>
        <scheme val="minor"/>
      </rPr>
      <t>SME</t>
    </r>
    <r>
      <rPr>
        <sz val="11"/>
        <color theme="1"/>
        <rFont val="Calibri"/>
        <family val="2"/>
        <scheme val="minor"/>
      </rPr>
      <t>) has load in Southern Company that is included in the Cooperative Energy TPZ for MISO Transmission Rate calculation per an approved NITSA</t>
    </r>
  </si>
  <si>
    <r>
      <rPr>
        <b/>
        <vertAlign val="superscript"/>
        <sz val="11"/>
        <color theme="1"/>
        <rFont val="Calibri"/>
        <family val="2"/>
        <scheme val="minor"/>
      </rPr>
      <t>3</t>
    </r>
    <r>
      <rPr>
        <sz val="11"/>
        <color theme="1"/>
        <rFont val="Calibri"/>
        <family val="2"/>
        <scheme val="minor"/>
      </rPr>
      <t xml:space="preserve">  TOs who have load and/or transmission assets in multiple zones should enter their values for each TPZ</t>
    </r>
  </si>
  <si>
    <r>
      <rPr>
        <b/>
        <vertAlign val="superscript"/>
        <sz val="11"/>
        <rFont val="Calibri"/>
        <family val="2"/>
        <scheme val="minor"/>
      </rPr>
      <t>2</t>
    </r>
    <r>
      <rPr>
        <sz val="11"/>
        <rFont val="Calibri"/>
        <family val="2"/>
        <scheme val="minor"/>
      </rPr>
      <t xml:space="preserve">  For TOs that construct a Targeted Market Efficiency Project (TMEP) or Interregional Market Efficiency Project (IMEP), please also include the TMEP  Gross Trans Plant from Attach GG, page 3, column 3 and/or the IMEP Gross Trans Plant from Attach GG, page 4, column 3.</t>
    </r>
  </si>
  <si>
    <t>Applicable Trans Pricing Zones</t>
  </si>
  <si>
    <t>Please select from dropdown</t>
  </si>
  <si>
    <t>(Q)</t>
  </si>
  <si>
    <t>(P)</t>
  </si>
  <si>
    <t>(O) = C-G-K-L-M-N</t>
  </si>
  <si>
    <t>(M)</t>
  </si>
  <si>
    <t>FOR MISO USE ONLY</t>
  </si>
  <si>
    <t>Ann Trans Revenue Req (Att O, pg 1, line 7)</t>
  </si>
  <si>
    <r>
      <t xml:space="preserve">Divisor, Att O, pg 1, line 15 </t>
    </r>
    <r>
      <rPr>
        <b/>
        <vertAlign val="superscript"/>
        <sz val="11"/>
        <rFont val="Calibri"/>
        <family val="2"/>
        <scheme val="minor"/>
      </rPr>
      <t>3 or 4</t>
    </r>
  </si>
  <si>
    <t>Gross Trans Plant Related to Network Upgrades Recovered through FSAs</t>
  </si>
  <si>
    <t>Gross Trans Plant Related to JTIQ Upgrades</t>
  </si>
  <si>
    <r>
      <t xml:space="preserve">Gross Trans Plant Attach GG, pgs 2 &amp; 3, total of col 3 </t>
    </r>
    <r>
      <rPr>
        <b/>
        <vertAlign val="superscript"/>
        <sz val="11"/>
        <rFont val="Calibri"/>
        <family val="2"/>
        <scheme val="minor"/>
      </rPr>
      <t>2</t>
    </r>
  </si>
  <si>
    <r>
      <t>Allocated Gross Trans Plant (Att O, pg 2, ln 2, col 5)</t>
    </r>
    <r>
      <rPr>
        <b/>
        <vertAlign val="superscript"/>
        <sz val="11"/>
        <rFont val="Calibri"/>
        <family val="2"/>
        <scheme val="minor"/>
      </rPr>
      <t xml:space="preserve"> 1 and 5</t>
    </r>
  </si>
  <si>
    <t>Trans Pricing Zone Name</t>
  </si>
  <si>
    <t>TO Name</t>
  </si>
  <si>
    <t>TO ID</t>
  </si>
  <si>
    <t>TPZ Number</t>
  </si>
  <si>
    <t>Less Gross Trans Plant, Attach GG, page 2 &amp; 3, col 3</t>
  </si>
  <si>
    <r>
      <t>Column Q  - Enter the annual transmission revenue requirement from Attachment O, page 1, line 7 in cell W36.  The template will calculate the revenue requirement for each TPZ that you have</t>
    </r>
    <r>
      <rPr>
        <strike/>
        <sz val="11"/>
        <rFont val="Calibri"/>
        <family val="2"/>
        <scheme val="minor"/>
      </rPr>
      <t xml:space="preserve"> </t>
    </r>
    <r>
      <rPr>
        <sz val="11"/>
        <rFont val="Calibri"/>
        <family val="2"/>
        <scheme val="minor"/>
      </rPr>
      <t>Transmission Assets in.</t>
    </r>
  </si>
  <si>
    <t>Column P  - TOs who have load in multiple TPZs should enter a divisor from Attach O, page 1, line 15 for each TPZ that you have Load in</t>
  </si>
  <si>
    <t>Column N - if applicable, for each Facilities Service Agreement (FSA) enter the Initial Network Upgrade Capital Cost from Line 19 of Exhibit I, of the FSA, for each TPZ</t>
  </si>
  <si>
    <t>Column M - if applicable, for each JTIQ Upgrade enter the Net JTIQ Upgrade Capital Costs from Attachment JJJ, Exhibit I, Line 31 for each TPZ</t>
  </si>
  <si>
    <r>
      <t>Column L - applicable to</t>
    </r>
    <r>
      <rPr>
        <b/>
        <sz val="11"/>
        <rFont val="Calibri"/>
        <family val="2"/>
        <scheme val="minor"/>
      </rPr>
      <t xml:space="preserve"> </t>
    </r>
    <r>
      <rPr>
        <b/>
        <u/>
        <sz val="11"/>
        <rFont val="Calibri"/>
        <family val="2"/>
        <scheme val="minor"/>
      </rPr>
      <t>Minnesota Power (MP)</t>
    </r>
    <r>
      <rPr>
        <sz val="11"/>
        <rFont val="Calibri"/>
        <family val="2"/>
        <scheme val="minor"/>
      </rPr>
      <t xml:space="preserve"> only - enter the total Gross Transmission Plant from Attachment ZZ, pg 2, Col 3, </t>
    </r>
    <r>
      <rPr>
        <b/>
        <u/>
        <sz val="11"/>
        <rFont val="Calibri"/>
        <family val="2"/>
        <scheme val="minor"/>
      </rPr>
      <t>AC system only</t>
    </r>
  </si>
  <si>
    <r>
      <t xml:space="preserve">Column F - if applicable, enter AFUDC excluded from Attach GG, pages 2 and 3, Column 3 for each TPZ.  Enter this amount as a </t>
    </r>
    <r>
      <rPr>
        <b/>
        <sz val="11"/>
        <rFont val="Calibri"/>
        <family val="2"/>
        <scheme val="minor"/>
      </rPr>
      <t>positive</t>
    </r>
    <r>
      <rPr>
        <sz val="11"/>
        <rFont val="Calibri"/>
        <family val="2"/>
        <scheme val="minor"/>
      </rPr>
      <t>.</t>
    </r>
  </si>
  <si>
    <r>
      <t xml:space="preserve">   Column E - if applicable, enter CWIP included in Attach GG, page 2, Column 3 for each TPZ.  Enter this amount as a </t>
    </r>
    <r>
      <rPr>
        <b/>
        <sz val="11"/>
        <rFont val="Calibri"/>
        <family val="2"/>
        <scheme val="minor"/>
      </rPr>
      <t>negative</t>
    </r>
    <r>
      <rPr>
        <sz val="11"/>
        <rFont val="Calibri"/>
        <family val="2"/>
        <scheme val="minor"/>
      </rPr>
      <t>.  Currently there should be no CWIP from Attach GG, page 3 (TMEPs)</t>
    </r>
  </si>
  <si>
    <r>
      <t xml:space="preserve">Column D - if applicable, enter total Gross Transmission Plant from Attachment GG, pages 2 </t>
    </r>
    <r>
      <rPr>
        <b/>
        <sz val="11"/>
        <rFont val="Calibri"/>
        <family val="2"/>
        <scheme val="minor"/>
      </rPr>
      <t>and</t>
    </r>
    <r>
      <rPr>
        <sz val="11"/>
        <rFont val="Calibri"/>
        <family val="2"/>
        <scheme val="minor"/>
      </rPr>
      <t xml:space="preserve"> 3, Column 3 for each TPZ</t>
    </r>
  </si>
  <si>
    <t>Column B - TPZ(s) name where transmission assets are located.  These are the only TPZ(s) where the TO owns transmission assets.  If revisions necessary, contact MISO Tariff Pricing.</t>
  </si>
  <si>
    <t>TOs with load and/or transmission assets in multiple Transmission Pricing Zones (TPZs) must enter amount applicable to each TPZ on a separate line</t>
  </si>
  <si>
    <r>
      <t xml:space="preserve">Cells shaded in yellow are inputs.  </t>
    </r>
    <r>
      <rPr>
        <b/>
        <sz val="11"/>
        <color rgb="FFFF0000"/>
        <rFont val="Calibri"/>
        <family val="2"/>
        <scheme val="minor"/>
      </rPr>
      <t>If a cell is not shaded yellow, please do not use it for input</t>
    </r>
  </si>
  <si>
    <t>Item (1) above, is calculated using Gross Transmission plant reported on Attachment O, page 2, line 2, column 5 less Gross Transmission plant included in Attachments GG, MM, and ZZ pages 2 &amp; 3, column 3.  MISO requests TOs complete the following brief template to clearly show the calculation of Gross Transmission plant used for Schedule 7 and 8 Through and Out Revenue distribution.</t>
  </si>
  <si>
    <t>2A</t>
  </si>
  <si>
    <t>ATCLLC Madison G&amp;E</t>
  </si>
  <si>
    <t>2B</t>
  </si>
  <si>
    <t>ATCLLC Wisconsin Public Service</t>
  </si>
  <si>
    <t>2C</t>
  </si>
  <si>
    <t>ATCLLC Wisconsin P&amp;L</t>
  </si>
  <si>
    <t>2D</t>
  </si>
  <si>
    <t>ATCLLC Wisconsin Energy</t>
  </si>
  <si>
    <t>2E</t>
  </si>
  <si>
    <t>ATCLLC UPPC</t>
  </si>
  <si>
    <t>Included on Attach GG (Yes/No)</t>
  </si>
  <si>
    <t xml:space="preserve"> J1101 Kewaunee SS Network Upgrades (MTEP22)</t>
  </si>
  <si>
    <t xml:space="preserve"> assumes 2.1% load growth pending receipt of actual load data</t>
  </si>
  <si>
    <t>2026 Projected Attachment O</t>
  </si>
  <si>
    <t>2026 Projected</t>
  </si>
  <si>
    <t>2024 RECB True Up Payable (Over Collection)</t>
  </si>
  <si>
    <t>Interest Accrual booked from July 2024 thru June 2026</t>
  </si>
  <si>
    <t>First Quarter 2024</t>
  </si>
  <si>
    <t>Second Quarter 2024</t>
  </si>
  <si>
    <t>Third Quarter 2024</t>
  </si>
  <si>
    <t>Fourth Quarter 2024</t>
  </si>
  <si>
    <t>First Quarter 2025</t>
  </si>
  <si>
    <t>Second Quarter 2025</t>
  </si>
  <si>
    <t>Third Quarter 2025</t>
  </si>
  <si>
    <t>2024 MVP True Up Receivable (Under Collection)</t>
  </si>
  <si>
    <t>Weighted Avg. ST Debt - Jan 2024</t>
  </si>
  <si>
    <t>Weighted Avg. ST Debt - Feb 2024</t>
  </si>
  <si>
    <t>Weighted Avg. ST Debt - Mar 2024</t>
  </si>
  <si>
    <t>Weighted Avg. ST Debt - Apr 2024</t>
  </si>
  <si>
    <t>Weighted Avg. ST Debt - May 2024</t>
  </si>
  <si>
    <t>Weighted Avg. ST Debt - Jun 2024</t>
  </si>
  <si>
    <t>Weighted Avg. ST Debt - Jul 2024</t>
  </si>
  <si>
    <t>Weighted Avg. ST Debt - Aug 2024</t>
  </si>
  <si>
    <t>Weighted Avg. ST Debt - Sep 2024</t>
  </si>
  <si>
    <t>Weighted Avg. ST Debt - Oct 2024</t>
  </si>
  <si>
    <t>Weighted Avg. ST Debt - Nov 2024</t>
  </si>
  <si>
    <t>Weighted Avg. ST Debt - Dec 2024</t>
  </si>
  <si>
    <t>Weighted Avg. ST Debt - Jan 2025</t>
  </si>
  <si>
    <t>Weighted Avg. ST Debt - Feb 2025</t>
  </si>
  <si>
    <t>Weighted Avg. ST Debt - Mar 2025</t>
  </si>
  <si>
    <t>Weighted Avg. ST Debt - Apr 2025</t>
  </si>
  <si>
    <t>Weighted Avg. ST Debt - May 2025</t>
  </si>
  <si>
    <t>Weighted Avg. ST Debt - Jun 2025</t>
  </si>
  <si>
    <t>Weighted Avg. ST Debt - Jul 2025</t>
  </si>
  <si>
    <t>Weighted Avg. ST Debt - Aug 2025</t>
  </si>
  <si>
    <t>Weighted Avg. ST Debt - Sep 2025</t>
  </si>
  <si>
    <t>Rate Year 2026</t>
  </si>
  <si>
    <t>2024 Network True Up Payable (Over Collection)</t>
  </si>
  <si>
    <t>2024 Schedule 1 True Up Receivable (Under Collection)</t>
  </si>
  <si>
    <t>For the 12 months ended 12/31/26</t>
  </si>
  <si>
    <t>2025 - $100M</t>
  </si>
  <si>
    <t>2026 - $300M</t>
  </si>
  <si>
    <t>2026 - $100M(1)</t>
  </si>
  <si>
    <t>2026 - $100M(2)</t>
  </si>
  <si>
    <t>2026 - $100M(3)</t>
  </si>
  <si>
    <t>Attach GG (pg. 2, Note K 1-4)</t>
  </si>
  <si>
    <t>Attach MM (pg. 2, Note L 1-4)</t>
  </si>
  <si>
    <t>For  the 12 months ended 12/31/2026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</si>
</sst>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0.00000"/>
    <numFmt numFmtId="166" formatCode="#,##0.000"/>
    <numFmt numFmtId="167" formatCode="&quot;$&quot;#,##0.000"/>
    <numFmt numFmtId="168" formatCode="0.0000"/>
    <numFmt numFmtId="169" formatCode="#,##0.00000"/>
    <numFmt numFmtId="170" formatCode="_(* #,##0_);_(* \(#,##0\);_(* &quot;-&quot;??_);_(@_)"/>
    <numFmt numFmtId="171" formatCode="0.000%"/>
    <numFmt numFmtId="172" formatCode="#,##0.0"/>
    <numFmt numFmtId="173" formatCode="#,##0.0000"/>
    <numFmt numFmtId="174" formatCode="&quot;$&quot;#,##0"/>
    <numFmt numFmtId="175" formatCode="_(&quot;$&quot;* #,##0_);_(&quot;$&quot;* \(#,##0\);_(&quot;$&quot;* &quot;-&quot;??_);_(@_)"/>
    <numFmt numFmtId="176" formatCode="0.00000%"/>
    <numFmt numFmtId="177" formatCode="0.0000%"/>
    <numFmt numFmtId="178" formatCode="0.0000000%"/>
    <numFmt numFmtId="179" formatCode="0.000000000%"/>
    <numFmt numFmtId="180" formatCode="0.0%"/>
    <numFmt numFmtId="181" formatCode="#,##0_);[Red]\(#,##0\);&quot; &quot;"/>
    <numFmt numFmtId="182" formatCode="#,##0.000000000_);[Red]\(#,##0.000000000\);&quot; &quot;"/>
    <numFmt numFmtId="183" formatCode="#,##0.0000000_);[Red]\(#,##0.0000000\);&quot; &quot;"/>
    <numFmt numFmtId="184" formatCode="&quot;$&quot;#,##0;\(&quot;$&quot;#,##0\)"/>
    <numFmt numFmtId="185" formatCode="0_);\(0\)"/>
    <numFmt numFmtId="186" formatCode="m/d/yyyy;@"/>
    <numFmt numFmtId="187" formatCode="m/d/yy;@"/>
    <numFmt numFmtId="188" formatCode="[$-409]mmm\-yy;@"/>
    <numFmt numFmtId="189" formatCode="_(* #,##0.00000_);_(* \(#,##0.00000\);_(* &quot;-&quot;??_);_(@_)"/>
    <numFmt numFmtId="190" formatCode="_(* #,##0.0000000_);_(* \(#,##0.0000000\);_(* &quot;-&quot;??_);_(@_)"/>
    <numFmt numFmtId="191" formatCode="_(* #,##0.00_);_(* \(#,##0.00\);_(* &quot;-&quot;_);_(@_)"/>
    <numFmt numFmtId="192" formatCode="[$-409]mmmm\ yyyy;@"/>
    <numFmt numFmtId="193" formatCode="[$-409]mmmm;@"/>
    <numFmt numFmtId="194" formatCode="mmm\ \-\ yyyy"/>
  </numFmts>
  <fonts count="96">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2"/>
      <name val="Times New Roman"/>
      <family val="1"/>
    </font>
    <font>
      <sz val="10"/>
      <name val="Arial"/>
      <family val="2"/>
    </font>
    <font>
      <sz val="12"/>
      <name val="Arial MT"/>
    </font>
    <font>
      <b/>
      <i/>
      <sz val="12"/>
      <name val="Times New Roman"/>
      <family val="1"/>
    </font>
    <font>
      <b/>
      <sz val="12"/>
      <name val="Times New Roman"/>
      <family val="1"/>
    </font>
    <font>
      <b/>
      <sz val="12"/>
      <color indexed="10"/>
      <name val="Times New Roman"/>
      <family val="1"/>
    </font>
    <font>
      <sz val="12"/>
      <color rgb="FFFF0000"/>
      <name val="Times New Roman"/>
      <family val="1"/>
    </font>
    <font>
      <strike/>
      <sz val="12"/>
      <name val="Times New Roman"/>
      <family val="1"/>
    </font>
    <font>
      <sz val="12"/>
      <color indexed="10"/>
      <name val="Times New Roman"/>
      <family val="1"/>
    </font>
    <font>
      <strike/>
      <sz val="12"/>
      <color indexed="10"/>
      <name val="Times New Roman"/>
      <family val="1"/>
    </font>
    <font>
      <sz val="10"/>
      <color theme="1"/>
      <name val="Arial"/>
      <family val="2"/>
    </font>
    <font>
      <b/>
      <sz val="10"/>
      <name val="Arial"/>
      <family val="2"/>
    </font>
    <font>
      <b/>
      <sz val="10"/>
      <color rgb="FF0000FF"/>
      <name val="Arial"/>
      <family val="2"/>
    </font>
    <font>
      <sz val="10"/>
      <color rgb="FF0000FF"/>
      <name val="Arial"/>
      <family val="2"/>
    </font>
    <font>
      <b/>
      <sz val="12"/>
      <name val="Arial MT"/>
    </font>
    <font>
      <b/>
      <sz val="10"/>
      <color theme="1"/>
      <name val="Arial"/>
      <family val="2"/>
    </font>
    <font>
      <i/>
      <sz val="10"/>
      <color rgb="FFFF0000"/>
      <name val="Arial"/>
      <family val="2"/>
    </font>
    <font>
      <u/>
      <sz val="10"/>
      <name val="Arial"/>
      <family val="2"/>
    </font>
    <font>
      <sz val="10"/>
      <color theme="5" tint="-0.249977111117893"/>
      <name val="Arial"/>
      <family val="2"/>
    </font>
    <font>
      <b/>
      <sz val="10"/>
      <color theme="3" tint="0.39997558519241921"/>
      <name val="Arial"/>
      <family val="2"/>
    </font>
    <font>
      <b/>
      <u/>
      <sz val="10"/>
      <name val="Arial"/>
      <family val="2"/>
    </font>
    <font>
      <sz val="11"/>
      <color rgb="FFFF0000"/>
      <name val="Calibri"/>
      <family val="2"/>
      <scheme val="minor"/>
    </font>
    <font>
      <sz val="10"/>
      <name val="Arial MT"/>
    </font>
    <font>
      <b/>
      <sz val="12"/>
      <name val="Arial"/>
      <family val="2"/>
    </font>
    <font>
      <sz val="12"/>
      <name val="Arial"/>
      <family val="2"/>
    </font>
    <font>
      <sz val="11"/>
      <name val="Calibri"/>
      <family val="2"/>
      <scheme val="minor"/>
    </font>
    <font>
      <b/>
      <u/>
      <sz val="12"/>
      <name val="Arial MT"/>
    </font>
    <font>
      <sz val="10"/>
      <name val="Arial Narrow"/>
      <family val="2"/>
    </font>
    <font>
      <b/>
      <sz val="10"/>
      <color indexed="9"/>
      <name val="Arial MT"/>
    </font>
    <font>
      <b/>
      <sz val="10"/>
      <color indexed="9"/>
      <name val="Arial"/>
      <family val="2"/>
    </font>
    <font>
      <sz val="14"/>
      <name val="Arial"/>
      <family val="2"/>
    </font>
    <font>
      <b/>
      <sz val="14"/>
      <name val="Arial"/>
      <family val="2"/>
    </font>
    <font>
      <b/>
      <sz val="10"/>
      <name val="Arial Narrow"/>
      <family val="2"/>
    </font>
    <font>
      <sz val="12"/>
      <color indexed="10"/>
      <name val="Arial MT"/>
    </font>
    <font>
      <sz val="12"/>
      <color indexed="10"/>
      <name val="Arial"/>
      <family val="2"/>
    </font>
    <font>
      <u/>
      <sz val="12"/>
      <name val="Arial"/>
      <family val="2"/>
    </font>
    <font>
      <sz val="12"/>
      <color indexed="17"/>
      <name val="Arial MT"/>
    </font>
    <font>
      <b/>
      <i/>
      <sz val="10"/>
      <color indexed="10"/>
      <name val="Arial"/>
      <family val="2"/>
    </font>
    <font>
      <i/>
      <sz val="10"/>
      <name val="Arial"/>
      <family val="2"/>
    </font>
    <font>
      <sz val="10"/>
      <color rgb="FFFF0000"/>
      <name val="Arial"/>
      <family val="2"/>
    </font>
    <font>
      <b/>
      <i/>
      <sz val="10"/>
      <name val="Arial"/>
      <family val="2"/>
    </font>
    <font>
      <sz val="11"/>
      <color theme="1"/>
      <name val="Times New Roman"/>
      <family val="2"/>
    </font>
    <font>
      <i/>
      <sz val="11"/>
      <color rgb="FFFF0000"/>
      <name val="Times New Roman"/>
      <family val="1"/>
    </font>
    <font>
      <b/>
      <sz val="11"/>
      <color theme="1"/>
      <name val="Times New Roman"/>
      <family val="1"/>
    </font>
    <font>
      <b/>
      <sz val="14"/>
      <color theme="1"/>
      <name val="Times New Roman"/>
      <family val="1"/>
    </font>
    <font>
      <sz val="11"/>
      <color theme="1"/>
      <name val="Times New Roman"/>
      <family val="1"/>
    </font>
    <font>
      <sz val="11"/>
      <color theme="0"/>
      <name val="Calibri"/>
      <family val="2"/>
      <scheme val="minor"/>
    </font>
    <font>
      <b/>
      <vertAlign val="superscript"/>
      <sz val="12"/>
      <name val="Arial MT"/>
    </font>
    <font>
      <vertAlign val="superscript"/>
      <sz val="12"/>
      <name val="Arial"/>
      <family val="2"/>
    </font>
    <font>
      <sz val="10"/>
      <color theme="0"/>
      <name val="Arial MT"/>
    </font>
    <font>
      <sz val="12"/>
      <color rgb="FFFF0000"/>
      <name val="Arial MT"/>
    </font>
    <font>
      <u/>
      <sz val="11"/>
      <color theme="1"/>
      <name val="Calibri"/>
      <family val="2"/>
      <scheme val="minor"/>
    </font>
    <font>
      <vertAlign val="superscript"/>
      <sz val="12"/>
      <name val="Arial MT"/>
    </font>
    <font>
      <b/>
      <sz val="11"/>
      <name val="Calibri"/>
      <family val="2"/>
      <scheme val="minor"/>
    </font>
    <font>
      <b/>
      <sz val="10"/>
      <name val="Arial MT"/>
    </font>
    <font>
      <sz val="10"/>
      <name val="Arial"/>
      <family val="2"/>
    </font>
    <font>
      <sz val="11"/>
      <color rgb="FF0000CC"/>
      <name val="Calibri"/>
      <family val="2"/>
      <scheme val="minor"/>
    </font>
    <font>
      <b/>
      <vertAlign val="superscript"/>
      <sz val="11"/>
      <color theme="1"/>
      <name val="Calibri"/>
      <family val="2"/>
      <scheme val="minor"/>
    </font>
    <font>
      <b/>
      <vertAlign val="superscript"/>
      <sz val="11"/>
      <name val="Calibri"/>
      <family val="2"/>
      <scheme val="minor"/>
    </font>
    <font>
      <b/>
      <sz val="11"/>
      <color rgb="FFFF0000"/>
      <name val="Calibri"/>
      <family val="2"/>
      <scheme val="minor"/>
    </font>
    <font>
      <b/>
      <u/>
      <sz val="11"/>
      <name val="Calibri"/>
      <family val="2"/>
      <scheme val="minor"/>
    </font>
    <font>
      <b/>
      <sz val="16"/>
      <color theme="1"/>
      <name val="Calibri"/>
      <family val="2"/>
      <scheme val="minor"/>
    </font>
    <font>
      <sz val="10"/>
      <name val="Arial"/>
      <family val="2"/>
    </font>
    <font>
      <sz val="12"/>
      <color rgb="FF0070C0"/>
      <name val="Times New Roman"/>
      <family val="1"/>
    </font>
    <font>
      <i/>
      <sz val="11"/>
      <color rgb="FFFF0000"/>
      <name val="Calibri"/>
      <family val="2"/>
      <scheme val="minor"/>
    </font>
    <font>
      <b/>
      <sz val="10"/>
      <color theme="0"/>
      <name val="Arial"/>
      <family val="2"/>
    </font>
    <font>
      <sz val="10"/>
      <name val="Arial"/>
      <family val="2"/>
    </font>
    <font>
      <sz val="8"/>
      <name val="Calibri"/>
      <family val="2"/>
      <scheme val="minor"/>
    </font>
    <font>
      <sz val="12"/>
      <color theme="1"/>
      <name val="Times New Roman"/>
      <family val="1"/>
    </font>
    <font>
      <b/>
      <sz val="12"/>
      <color rgb="FF0070C0"/>
      <name val="Times New Roman"/>
      <family val="1"/>
    </font>
    <font>
      <b/>
      <sz val="12"/>
      <color rgb="FFFF0000"/>
      <name val="Times New Roman"/>
      <family val="1"/>
    </font>
    <font>
      <sz val="9"/>
      <name val="Calibri"/>
      <family val="2"/>
    </font>
    <font>
      <sz val="9"/>
      <name val="Calibri"/>
      <family val="2"/>
    </font>
    <font>
      <sz val="9"/>
      <name val="Calibri"/>
      <family val="2"/>
    </font>
    <font>
      <sz val="9"/>
      <name val="Calibri"/>
      <family val="2"/>
    </font>
    <font>
      <sz val="9"/>
      <name val="Calibri"/>
      <family val="2"/>
    </font>
    <font>
      <sz val="11"/>
      <color indexed="8"/>
      <name val="Calibri"/>
      <family val="2"/>
      <scheme val="minor"/>
    </font>
    <font>
      <sz val="9"/>
      <name val="Calibri"/>
      <family val="2"/>
    </font>
    <font>
      <b/>
      <sz val="8"/>
      <color rgb="FFFF0000"/>
      <name val="Arial"/>
      <family val="2"/>
    </font>
    <font>
      <i/>
      <sz val="9"/>
      <name val="Calibri"/>
      <family val="2"/>
    </font>
    <font>
      <b/>
      <i/>
      <u/>
      <sz val="10"/>
      <name val="Arial"/>
      <family val="2"/>
    </font>
    <font>
      <sz val="10"/>
      <name val="Arial"/>
      <family val="2"/>
    </font>
    <font>
      <sz val="12"/>
      <color rgb="FF7030A0"/>
      <name val="Times New Roman"/>
      <family val="1"/>
    </font>
    <font>
      <strike/>
      <sz val="12"/>
      <color rgb="FFFF0000"/>
      <name val="Times New Roman"/>
      <family val="1"/>
    </font>
    <font>
      <sz val="10"/>
      <color rgb="FFFF0000"/>
      <name val="Arial MT"/>
    </font>
    <font>
      <sz val="12"/>
      <color rgb="FFFF0000"/>
      <name val="Arial"/>
      <family val="2"/>
    </font>
    <font>
      <b/>
      <sz val="12"/>
      <color rgb="FFFF0000"/>
      <name val="Arial MT"/>
    </font>
    <font>
      <sz val="12"/>
      <color theme="1"/>
      <name val="Calibri"/>
      <family val="2"/>
      <scheme val="minor"/>
    </font>
    <font>
      <strike/>
      <sz val="12"/>
      <name val="Arial"/>
      <family val="2"/>
    </font>
    <font>
      <strike/>
      <sz val="12"/>
      <name val="Arial MT"/>
    </font>
    <font>
      <vertAlign val="superscript"/>
      <sz val="11"/>
      <color theme="1"/>
      <name val="Calibri"/>
      <family val="2"/>
      <scheme val="minor"/>
    </font>
    <font>
      <strike/>
      <sz val="11"/>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indexed="43"/>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indexed="47"/>
        <bgColor indexed="64"/>
      </patternFill>
    </fill>
    <fill>
      <patternFill patternType="solid">
        <fgColor indexed="9"/>
        <bgColor indexed="64"/>
      </patternFill>
    </fill>
    <fill>
      <patternFill patternType="solid">
        <fgColor indexed="8"/>
        <bgColor indexed="64"/>
      </patternFill>
    </fill>
    <fill>
      <patternFill patternType="solid">
        <fgColor theme="8"/>
      </patternFill>
    </fill>
    <fill>
      <patternFill patternType="solid">
        <fgColor rgb="FF92D050"/>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4.9989318521683403E-2"/>
        <bgColor indexed="64"/>
      </patternFill>
    </fill>
    <fill>
      <patternFill patternType="none">
        <fgColor rgb="FFE2EFDA"/>
      </patternFill>
    </fill>
    <fill>
      <patternFill patternType="none">
        <fgColor rgb="FFC6E0B4"/>
      </patternFill>
    </fill>
    <fill>
      <patternFill patternType="solid">
        <fgColor theme="5" tint="0.79998168889431442"/>
        <bgColor indexed="64"/>
      </patternFill>
    </fill>
    <fill>
      <patternFill patternType="darkGray">
        <bgColor theme="7" tint="0.59999389629810485"/>
      </patternFill>
    </fill>
  </fills>
  <borders count="36">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47">
    <xf numFmtId="0" fontId="0" fillId="0" borderId="0"/>
    <xf numFmtId="43" fontId="5" fillId="0" borderId="0" applyFont="0" applyFill="0" applyBorder="0" applyAlignment="0" applyProtection="0"/>
    <xf numFmtId="9" fontId="1" fillId="0" borderId="0" applyFont="0" applyFill="0" applyBorder="0" applyAlignment="0" applyProtection="0"/>
    <xf numFmtId="0" fontId="3" fillId="0" borderId="0"/>
    <xf numFmtId="0" fontId="5" fillId="0" borderId="0"/>
    <xf numFmtId="0" fontId="5" fillId="0" borderId="0"/>
    <xf numFmtId="0" fontId="5" fillId="0" borderId="0"/>
    <xf numFmtId="164" fontId="6" fillId="0" borderId="0" applyProtection="0"/>
    <xf numFmtId="164" fontId="6" fillId="0" borderId="0" applyProtection="0"/>
    <xf numFmtId="0" fontId="1" fillId="0" borderId="0"/>
    <xf numFmtId="43" fontId="1"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9" fontId="5" fillId="0" borderId="0" applyFont="0" applyFill="0" applyBorder="0" applyAlignment="0" applyProtection="0"/>
    <xf numFmtId="0" fontId="3" fillId="0" borderId="0"/>
    <xf numFmtId="0" fontId="3" fillId="0" borderId="0"/>
    <xf numFmtId="0" fontId="3" fillId="0" borderId="0"/>
    <xf numFmtId="164" fontId="6" fillId="0" borderId="0" applyProtection="0"/>
    <xf numFmtId="164" fontId="6" fillId="0" borderId="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164" fontId="6" fillId="0" borderId="0" applyProtection="0"/>
    <xf numFmtId="0" fontId="3" fillId="0" borderId="0"/>
    <xf numFmtId="0" fontId="31" fillId="0" borderId="0">
      <alignment vertical="top"/>
    </xf>
    <xf numFmtId="44" fontId="3" fillId="0" borderId="0" applyFont="0" applyFill="0" applyBorder="0" applyAlignment="0" applyProtection="0"/>
    <xf numFmtId="0" fontId="31" fillId="0" borderId="0">
      <alignment vertical="top"/>
    </xf>
    <xf numFmtId="0" fontId="1" fillId="0" borderId="0"/>
    <xf numFmtId="0" fontId="45" fillId="0" borderId="0"/>
    <xf numFmtId="0" fontId="50" fillId="10" borderId="0" applyNumberFormat="0" applyBorder="0" applyAlignment="0" applyProtection="0"/>
    <xf numFmtId="164" fontId="6" fillId="0" borderId="0" applyProtection="0"/>
    <xf numFmtId="164" fontId="6" fillId="0" borderId="0" applyProtection="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59" fillId="0" borderId="0"/>
    <xf numFmtId="0" fontId="66" fillId="0" borderId="0"/>
    <xf numFmtId="43" fontId="1" fillId="0" borderId="0" applyFont="0" applyFill="0" applyBorder="0" applyAlignment="0" applyProtection="0"/>
    <xf numFmtId="0" fontId="70" fillId="0" borderId="0"/>
    <xf numFmtId="0" fontId="3" fillId="0" borderId="0"/>
    <xf numFmtId="0" fontId="1" fillId="15" borderId="0"/>
    <xf numFmtId="43" fontId="3" fillId="15" borderId="0" applyFont="0" applyFill="0" applyBorder="0" applyAlignment="0" applyProtection="0"/>
    <xf numFmtId="9" fontId="1" fillId="15" borderId="0" applyFont="0" applyFill="0" applyBorder="0" applyAlignment="0" applyProtection="0"/>
    <xf numFmtId="0" fontId="3" fillId="15" borderId="0"/>
    <xf numFmtId="0" fontId="1" fillId="15" borderId="0"/>
    <xf numFmtId="43" fontId="1" fillId="15" borderId="0" applyFont="0" applyFill="0" applyBorder="0" applyAlignment="0" applyProtection="0"/>
    <xf numFmtId="0" fontId="3" fillId="15" borderId="0"/>
    <xf numFmtId="44" fontId="3" fillId="15" borderId="0" applyFont="0" applyFill="0" applyBorder="0" applyAlignment="0" applyProtection="0"/>
    <xf numFmtId="0" fontId="3" fillId="15" borderId="0"/>
    <xf numFmtId="9" fontId="3" fillId="15" borderId="0" applyFont="0" applyFill="0" applyBorder="0" applyAlignment="0" applyProtection="0"/>
    <xf numFmtId="0" fontId="3" fillId="15" borderId="0"/>
    <xf numFmtId="0" fontId="3" fillId="15" borderId="0"/>
    <xf numFmtId="164" fontId="6" fillId="15" borderId="0" applyProtection="0"/>
    <xf numFmtId="164" fontId="6" fillId="15" borderId="0" applyProtection="0"/>
    <xf numFmtId="43" fontId="3" fillId="15" borderId="0" applyFont="0" applyFill="0" applyBorder="0" applyAlignment="0" applyProtection="0"/>
    <xf numFmtId="44" fontId="3" fillId="15" borderId="0" applyFont="0" applyFill="0" applyBorder="0" applyAlignment="0" applyProtection="0"/>
    <xf numFmtId="9" fontId="3" fillId="15" borderId="0" applyFont="0" applyFill="0" applyBorder="0" applyAlignment="0" applyProtection="0"/>
    <xf numFmtId="0" fontId="3" fillId="15" borderId="0"/>
    <xf numFmtId="44" fontId="3" fillId="15" borderId="0" applyFont="0" applyFill="0" applyBorder="0" applyAlignment="0" applyProtection="0"/>
    <xf numFmtId="0" fontId="1" fillId="15" borderId="0"/>
    <xf numFmtId="0" fontId="45" fillId="15" borderId="0"/>
    <xf numFmtId="0" fontId="1" fillId="15" borderId="0"/>
    <xf numFmtId="0" fontId="1" fillId="15" borderId="0"/>
    <xf numFmtId="0" fontId="1" fillId="15" borderId="0"/>
    <xf numFmtId="0" fontId="1" fillId="15" borderId="0"/>
    <xf numFmtId="43" fontId="3" fillId="15" borderId="0" applyFont="0" applyFill="0" applyBorder="0" applyAlignment="0" applyProtection="0"/>
    <xf numFmtId="0" fontId="3" fillId="15" borderId="0"/>
    <xf numFmtId="0" fontId="3" fillId="15" borderId="0"/>
    <xf numFmtId="43" fontId="1" fillId="15" borderId="0" applyFont="0" applyFill="0" applyBorder="0" applyAlignment="0" applyProtection="0"/>
    <xf numFmtId="0" fontId="3" fillId="15" borderId="0"/>
    <xf numFmtId="0" fontId="3" fillId="15" borderId="0"/>
    <xf numFmtId="0" fontId="80" fillId="16" borderId="0"/>
    <xf numFmtId="0" fontId="1" fillId="16" borderId="0"/>
    <xf numFmtId="43" fontId="3" fillId="16" borderId="0" applyFont="0" applyFill="0" applyBorder="0" applyAlignment="0" applyProtection="0"/>
    <xf numFmtId="9" fontId="1" fillId="16" borderId="0" applyFont="0" applyFill="0" applyBorder="0" applyAlignment="0" applyProtection="0"/>
    <xf numFmtId="0" fontId="3" fillId="16" borderId="0"/>
    <xf numFmtId="0" fontId="3" fillId="16" borderId="0"/>
    <xf numFmtId="0" fontId="1" fillId="16" borderId="0"/>
    <xf numFmtId="43" fontId="1" fillId="16" borderId="0" applyFont="0" applyFill="0" applyBorder="0" applyAlignment="0" applyProtection="0"/>
    <xf numFmtId="0" fontId="3" fillId="16" borderId="0"/>
    <xf numFmtId="44" fontId="3" fillId="16" borderId="0" applyFont="0" applyFill="0" applyBorder="0" applyAlignment="0" applyProtection="0"/>
    <xf numFmtId="0" fontId="3" fillId="16" borderId="0"/>
    <xf numFmtId="9" fontId="3" fillId="16" borderId="0" applyFont="0" applyFill="0" applyBorder="0" applyAlignment="0" applyProtection="0"/>
    <xf numFmtId="0" fontId="3" fillId="16" borderId="0"/>
    <xf numFmtId="0" fontId="3" fillId="16" borderId="0"/>
    <xf numFmtId="164" fontId="6" fillId="16" borderId="0" applyProtection="0"/>
    <xf numFmtId="164" fontId="6" fillId="16" borderId="0" applyProtection="0"/>
    <xf numFmtId="43" fontId="3" fillId="16" borderId="0" applyFont="0" applyFill="0" applyBorder="0" applyAlignment="0" applyProtection="0"/>
    <xf numFmtId="44" fontId="3" fillId="16" borderId="0" applyFont="0" applyFill="0" applyBorder="0" applyAlignment="0" applyProtection="0"/>
    <xf numFmtId="9" fontId="3" fillId="16" borderId="0" applyFont="0" applyFill="0" applyBorder="0" applyAlignment="0" applyProtection="0"/>
    <xf numFmtId="0" fontId="3" fillId="16" borderId="0"/>
    <xf numFmtId="44" fontId="3" fillId="16" borderId="0" applyFont="0" applyFill="0" applyBorder="0" applyAlignment="0" applyProtection="0"/>
    <xf numFmtId="0" fontId="1" fillId="16" borderId="0"/>
    <xf numFmtId="0" fontId="45" fillId="16" borderId="0"/>
    <xf numFmtId="0" fontId="1" fillId="16" borderId="0"/>
    <xf numFmtId="0" fontId="1" fillId="16" borderId="0"/>
    <xf numFmtId="0" fontId="1" fillId="16" borderId="0"/>
    <xf numFmtId="0" fontId="1" fillId="16" borderId="0"/>
    <xf numFmtId="43" fontId="3" fillId="16" borderId="0" applyFont="0" applyFill="0" applyBorder="0" applyAlignment="0" applyProtection="0"/>
    <xf numFmtId="0" fontId="3" fillId="16" borderId="0"/>
    <xf numFmtId="0" fontId="3" fillId="16" borderId="0"/>
    <xf numFmtId="43" fontId="1" fillId="16" borderId="0" applyFont="0" applyFill="0" applyBorder="0" applyAlignment="0" applyProtection="0"/>
    <xf numFmtId="0" fontId="3" fillId="16" borderId="0"/>
    <xf numFmtId="0" fontId="3" fillId="16" borderId="0"/>
    <xf numFmtId="0" fontId="1" fillId="16" borderId="0"/>
    <xf numFmtId="43" fontId="3" fillId="16" borderId="0" applyFont="0" applyFill="0" applyBorder="0" applyAlignment="0" applyProtection="0"/>
    <xf numFmtId="9" fontId="1" fillId="16" borderId="0" applyFont="0" applyFill="0" applyBorder="0" applyAlignment="0" applyProtection="0"/>
    <xf numFmtId="0" fontId="3" fillId="16" borderId="0"/>
    <xf numFmtId="0" fontId="1" fillId="16" borderId="0"/>
    <xf numFmtId="43" fontId="1" fillId="16" borderId="0" applyFont="0" applyFill="0" applyBorder="0" applyAlignment="0" applyProtection="0"/>
    <xf numFmtId="0" fontId="3" fillId="16" borderId="0"/>
    <xf numFmtId="44" fontId="3" fillId="16" borderId="0" applyFont="0" applyFill="0" applyBorder="0" applyAlignment="0" applyProtection="0"/>
    <xf numFmtId="0" fontId="3" fillId="16" borderId="0"/>
    <xf numFmtId="9" fontId="3" fillId="16" borderId="0" applyFont="0" applyFill="0" applyBorder="0" applyAlignment="0" applyProtection="0"/>
    <xf numFmtId="0" fontId="3" fillId="16" borderId="0"/>
    <xf numFmtId="0" fontId="3" fillId="16" borderId="0"/>
    <xf numFmtId="164" fontId="6" fillId="16" borderId="0" applyProtection="0"/>
    <xf numFmtId="164" fontId="6" fillId="16" borderId="0" applyProtection="0"/>
    <xf numFmtId="43" fontId="3" fillId="16" borderId="0" applyFont="0" applyFill="0" applyBorder="0" applyAlignment="0" applyProtection="0"/>
    <xf numFmtId="44" fontId="3" fillId="16" borderId="0" applyFont="0" applyFill="0" applyBorder="0" applyAlignment="0" applyProtection="0"/>
    <xf numFmtId="9" fontId="3" fillId="16" borderId="0" applyFont="0" applyFill="0" applyBorder="0" applyAlignment="0" applyProtection="0"/>
    <xf numFmtId="0" fontId="3" fillId="16" borderId="0"/>
    <xf numFmtId="44" fontId="3" fillId="16" borderId="0" applyFont="0" applyFill="0" applyBorder="0" applyAlignment="0" applyProtection="0"/>
    <xf numFmtId="0" fontId="1" fillId="16" borderId="0"/>
    <xf numFmtId="0" fontId="45" fillId="16" borderId="0"/>
    <xf numFmtId="0" fontId="1" fillId="16" borderId="0"/>
    <xf numFmtId="0" fontId="1" fillId="16" borderId="0"/>
    <xf numFmtId="0" fontId="1" fillId="16" borderId="0"/>
    <xf numFmtId="0" fontId="1" fillId="16" borderId="0"/>
    <xf numFmtId="43" fontId="3" fillId="16" borderId="0" applyFont="0" applyFill="0" applyBorder="0" applyAlignment="0" applyProtection="0"/>
    <xf numFmtId="0" fontId="3" fillId="16" borderId="0"/>
    <xf numFmtId="0" fontId="3" fillId="16" borderId="0"/>
    <xf numFmtId="43" fontId="1" fillId="16" borderId="0" applyFont="0" applyFill="0" applyBorder="0" applyAlignment="0" applyProtection="0"/>
    <xf numFmtId="0" fontId="3" fillId="16" borderId="0"/>
    <xf numFmtId="0" fontId="3" fillId="16" borderId="0"/>
    <xf numFmtId="0" fontId="1" fillId="16" borderId="0"/>
    <xf numFmtId="0" fontId="1" fillId="16" borderId="0"/>
    <xf numFmtId="0" fontId="1" fillId="16" borderId="0"/>
    <xf numFmtId="0" fontId="85" fillId="16" borderId="0"/>
    <xf numFmtId="164" fontId="6" fillId="16" borderId="0" applyProtection="0"/>
    <xf numFmtId="0" fontId="6" fillId="16" borderId="0" applyProtection="0"/>
    <xf numFmtId="164" fontId="6" fillId="16" borderId="0" applyProtection="0"/>
    <xf numFmtId="164" fontId="6" fillId="16" borderId="0" applyProtection="0"/>
    <xf numFmtId="0" fontId="1" fillId="16" borderId="0"/>
  </cellStyleXfs>
  <cellXfs count="1024">
    <xf numFmtId="0" fontId="0" fillId="0" borderId="0" xfId="0"/>
    <xf numFmtId="174" fontId="18" fillId="0" borderId="0" xfId="8" applyNumberFormat="1" applyFont="1" applyAlignment="1">
      <alignment horizontal="center" wrapText="1"/>
    </xf>
    <xf numFmtId="0" fontId="5" fillId="0" borderId="3" xfId="11" applyBorder="1" applyAlignment="1">
      <alignment horizontal="center"/>
    </xf>
    <xf numFmtId="0" fontId="5" fillId="0" borderId="5" xfId="11" applyBorder="1"/>
    <xf numFmtId="0" fontId="5" fillId="0" borderId="0" xfId="11"/>
    <xf numFmtId="170" fontId="0" fillId="0" borderId="0" xfId="1" applyNumberFormat="1" applyFont="1" applyFill="1"/>
    <xf numFmtId="0" fontId="0" fillId="0" borderId="0" xfId="0" applyAlignment="1">
      <alignment horizontal="center"/>
    </xf>
    <xf numFmtId="0" fontId="2" fillId="0" borderId="0" xfId="0" applyFont="1" applyAlignment="1">
      <alignment horizontal="center" wrapText="1"/>
    </xf>
    <xf numFmtId="0" fontId="15" fillId="0" borderId="0" xfId="6" applyFont="1"/>
    <xf numFmtId="0" fontId="5" fillId="0" borderId="0" xfId="6"/>
    <xf numFmtId="0" fontId="5" fillId="0" borderId="0" xfId="6" applyAlignment="1">
      <alignment horizontal="right"/>
    </xf>
    <xf numFmtId="37" fontId="5" fillId="0" borderId="0" xfId="6" applyNumberFormat="1"/>
    <xf numFmtId="0" fontId="15" fillId="0" borderId="0" xfId="6" applyFont="1" applyAlignment="1">
      <alignment horizontal="center" vertical="center"/>
    </xf>
    <xf numFmtId="0" fontId="15" fillId="0" borderId="0" xfId="6" applyFont="1" applyAlignment="1">
      <alignment horizontal="center" vertical="center" wrapText="1"/>
    </xf>
    <xf numFmtId="0" fontId="15" fillId="0" borderId="0" xfId="6" applyFont="1" applyAlignment="1">
      <alignment horizontal="center"/>
    </xf>
    <xf numFmtId="0" fontId="5" fillId="0" borderId="3" xfId="6" applyBorder="1" applyAlignment="1">
      <alignment vertical="center"/>
    </xf>
    <xf numFmtId="0" fontId="5" fillId="0" borderId="0" xfId="6" applyAlignment="1">
      <alignment horizontal="center"/>
    </xf>
    <xf numFmtId="164" fontId="6" fillId="0" borderId="0" xfId="7"/>
    <xf numFmtId="0" fontId="15" fillId="0" borderId="0" xfId="6" applyFont="1" applyAlignment="1">
      <alignment horizontal="centerContinuous" vertical="center"/>
    </xf>
    <xf numFmtId="0" fontId="15" fillId="0" borderId="0" xfId="6" applyFont="1" applyAlignment="1">
      <alignment horizontal="centerContinuous" vertical="center" wrapText="1"/>
    </xf>
    <xf numFmtId="0" fontId="15" fillId="0" borderId="0" xfId="6" applyFont="1" applyAlignment="1">
      <alignment horizontal="center" wrapText="1"/>
    </xf>
    <xf numFmtId="0" fontId="5" fillId="0" borderId="0" xfId="6" applyAlignment="1">
      <alignment horizontal="center" wrapText="1"/>
    </xf>
    <xf numFmtId="0" fontId="14" fillId="0" borderId="0" xfId="9" applyFont="1"/>
    <xf numFmtId="170" fontId="14" fillId="0" borderId="0" xfId="10" applyNumberFormat="1" applyFont="1" applyFill="1"/>
    <xf numFmtId="0" fontId="19" fillId="0" borderId="0" xfId="9" applyFont="1" applyAlignment="1">
      <alignment horizontal="center" vertical="center" wrapText="1"/>
    </xf>
    <xf numFmtId="0" fontId="14" fillId="0" borderId="3" xfId="9" applyFont="1" applyBorder="1"/>
    <xf numFmtId="0" fontId="14" fillId="0" borderId="3" xfId="9" applyFont="1" applyBorder="1" applyAlignment="1">
      <alignment horizontal="center"/>
    </xf>
    <xf numFmtId="0" fontId="14" fillId="0" borderId="0" xfId="9" applyFont="1" applyAlignment="1">
      <alignment horizontal="center"/>
    </xf>
    <xf numFmtId="170" fontId="14" fillId="0" borderId="0" xfId="9" applyNumberFormat="1" applyFont="1"/>
    <xf numFmtId="0" fontId="14" fillId="0" borderId="5" xfId="9" applyFont="1" applyBorder="1"/>
    <xf numFmtId="0" fontId="15" fillId="0" borderId="0" xfId="11" applyFont="1" applyAlignment="1">
      <alignment horizontal="center" vertical="top" wrapText="1"/>
    </xf>
    <xf numFmtId="0" fontId="5" fillId="0" borderId="3" xfId="11" applyBorder="1"/>
    <xf numFmtId="175" fontId="17" fillId="0" borderId="0" xfId="12" applyNumberFormat="1" applyFont="1" applyFill="1"/>
    <xf numFmtId="175" fontId="0" fillId="0" borderId="5" xfId="12" applyNumberFormat="1" applyFont="1" applyFill="1" applyBorder="1"/>
    <xf numFmtId="0" fontId="15" fillId="0" borderId="0" xfId="11" applyFont="1"/>
    <xf numFmtId="0" fontId="5" fillId="0" borderId="0" xfId="11" applyAlignment="1">
      <alignment horizontal="center"/>
    </xf>
    <xf numFmtId="0" fontId="15" fillId="0" borderId="0" xfId="11" applyFont="1" applyAlignment="1">
      <alignment horizontal="center"/>
    </xf>
    <xf numFmtId="175" fontId="0" fillId="0" borderId="0" xfId="12" applyNumberFormat="1" applyFont="1" applyFill="1"/>
    <xf numFmtId="0" fontId="5" fillId="0" borderId="0" xfId="12" applyNumberFormat="1" applyFont="1" applyFill="1"/>
    <xf numFmtId="170" fontId="22" fillId="0" borderId="0" xfId="1" applyNumberFormat="1" applyFont="1" applyFill="1"/>
    <xf numFmtId="170" fontId="5" fillId="0" borderId="0" xfId="1" applyNumberFormat="1" applyFill="1"/>
    <xf numFmtId="175" fontId="17" fillId="0" borderId="0" xfId="11" applyNumberFormat="1" applyFont="1"/>
    <xf numFmtId="170" fontId="17" fillId="0" borderId="0" xfId="11" applyNumberFormat="1" applyFont="1"/>
    <xf numFmtId="170" fontId="22" fillId="0" borderId="0" xfId="11" applyNumberFormat="1" applyFont="1"/>
    <xf numFmtId="10" fontId="5" fillId="0" borderId="0" xfId="11" applyNumberFormat="1"/>
    <xf numFmtId="0" fontId="5" fillId="0" borderId="0" xfId="13"/>
    <xf numFmtId="0" fontId="15" fillId="0" borderId="0" xfId="13" applyFont="1"/>
    <xf numFmtId="0" fontId="5" fillId="0" borderId="0" xfId="11" applyAlignment="1">
      <alignment horizontal="center" vertical="top" wrapText="1"/>
    </xf>
    <xf numFmtId="170" fontId="5" fillId="0" borderId="0" xfId="1" applyNumberFormat="1" applyFont="1" applyFill="1" applyAlignment="1">
      <alignment horizontal="right"/>
    </xf>
    <xf numFmtId="176" fontId="5" fillId="0" borderId="0" xfId="14" applyNumberFormat="1" applyFill="1"/>
    <xf numFmtId="0" fontId="20" fillId="0" borderId="0" xfId="11" applyFont="1"/>
    <xf numFmtId="0" fontId="5" fillId="0" borderId="0" xfId="5"/>
    <xf numFmtId="0" fontId="21" fillId="0" borderId="0" xfId="5" applyFont="1"/>
    <xf numFmtId="178" fontId="20" fillId="0" borderId="0" xfId="14" applyNumberFormat="1" applyFont="1" applyFill="1"/>
    <xf numFmtId="179" fontId="20" fillId="0" borderId="0" xfId="14" applyNumberFormat="1" applyFont="1" applyFill="1"/>
    <xf numFmtId="0" fontId="5" fillId="0" borderId="0" xfId="5" applyAlignment="1">
      <alignment horizontal="right"/>
    </xf>
    <xf numFmtId="0" fontId="5" fillId="0" borderId="0" xfId="11" applyAlignment="1">
      <alignment vertical="top"/>
    </xf>
    <xf numFmtId="0" fontId="3" fillId="0" borderId="0" xfId="11" applyFont="1" applyAlignment="1">
      <alignment horizontal="center"/>
    </xf>
    <xf numFmtId="181" fontId="0" fillId="0" borderId="0" xfId="0" applyNumberFormat="1"/>
    <xf numFmtId="181" fontId="0" fillId="0" borderId="0" xfId="0" applyNumberFormat="1" applyAlignment="1">
      <alignment horizontal="center"/>
    </xf>
    <xf numFmtId="182" fontId="0" fillId="0" borderId="0" xfId="0" applyNumberFormat="1"/>
    <xf numFmtId="183" fontId="0" fillId="0" borderId="0" xfId="0" applyNumberFormat="1"/>
    <xf numFmtId="10" fontId="0" fillId="0" borderId="0" xfId="2" applyNumberFormat="1" applyFont="1"/>
    <xf numFmtId="10" fontId="0" fillId="0" borderId="5" xfId="2" applyNumberFormat="1" applyFont="1" applyBorder="1"/>
    <xf numFmtId="170" fontId="0" fillId="0" borderId="5" xfId="10" applyNumberFormat="1" applyFont="1" applyBorder="1"/>
    <xf numFmtId="10" fontId="23" fillId="0" borderId="0" xfId="2" applyNumberFormat="1" applyFont="1" applyAlignment="1">
      <alignment horizontal="center"/>
    </xf>
    <xf numFmtId="171" fontId="23" fillId="0" borderId="0" xfId="2" applyNumberFormat="1" applyFont="1" applyAlignment="1">
      <alignment horizontal="center"/>
    </xf>
    <xf numFmtId="170" fontId="23" fillId="0" borderId="0" xfId="10" applyNumberFormat="1" applyFont="1" applyAlignment="1">
      <alignment horizontal="center"/>
    </xf>
    <xf numFmtId="180" fontId="23" fillId="0" borderId="0" xfId="2" applyNumberFormat="1" applyFont="1" applyAlignment="1">
      <alignment horizontal="center"/>
    </xf>
    <xf numFmtId="0" fontId="23" fillId="0" borderId="0" xfId="16" applyFont="1" applyAlignment="1">
      <alignment horizontal="center"/>
    </xf>
    <xf numFmtId="0" fontId="3" fillId="0" borderId="0" xfId="16"/>
    <xf numFmtId="0" fontId="24" fillId="0" borderId="0" xfId="16" applyFont="1" applyAlignment="1">
      <alignment horizontal="center" wrapText="1"/>
    </xf>
    <xf numFmtId="0" fontId="24" fillId="0" borderId="0" xfId="16" applyFont="1"/>
    <xf numFmtId="0" fontId="16" fillId="0" borderId="0" xfId="17" applyFont="1"/>
    <xf numFmtId="0" fontId="15" fillId="0" borderId="0" xfId="17" applyFont="1" applyAlignment="1">
      <alignment horizontal="left"/>
    </xf>
    <xf numFmtId="0" fontId="15" fillId="0" borderId="0" xfId="17" applyFont="1"/>
    <xf numFmtId="164" fontId="6" fillId="0" borderId="0" xfId="19"/>
    <xf numFmtId="164" fontId="26" fillId="0" borderId="0" xfId="19" applyFont="1"/>
    <xf numFmtId="170" fontId="6" fillId="0" borderId="0" xfId="20" applyNumberFormat="1" applyFont="1" applyFill="1" applyBorder="1" applyAlignment="1"/>
    <xf numFmtId="0" fontId="28" fillId="0" borderId="0" xfId="19" applyNumberFormat="1" applyFont="1"/>
    <xf numFmtId="10" fontId="27" fillId="0" borderId="0" xfId="22" applyNumberFormat="1" applyFont="1" applyFill="1" applyBorder="1" applyAlignment="1"/>
    <xf numFmtId="10" fontId="28" fillId="0" borderId="0" xfId="22" applyNumberFormat="1" applyFont="1" applyFill="1" applyBorder="1" applyAlignment="1"/>
    <xf numFmtId="0" fontId="3" fillId="0" borderId="0" xfId="24"/>
    <xf numFmtId="0" fontId="3" fillId="0" borderId="0" xfId="25" applyFont="1" applyAlignment="1">
      <alignment horizontal="center" vertical="top"/>
    </xf>
    <xf numFmtId="174" fontId="3" fillId="0" borderId="10" xfId="25" applyNumberFormat="1" applyFont="1" applyBorder="1" applyAlignment="1">
      <alignment horizontal="right" vertical="top"/>
    </xf>
    <xf numFmtId="174" fontId="3" fillId="0" borderId="12" xfId="25" applyNumberFormat="1" applyFont="1" applyBorder="1" applyAlignment="1">
      <alignment horizontal="right" vertical="top"/>
    </xf>
    <xf numFmtId="0" fontId="15" fillId="6" borderId="0" xfId="15" applyFont="1" applyFill="1" applyAlignment="1">
      <alignment horizontal="right"/>
    </xf>
    <xf numFmtId="0" fontId="15" fillId="6" borderId="0" xfId="25" applyFont="1" applyFill="1">
      <alignment vertical="top"/>
    </xf>
    <xf numFmtId="3" fontId="3" fillId="0" borderId="8" xfId="26" applyNumberFormat="1" applyFont="1" applyFill="1" applyBorder="1" applyAlignment="1">
      <alignment horizontal="right" vertical="top"/>
    </xf>
    <xf numFmtId="3" fontId="3" fillId="7" borderId="9" xfId="26" applyNumberFormat="1" applyFont="1" applyFill="1" applyBorder="1" applyAlignment="1">
      <alignment horizontal="right" vertical="top"/>
    </xf>
    <xf numFmtId="3" fontId="3" fillId="0" borderId="9" xfId="26" applyNumberFormat="1" applyFont="1" applyFill="1" applyBorder="1" applyAlignment="1">
      <alignment horizontal="right" vertical="top"/>
    </xf>
    <xf numFmtId="3" fontId="3" fillId="7" borderId="8" xfId="26" applyNumberFormat="1" applyFont="1" applyFill="1" applyBorder="1" applyAlignment="1">
      <alignment horizontal="right" vertical="top"/>
    </xf>
    <xf numFmtId="0" fontId="3" fillId="0" borderId="6" xfId="25" applyFont="1" applyBorder="1">
      <alignment vertical="top"/>
    </xf>
    <xf numFmtId="0" fontId="15" fillId="8" borderId="6" xfId="25" applyFont="1" applyFill="1" applyBorder="1">
      <alignment vertical="top"/>
    </xf>
    <xf numFmtId="3" fontId="3" fillId="0" borderId="13" xfId="26" applyNumberFormat="1" applyFont="1" applyFill="1" applyBorder="1" applyAlignment="1">
      <alignment horizontal="right" vertical="top"/>
    </xf>
    <xf numFmtId="3" fontId="3" fillId="7" borderId="14" xfId="26" applyNumberFormat="1" applyFont="1" applyFill="1" applyBorder="1" applyAlignment="1">
      <alignment horizontal="right" vertical="top"/>
    </xf>
    <xf numFmtId="3" fontId="3" fillId="0" borderId="14" xfId="26" applyNumberFormat="1" applyFont="1" applyFill="1" applyBorder="1" applyAlignment="1">
      <alignment horizontal="right" vertical="top"/>
    </xf>
    <xf numFmtId="3" fontId="3" fillId="7" borderId="13" xfId="26" applyNumberFormat="1" applyFont="1" applyFill="1" applyBorder="1" applyAlignment="1">
      <alignment horizontal="right" vertical="top"/>
    </xf>
    <xf numFmtId="0" fontId="3" fillId="0" borderId="13" xfId="25" applyFont="1" applyBorder="1">
      <alignment vertical="top"/>
    </xf>
    <xf numFmtId="0" fontId="15" fillId="0" borderId="13" xfId="24" applyFont="1" applyBorder="1"/>
    <xf numFmtId="0" fontId="3" fillId="8" borderId="3" xfId="24" applyFill="1" applyBorder="1" applyAlignment="1">
      <alignment horizontal="right"/>
    </xf>
    <xf numFmtId="0" fontId="3" fillId="6" borderId="3" xfId="24" applyFill="1" applyBorder="1" applyAlignment="1">
      <alignment horizontal="right"/>
    </xf>
    <xf numFmtId="0" fontId="3" fillId="6" borderId="3" xfId="24" applyFill="1" applyBorder="1"/>
    <xf numFmtId="0" fontId="3" fillId="8" borderId="0" xfId="24" applyFill="1"/>
    <xf numFmtId="0" fontId="15" fillId="8" borderId="0" xfId="25" applyFont="1" applyFill="1">
      <alignment vertical="top"/>
    </xf>
    <xf numFmtId="0" fontId="3" fillId="8" borderId="0" xfId="25" applyFont="1" applyFill="1" applyAlignment="1">
      <alignment horizontal="right" vertical="top"/>
    </xf>
    <xf numFmtId="174" fontId="3" fillId="6" borderId="0" xfId="25" applyNumberFormat="1" applyFont="1" applyFill="1" applyAlignment="1">
      <alignment horizontal="right" vertical="top"/>
    </xf>
    <xf numFmtId="0" fontId="3" fillId="6" borderId="0" xfId="25" applyFont="1" applyFill="1" applyAlignment="1">
      <alignment horizontal="right" vertical="top"/>
    </xf>
    <xf numFmtId="0" fontId="3" fillId="6" borderId="0" xfId="24" applyFill="1"/>
    <xf numFmtId="174" fontId="3" fillId="8" borderId="0" xfId="25" applyNumberFormat="1" applyFont="1" applyFill="1" applyAlignment="1">
      <alignment horizontal="right" vertical="top"/>
    </xf>
    <xf numFmtId="0" fontId="3" fillId="8" borderId="0" xfId="15" applyFill="1" applyAlignment="1">
      <alignment horizontal="right"/>
    </xf>
    <xf numFmtId="0" fontId="15" fillId="0" borderId="0" xfId="15" applyFont="1" applyAlignment="1">
      <alignment horizontal="right"/>
    </xf>
    <xf numFmtId="0" fontId="15" fillId="0" borderId="0" xfId="25" applyFont="1">
      <alignment vertical="top"/>
    </xf>
    <xf numFmtId="174" fontId="3" fillId="0" borderId="11" xfId="25" applyNumberFormat="1" applyFont="1" applyBorder="1" applyAlignment="1">
      <alignment horizontal="right" vertical="top"/>
    </xf>
    <xf numFmtId="174" fontId="3" fillId="0" borderId="15" xfId="25" applyNumberFormat="1" applyFont="1" applyBorder="1" applyAlignment="1">
      <alignment horizontal="right" vertical="top"/>
    </xf>
    <xf numFmtId="0" fontId="15" fillId="0" borderId="5" xfId="15" applyFont="1" applyBorder="1" applyAlignment="1">
      <alignment horizontal="right"/>
    </xf>
    <xf numFmtId="0" fontId="15" fillId="8" borderId="5" xfId="25" applyFont="1" applyFill="1" applyBorder="1">
      <alignment vertical="top"/>
    </xf>
    <xf numFmtId="3" fontId="3" fillId="0" borderId="7" xfId="26" applyNumberFormat="1" applyFont="1" applyFill="1" applyBorder="1" applyAlignment="1">
      <alignment horizontal="right" vertical="top"/>
    </xf>
    <xf numFmtId="3" fontId="3" fillId="7" borderId="7" xfId="26" applyNumberFormat="1" applyFont="1" applyFill="1" applyBorder="1" applyAlignment="1">
      <alignment horizontal="right" vertical="top"/>
    </xf>
    <xf numFmtId="0" fontId="15" fillId="8" borderId="8" xfId="25" applyFont="1" applyFill="1" applyBorder="1">
      <alignment vertical="top"/>
    </xf>
    <xf numFmtId="0" fontId="3" fillId="6" borderId="3" xfId="15" applyFill="1" applyBorder="1" applyAlignment="1">
      <alignment horizontal="right"/>
    </xf>
    <xf numFmtId="3" fontId="3" fillId="6" borderId="3" xfId="15" applyNumberFormat="1" applyFill="1" applyBorder="1" applyAlignment="1">
      <alignment horizontal="right"/>
    </xf>
    <xf numFmtId="0" fontId="3" fillId="6" borderId="3" xfId="15" applyFill="1" applyBorder="1"/>
    <xf numFmtId="0" fontId="15" fillId="8" borderId="3" xfId="25" applyFont="1" applyFill="1" applyBorder="1">
      <alignment vertical="top"/>
    </xf>
    <xf numFmtId="37" fontId="3" fillId="6" borderId="0" xfId="15" applyNumberFormat="1" applyFill="1" applyAlignment="1">
      <alignment horizontal="right"/>
    </xf>
    <xf numFmtId="0" fontId="3" fillId="6" borderId="0" xfId="15" applyFill="1" applyAlignment="1">
      <alignment horizontal="right"/>
    </xf>
    <xf numFmtId="3" fontId="3" fillId="0" borderId="6" xfId="26" applyNumberFormat="1" applyFont="1" applyFill="1" applyBorder="1" applyAlignment="1">
      <alignment horizontal="right" vertical="top"/>
    </xf>
    <xf numFmtId="3" fontId="3" fillId="7" borderId="6" xfId="26" applyNumberFormat="1" applyFont="1" applyFill="1" applyBorder="1" applyAlignment="1">
      <alignment horizontal="right" vertical="top"/>
    </xf>
    <xf numFmtId="0" fontId="15" fillId="8" borderId="13" xfId="25" applyFont="1" applyFill="1" applyBorder="1">
      <alignment vertical="top"/>
    </xf>
    <xf numFmtId="174" fontId="32" fillId="9" borderId="0" xfId="8" applyNumberFormat="1" applyFont="1" applyFill="1" applyAlignment="1">
      <alignment horizontal="center" wrapText="1"/>
    </xf>
    <xf numFmtId="0" fontId="33" fillId="9" borderId="0" xfId="15" applyFont="1" applyFill="1"/>
    <xf numFmtId="0" fontId="31" fillId="6" borderId="0" xfId="25" applyFill="1">
      <alignment vertical="top"/>
    </xf>
    <xf numFmtId="3" fontId="3" fillId="6" borderId="0" xfId="25" applyNumberFormat="1" applyFont="1" applyFill="1" applyAlignment="1">
      <alignment horizontal="center" vertical="top"/>
    </xf>
    <xf numFmtId="0" fontId="3" fillId="6" borderId="0" xfId="25" applyFont="1" applyFill="1">
      <alignment vertical="top"/>
    </xf>
    <xf numFmtId="0" fontId="15" fillId="6" borderId="3" xfId="27" applyFont="1" applyFill="1" applyBorder="1">
      <alignment vertical="top"/>
    </xf>
    <xf numFmtId="0" fontId="15" fillId="6" borderId="0" xfId="27" applyFont="1" applyFill="1">
      <alignment vertical="top"/>
    </xf>
    <xf numFmtId="0" fontId="34" fillId="0" borderId="0" xfId="24" applyFont="1"/>
    <xf numFmtId="0" fontId="34" fillId="6" borderId="0" xfId="24" applyFont="1" applyFill="1"/>
    <xf numFmtId="0" fontId="35" fillId="6" borderId="0" xfId="25" applyFont="1" applyFill="1">
      <alignment vertical="top"/>
    </xf>
    <xf numFmtId="0" fontId="3" fillId="0" borderId="16" xfId="24" applyBorder="1" applyAlignment="1">
      <alignment vertical="top" wrapText="1"/>
    </xf>
    <xf numFmtId="0" fontId="3" fillId="0" borderId="16" xfId="24" applyBorder="1" applyAlignment="1">
      <alignment horizontal="left" vertical="top" wrapText="1"/>
    </xf>
    <xf numFmtId="0" fontId="3" fillId="0" borderId="17" xfId="24" applyBorder="1" applyAlignment="1">
      <alignment horizontal="center" vertical="top" wrapText="1"/>
    </xf>
    <xf numFmtId="186" fontId="3" fillId="0" borderId="17" xfId="24" applyNumberFormat="1" applyBorder="1" applyAlignment="1">
      <alignment horizontal="center" vertical="top" wrapText="1"/>
    </xf>
    <xf numFmtId="0" fontId="3" fillId="0" borderId="17" xfId="24" applyBorder="1" applyAlignment="1">
      <alignment horizontal="left" vertical="top" wrapText="1"/>
    </xf>
    <xf numFmtId="0" fontId="3" fillId="0" borderId="17" xfId="24" applyBorder="1" applyAlignment="1">
      <alignment vertical="top" wrapText="1"/>
    </xf>
    <xf numFmtId="0" fontId="36" fillId="0" borderId="10" xfId="24" applyFont="1" applyBorder="1" applyAlignment="1">
      <alignment horizontal="center" vertical="top" wrapText="1"/>
    </xf>
    <xf numFmtId="0" fontId="36" fillId="0" borderId="10" xfId="24" applyFont="1" applyBorder="1" applyAlignment="1">
      <alignment horizontal="center" vertical="top"/>
    </xf>
    <xf numFmtId="0" fontId="15" fillId="0" borderId="0" xfId="24" applyFont="1" applyAlignment="1">
      <alignment horizontal="center"/>
    </xf>
    <xf numFmtId="0" fontId="15" fillId="0" borderId="0" xfId="24" applyFont="1"/>
    <xf numFmtId="10" fontId="27" fillId="0" borderId="0" xfId="19" applyNumberFormat="1" applyFont="1"/>
    <xf numFmtId="3" fontId="28" fillId="0" borderId="0" xfId="19" applyNumberFormat="1" applyFont="1"/>
    <xf numFmtId="164" fontId="28" fillId="0" borderId="0" xfId="19" applyFont="1"/>
    <xf numFmtId="10" fontId="28" fillId="0" borderId="0" xfId="19" applyNumberFormat="1" applyFont="1"/>
    <xf numFmtId="164" fontId="28" fillId="0" borderId="0" xfId="19" applyFont="1" applyAlignment="1">
      <alignment horizontal="center"/>
    </xf>
    <xf numFmtId="49" fontId="6" fillId="0" borderId="0" xfId="19" applyNumberFormat="1" applyAlignment="1">
      <alignment horizontal="center"/>
    </xf>
    <xf numFmtId="164" fontId="6" fillId="0" borderId="0" xfId="19" applyAlignment="1">
      <alignment horizontal="left" vertical="top" wrapText="1"/>
    </xf>
    <xf numFmtId="164" fontId="37" fillId="0" borderId="0" xfId="19" applyFont="1"/>
    <xf numFmtId="49" fontId="28" fillId="0" borderId="0" xfId="19" applyNumberFormat="1" applyFont="1" applyAlignment="1">
      <alignment horizontal="center"/>
    </xf>
    <xf numFmtId="175" fontId="28" fillId="0" borderId="8" xfId="26" applyNumberFormat="1" applyFont="1" applyFill="1" applyBorder="1" applyAlignment="1"/>
    <xf numFmtId="175" fontId="28" fillId="0" borderId="0" xfId="26" applyNumberFormat="1" applyFont="1" applyFill="1" applyBorder="1" applyAlignment="1"/>
    <xf numFmtId="0" fontId="6" fillId="0" borderId="0" xfId="19" applyNumberFormat="1"/>
    <xf numFmtId="3" fontId="6" fillId="0" borderId="0" xfId="19" applyNumberFormat="1"/>
    <xf numFmtId="3" fontId="28" fillId="0" borderId="8" xfId="19" applyNumberFormat="1" applyFont="1" applyBorder="1"/>
    <xf numFmtId="0" fontId="28" fillId="0" borderId="8" xfId="19" applyNumberFormat="1" applyFont="1" applyBorder="1"/>
    <xf numFmtId="3" fontId="28" fillId="0" borderId="10" xfId="19" applyNumberFormat="1" applyFont="1" applyBorder="1" applyAlignment="1">
      <alignment horizontal="center" vertical="top" wrapText="1"/>
    </xf>
    <xf numFmtId="3" fontId="28" fillId="0" borderId="11" xfId="19" applyNumberFormat="1" applyFont="1" applyBorder="1" applyAlignment="1">
      <alignment horizontal="center" vertical="top" wrapText="1"/>
    </xf>
    <xf numFmtId="0" fontId="28" fillId="0" borderId="11" xfId="19" applyNumberFormat="1" applyFont="1" applyBorder="1" applyAlignment="1">
      <alignment horizontal="center" vertical="top" wrapText="1"/>
    </xf>
    <xf numFmtId="3" fontId="18" fillId="0" borderId="0" xfId="19" applyNumberFormat="1" applyFont="1"/>
    <xf numFmtId="0" fontId="27" fillId="0" borderId="0" xfId="19" applyNumberFormat="1" applyFont="1"/>
    <xf numFmtId="0" fontId="6" fillId="0" borderId="0" xfId="19" applyNumberFormat="1" applyAlignment="1" applyProtection="1">
      <alignment horizontal="center"/>
      <protection locked="0"/>
    </xf>
    <xf numFmtId="0" fontId="6" fillId="0" borderId="0" xfId="19" applyNumberFormat="1" applyAlignment="1">
      <alignment horizontal="center"/>
    </xf>
    <xf numFmtId="171" fontId="28" fillId="0" borderId="0" xfId="19" applyNumberFormat="1" applyFont="1" applyAlignment="1">
      <alignment horizontal="center"/>
    </xf>
    <xf numFmtId="3" fontId="27" fillId="0" borderId="0" xfId="19" applyNumberFormat="1" applyFont="1"/>
    <xf numFmtId="3" fontId="27" fillId="0" borderId="0" xfId="19" applyNumberFormat="1" applyFont="1" applyAlignment="1">
      <alignment horizontal="center"/>
    </xf>
    <xf numFmtId="49" fontId="18" fillId="0" borderId="0" xfId="19" applyNumberFormat="1" applyFont="1" applyAlignment="1">
      <alignment horizontal="center"/>
    </xf>
    <xf numFmtId="3" fontId="28" fillId="0" borderId="0" xfId="19" applyNumberFormat="1" applyFont="1" applyAlignment="1">
      <alignment horizontal="center"/>
    </xf>
    <xf numFmtId="174" fontId="6" fillId="0" borderId="0" xfId="19" applyNumberFormat="1"/>
    <xf numFmtId="10" fontId="0" fillId="0" borderId="0" xfId="22" applyNumberFormat="1" applyFont="1" applyFill="1" applyBorder="1" applyAlignment="1"/>
    <xf numFmtId="3" fontId="38" fillId="0" borderId="0" xfId="19" applyNumberFormat="1" applyFont="1"/>
    <xf numFmtId="0" fontId="6" fillId="0" borderId="0" xfId="19" applyNumberFormat="1" applyAlignment="1">
      <alignment horizontal="fill"/>
    </xf>
    <xf numFmtId="169" fontId="27" fillId="0" borderId="0" xfId="19" applyNumberFormat="1" applyFont="1"/>
    <xf numFmtId="3" fontId="6" fillId="0" borderId="0" xfId="19" applyNumberFormat="1" applyAlignment="1">
      <alignment horizontal="center"/>
    </xf>
    <xf numFmtId="0" fontId="27" fillId="0" borderId="0" xfId="19" applyNumberFormat="1" applyFont="1" applyAlignment="1">
      <alignment horizontal="center"/>
    </xf>
    <xf numFmtId="170" fontId="28" fillId="0" borderId="0" xfId="20" applyNumberFormat="1" applyFont="1" applyFill="1" applyBorder="1" applyAlignment="1"/>
    <xf numFmtId="10" fontId="18" fillId="0" borderId="0" xfId="22" applyNumberFormat="1" applyFont="1" applyFill="1" applyBorder="1" applyAlignment="1"/>
    <xf numFmtId="3" fontId="39" fillId="0" borderId="0" xfId="19" applyNumberFormat="1" applyFont="1"/>
    <xf numFmtId="41" fontId="28" fillId="0" borderId="0" xfId="19" applyNumberFormat="1" applyFont="1"/>
    <xf numFmtId="0" fontId="30" fillId="0" borderId="0" xfId="19" applyNumberFormat="1" applyFont="1" applyAlignment="1" applyProtection="1">
      <alignment horizontal="center"/>
      <protection locked="0"/>
    </xf>
    <xf numFmtId="0" fontId="18" fillId="0" borderId="0" xfId="19" applyNumberFormat="1" applyFont="1" applyAlignment="1">
      <alignment horizontal="center"/>
    </xf>
    <xf numFmtId="0" fontId="27" fillId="0" borderId="0" xfId="19" applyNumberFormat="1" applyFont="1" applyAlignment="1" applyProtection="1">
      <alignment horizontal="center"/>
      <protection locked="0"/>
    </xf>
    <xf numFmtId="164" fontId="27" fillId="0" borderId="0" xfId="19" applyFont="1" applyAlignment="1">
      <alignment horizontal="center"/>
    </xf>
    <xf numFmtId="0" fontId="28" fillId="0" borderId="0" xfId="19" applyNumberFormat="1" applyFont="1" applyAlignment="1">
      <alignment horizontal="center"/>
    </xf>
    <xf numFmtId="0" fontId="40" fillId="0" borderId="0" xfId="19" applyNumberFormat="1" applyFont="1"/>
    <xf numFmtId="0" fontId="40" fillId="0" borderId="0" xfId="19" applyNumberFormat="1" applyFont="1" applyAlignment="1">
      <alignment horizontal="center"/>
    </xf>
    <xf numFmtId="0" fontId="28" fillId="0" borderId="0" xfId="19" applyNumberFormat="1" applyFont="1" applyProtection="1">
      <protection locked="0"/>
    </xf>
    <xf numFmtId="0" fontId="3" fillId="0" borderId="3" xfId="24" applyBorder="1"/>
    <xf numFmtId="0" fontId="3" fillId="0" borderId="3" xfId="24" applyBorder="1" applyAlignment="1">
      <alignment horizontal="right"/>
    </xf>
    <xf numFmtId="174" fontId="3" fillId="0" borderId="0" xfId="25" applyNumberFormat="1" applyFont="1" applyAlignment="1">
      <alignment horizontal="right" vertical="top"/>
    </xf>
    <xf numFmtId="0" fontId="3" fillId="0" borderId="3" xfId="15" applyBorder="1" applyAlignment="1">
      <alignment horizontal="right"/>
    </xf>
    <xf numFmtId="0" fontId="3" fillId="8" borderId="3" xfId="15" applyFill="1" applyBorder="1" applyAlignment="1">
      <alignment horizontal="right"/>
    </xf>
    <xf numFmtId="3" fontId="3" fillId="8" borderId="3" xfId="15" applyNumberFormat="1" applyFill="1" applyBorder="1" applyAlignment="1">
      <alignment horizontal="right"/>
    </xf>
    <xf numFmtId="0" fontId="3" fillId="8" borderId="3" xfId="15" applyFill="1" applyBorder="1"/>
    <xf numFmtId="37" fontId="3" fillId="0" borderId="0" xfId="15" applyNumberFormat="1" applyAlignment="1">
      <alignment horizontal="right"/>
    </xf>
    <xf numFmtId="37" fontId="3" fillId="8" borderId="0" xfId="15" applyNumberFormat="1" applyFill="1" applyAlignment="1">
      <alignment horizontal="right"/>
    </xf>
    <xf numFmtId="0" fontId="3" fillId="0" borderId="0" xfId="25" applyFont="1" applyAlignment="1">
      <alignment horizontal="right" vertical="top"/>
    </xf>
    <xf numFmtId="3" fontId="32" fillId="9" borderId="0" xfId="8" applyNumberFormat="1" applyFont="1" applyFill="1" applyAlignment="1">
      <alignment horizontal="center" wrapText="1"/>
    </xf>
    <xf numFmtId="0" fontId="31" fillId="0" borderId="0" xfId="25">
      <alignment vertical="top"/>
    </xf>
    <xf numFmtId="1" fontId="32" fillId="9" borderId="0" xfId="8" applyNumberFormat="1" applyFont="1" applyFill="1" applyAlignment="1">
      <alignment horizontal="center" wrapText="1"/>
    </xf>
    <xf numFmtId="3" fontId="3" fillId="0" borderId="0" xfId="25" applyNumberFormat="1" applyFont="1" applyAlignment="1">
      <alignment horizontal="center" vertical="top"/>
    </xf>
    <xf numFmtId="0" fontId="3" fillId="0" borderId="0" xfId="25" applyFont="1">
      <alignment vertical="top"/>
    </xf>
    <xf numFmtId="0" fontId="15" fillId="0" borderId="3" xfId="27" applyFont="1" applyBorder="1">
      <alignment vertical="top"/>
    </xf>
    <xf numFmtId="0" fontId="15" fillId="0" borderId="0" xfId="27" applyFont="1">
      <alignment vertical="top"/>
    </xf>
    <xf numFmtId="0" fontId="35" fillId="0" borderId="0" xfId="25" applyFont="1">
      <alignment vertical="top"/>
    </xf>
    <xf numFmtId="0" fontId="3" fillId="0" borderId="16" xfId="24" applyBorder="1" applyAlignment="1">
      <alignment horizontal="center" vertical="top" wrapText="1"/>
    </xf>
    <xf numFmtId="44" fontId="3" fillId="0" borderId="18" xfId="24" applyNumberFormat="1" applyBorder="1"/>
    <xf numFmtId="0" fontId="3" fillId="0" borderId="19" xfId="24" applyBorder="1"/>
    <xf numFmtId="175" fontId="3" fillId="0" borderId="0" xfId="21" applyNumberFormat="1" applyFill="1"/>
    <xf numFmtId="170" fontId="3" fillId="0" borderId="20" xfId="24" applyNumberFormat="1" applyBorder="1"/>
    <xf numFmtId="0" fontId="3" fillId="0" borderId="21" xfId="24" applyBorder="1"/>
    <xf numFmtId="44" fontId="3" fillId="0" borderId="1" xfId="21" applyFill="1" applyBorder="1"/>
    <xf numFmtId="42" fontId="3" fillId="0" borderId="22" xfId="24" applyNumberFormat="1" applyBorder="1"/>
    <xf numFmtId="170" fontId="3" fillId="0" borderId="0" xfId="20" applyNumberFormat="1" applyFont="1" applyFill="1"/>
    <xf numFmtId="170" fontId="3" fillId="0" borderId="0" xfId="20" applyNumberFormat="1" applyFill="1" applyBorder="1"/>
    <xf numFmtId="170" fontId="3" fillId="0" borderId="0" xfId="20" applyNumberFormat="1" applyFill="1"/>
    <xf numFmtId="180" fontId="41" fillId="0" borderId="0" xfId="22" applyNumberFormat="1" applyFont="1" applyFill="1"/>
    <xf numFmtId="42" fontId="3" fillId="0" borderId="0" xfId="24" applyNumberFormat="1"/>
    <xf numFmtId="43" fontId="3" fillId="0" borderId="0" xfId="20" applyFont="1" applyFill="1"/>
    <xf numFmtId="0" fontId="42" fillId="0" borderId="0" xfId="24" applyFont="1"/>
    <xf numFmtId="6" fontId="3" fillId="0" borderId="0" xfId="24" applyNumberFormat="1"/>
    <xf numFmtId="14" fontId="3" fillId="0" borderId="0" xfId="24" applyNumberFormat="1"/>
    <xf numFmtId="170" fontId="15" fillId="0" borderId="1" xfId="20" applyNumberFormat="1" applyFont="1" applyFill="1" applyBorder="1" applyAlignment="1">
      <alignment horizontal="center"/>
    </xf>
    <xf numFmtId="180" fontId="42" fillId="0" borderId="0" xfId="22" applyNumberFormat="1" applyFont="1" applyFill="1"/>
    <xf numFmtId="10" fontId="3" fillId="0" borderId="0" xfId="24" applyNumberFormat="1"/>
    <xf numFmtId="187" fontId="3" fillId="0" borderId="0" xfId="24" applyNumberFormat="1"/>
    <xf numFmtId="9" fontId="3" fillId="0" borderId="0" xfId="22" applyFill="1"/>
    <xf numFmtId="170" fontId="43" fillId="0" borderId="0" xfId="20" applyNumberFormat="1" applyFont="1"/>
    <xf numFmtId="170" fontId="43" fillId="0" borderId="0" xfId="24" applyNumberFormat="1" applyFont="1"/>
    <xf numFmtId="0" fontId="20" fillId="0" borderId="0" xfId="24" applyFont="1"/>
    <xf numFmtId="175" fontId="3" fillId="0" borderId="0" xfId="24" applyNumberFormat="1"/>
    <xf numFmtId="44" fontId="15" fillId="0" borderId="0" xfId="26" applyFont="1"/>
    <xf numFmtId="170" fontId="20" fillId="0" borderId="0" xfId="20" applyNumberFormat="1" applyFont="1" applyFill="1"/>
    <xf numFmtId="170" fontId="3" fillId="0" borderId="0" xfId="20" applyNumberFormat="1"/>
    <xf numFmtId="175" fontId="15" fillId="0" borderId="0" xfId="26" applyNumberFormat="1" applyFont="1"/>
    <xf numFmtId="170" fontId="15" fillId="0" borderId="0" xfId="20" applyNumberFormat="1" applyFont="1"/>
    <xf numFmtId="0" fontId="44" fillId="0" borderId="0" xfId="24" applyFont="1"/>
    <xf numFmtId="0" fontId="3" fillId="0" borderId="0" xfId="24" applyAlignment="1">
      <alignment horizontal="centerContinuous"/>
    </xf>
    <xf numFmtId="0" fontId="15" fillId="0" borderId="0" xfId="24" applyFont="1" applyAlignment="1">
      <alignment horizontal="centerContinuous"/>
    </xf>
    <xf numFmtId="0" fontId="45" fillId="0" borderId="0" xfId="29"/>
    <xf numFmtId="0" fontId="46" fillId="0" borderId="0" xfId="29" applyFont="1"/>
    <xf numFmtId="0" fontId="45" fillId="0" borderId="0" xfId="29" applyAlignment="1">
      <alignment horizontal="center"/>
    </xf>
    <xf numFmtId="0" fontId="45" fillId="0" borderId="0" xfId="29" applyAlignment="1">
      <alignment horizontal="center" vertical="top"/>
    </xf>
    <xf numFmtId="0" fontId="45" fillId="0" borderId="3" xfId="29" applyBorder="1" applyAlignment="1">
      <alignment horizontal="center"/>
    </xf>
    <xf numFmtId="41" fontId="45" fillId="0" borderId="0" xfId="29" applyNumberFormat="1"/>
    <xf numFmtId="41" fontId="45" fillId="0" borderId="5" xfId="29" applyNumberFormat="1" applyBorder="1"/>
    <xf numFmtId="170" fontId="45" fillId="5" borderId="0" xfId="20" applyNumberFormat="1" applyFont="1" applyFill="1"/>
    <xf numFmtId="41" fontId="45" fillId="5" borderId="0" xfId="29" applyNumberFormat="1" applyFill="1"/>
    <xf numFmtId="0" fontId="47" fillId="0" borderId="0" xfId="29" applyFont="1" applyAlignment="1">
      <alignment horizontal="center"/>
    </xf>
    <xf numFmtId="0" fontId="47" fillId="0" borderId="3" xfId="29" applyFont="1" applyBorder="1" applyAlignment="1">
      <alignment horizontal="center"/>
    </xf>
    <xf numFmtId="0" fontId="47" fillId="0" borderId="0" xfId="29" quotePrefix="1" applyFont="1" applyAlignment="1">
      <alignment horizontal="center"/>
    </xf>
    <xf numFmtId="0" fontId="47" fillId="0" borderId="0" xfId="29" applyFont="1"/>
    <xf numFmtId="0" fontId="45" fillId="5" borderId="0" xfId="29" applyFill="1" applyAlignment="1">
      <alignment horizontal="center"/>
    </xf>
    <xf numFmtId="0" fontId="45" fillId="5" borderId="0" xfId="29" applyFill="1"/>
    <xf numFmtId="0" fontId="48" fillId="0" borderId="0" xfId="29" applyFont="1"/>
    <xf numFmtId="0" fontId="45" fillId="0" borderId="0" xfId="29" quotePrefix="1" applyAlignment="1">
      <alignment horizontal="center"/>
    </xf>
    <xf numFmtId="0" fontId="43" fillId="0" borderId="0" xfId="24" applyFont="1"/>
    <xf numFmtId="0" fontId="3" fillId="0" borderId="0" xfId="24" applyAlignment="1">
      <alignment horizontal="left" indent="1"/>
    </xf>
    <xf numFmtId="164" fontId="6" fillId="0" borderId="0" xfId="19" applyAlignment="1">
      <alignment horizontal="left" wrapText="1"/>
    </xf>
    <xf numFmtId="164" fontId="6" fillId="0" borderId="0" xfId="23"/>
    <xf numFmtId="4" fontId="6" fillId="0" borderId="0" xfId="23" applyNumberFormat="1"/>
    <xf numFmtId="164" fontId="27" fillId="0" borderId="11" xfId="23" applyFont="1" applyBorder="1" applyAlignment="1">
      <alignment horizontal="center"/>
    </xf>
    <xf numFmtId="0" fontId="6" fillId="0" borderId="0" xfId="23" applyNumberFormat="1"/>
    <xf numFmtId="0" fontId="6" fillId="4" borderId="0" xfId="26" applyNumberFormat="1" applyFont="1" applyFill="1" applyBorder="1" applyAlignment="1">
      <alignment horizontal="center"/>
    </xf>
    <xf numFmtId="3" fontId="6" fillId="0" borderId="0" xfId="23" applyNumberFormat="1"/>
    <xf numFmtId="164" fontId="6" fillId="0" borderId="11" xfId="23" applyBorder="1" applyAlignment="1">
      <alignment horizontal="center" vertical="top"/>
    </xf>
    <xf numFmtId="175" fontId="6" fillId="0" borderId="0" xfId="26" applyNumberFormat="1" applyFont="1" applyFill="1" applyBorder="1" applyAlignment="1"/>
    <xf numFmtId="10" fontId="6" fillId="0" borderId="0" xfId="22" applyNumberFormat="1" applyFont="1" applyFill="1" applyBorder="1" applyAlignment="1"/>
    <xf numFmtId="175" fontId="6" fillId="0" borderId="5" xfId="26" applyNumberFormat="1" applyFont="1" applyFill="1" applyBorder="1" applyAlignment="1"/>
    <xf numFmtId="164" fontId="6" fillId="0" borderId="1" xfId="23" applyBorder="1"/>
    <xf numFmtId="164" fontId="28" fillId="0" borderId="0" xfId="23" applyFont="1"/>
    <xf numFmtId="3" fontId="28" fillId="0" borderId="0" xfId="23" applyNumberFormat="1" applyFont="1"/>
    <xf numFmtId="164" fontId="28" fillId="0" borderId="0" xfId="23" applyFont="1" applyAlignment="1">
      <alignment horizontal="centerContinuous"/>
    </xf>
    <xf numFmtId="4" fontId="28" fillId="0" borderId="0" xfId="23" applyNumberFormat="1" applyFont="1" applyAlignment="1">
      <alignment horizontal="centerContinuous"/>
    </xf>
    <xf numFmtId="164" fontId="6" fillId="0" borderId="0" xfId="23" applyAlignment="1">
      <alignment horizontal="centerContinuous"/>
    </xf>
    <xf numFmtId="3" fontId="28" fillId="0" borderId="0" xfId="23" applyNumberFormat="1" applyFont="1" applyAlignment="1">
      <alignment horizontal="centerContinuous"/>
    </xf>
    <xf numFmtId="0" fontId="6" fillId="0" borderId="0" xfId="23" applyNumberFormat="1" applyAlignment="1">
      <alignment horizontal="centerContinuous"/>
    </xf>
    <xf numFmtId="3" fontId="6" fillId="0" borderId="0" xfId="23" applyNumberFormat="1" applyAlignment="1">
      <alignment horizontal="centerContinuous"/>
    </xf>
    <xf numFmtId="0" fontId="18" fillId="0" borderId="0" xfId="23" applyNumberFormat="1" applyFont="1" applyAlignment="1" applyProtection="1">
      <alignment horizontal="centerContinuous"/>
      <protection locked="0"/>
    </xf>
    <xf numFmtId="0" fontId="28" fillId="0" borderId="0" xfId="23" applyNumberFormat="1" applyFont="1" applyAlignment="1">
      <alignment horizontal="centerContinuous"/>
    </xf>
    <xf numFmtId="0" fontId="28" fillId="0" borderId="0" xfId="31" applyNumberFormat="1" applyFont="1" applyProtection="1">
      <protection locked="0"/>
    </xf>
    <xf numFmtId="0" fontId="28" fillId="0" borderId="0" xfId="31" applyNumberFormat="1" applyFont="1" applyAlignment="1" applyProtection="1">
      <alignment horizontal="center"/>
      <protection locked="0"/>
    </xf>
    <xf numFmtId="3" fontId="28" fillId="0" borderId="0" xfId="31" applyNumberFormat="1" applyFont="1"/>
    <xf numFmtId="0" fontId="28" fillId="0" borderId="0" xfId="31" applyNumberFormat="1" applyFont="1" applyAlignment="1">
      <alignment horizontal="center"/>
    </xf>
    <xf numFmtId="3" fontId="28" fillId="0" borderId="0" xfId="31" applyNumberFormat="1" applyFont="1" applyAlignment="1">
      <alignment horizontal="center"/>
    </xf>
    <xf numFmtId="0" fontId="28" fillId="0" borderId="0" xfId="32" applyNumberFormat="1" applyFont="1" applyAlignment="1">
      <alignment horizontal="center"/>
    </xf>
    <xf numFmtId="49" fontId="28" fillId="0" borderId="0" xfId="32" applyNumberFormat="1" applyFont="1" applyAlignment="1">
      <alignment horizontal="center"/>
    </xf>
    <xf numFmtId="3" fontId="27" fillId="0" borderId="0" xfId="32" applyNumberFormat="1" applyFont="1" applyAlignment="1">
      <alignment horizontal="center"/>
    </xf>
    <xf numFmtId="3" fontId="28" fillId="0" borderId="0" xfId="32" applyNumberFormat="1" applyFont="1"/>
    <xf numFmtId="164" fontId="6" fillId="0" borderId="0" xfId="32"/>
    <xf numFmtId="164" fontId="27" fillId="0" borderId="0" xfId="32" applyFont="1" applyAlignment="1">
      <alignment horizontal="center"/>
    </xf>
    <xf numFmtId="0" fontId="27" fillId="0" borderId="0" xfId="32" applyNumberFormat="1" applyFont="1" applyAlignment="1" applyProtection="1">
      <alignment horizontal="center"/>
      <protection locked="0"/>
    </xf>
    <xf numFmtId="3" fontId="6" fillId="0" borderId="0" xfId="32" applyNumberFormat="1" applyAlignment="1">
      <alignment horizontal="center"/>
    </xf>
    <xf numFmtId="0" fontId="28" fillId="0" borderId="0" xfId="32" applyNumberFormat="1" applyFont="1"/>
    <xf numFmtId="3" fontId="28" fillId="0" borderId="0" xfId="32" applyNumberFormat="1" applyFont="1" applyAlignment="1">
      <alignment horizontal="center"/>
    </xf>
    <xf numFmtId="3" fontId="28" fillId="4" borderId="0" xfId="32" applyNumberFormat="1" applyFont="1" applyFill="1"/>
    <xf numFmtId="164" fontId="6" fillId="0" borderId="0" xfId="32" quotePrefix="1" applyAlignment="1">
      <alignment horizontal="left"/>
    </xf>
    <xf numFmtId="10" fontId="28" fillId="0" borderId="0" xfId="32" applyNumberFormat="1" applyFont="1"/>
    <xf numFmtId="49" fontId="6" fillId="0" borderId="0" xfId="32" applyNumberFormat="1" applyAlignment="1">
      <alignment horizontal="center"/>
    </xf>
    <xf numFmtId="164" fontId="28" fillId="0" borderId="0" xfId="32" applyFont="1" applyAlignment="1">
      <alignment horizontal="center"/>
    </xf>
    <xf numFmtId="49" fontId="18" fillId="0" borderId="0" xfId="32" applyNumberFormat="1" applyFont="1" applyAlignment="1">
      <alignment horizontal="center"/>
    </xf>
    <xf numFmtId="0" fontId="27" fillId="0" borderId="0" xfId="32" applyNumberFormat="1" applyFont="1"/>
    <xf numFmtId="3" fontId="27" fillId="0" borderId="0" xfId="32" applyNumberFormat="1" applyFont="1"/>
    <xf numFmtId="171" fontId="28" fillId="0" borderId="0" xfId="32" applyNumberFormat="1" applyFont="1" applyAlignment="1">
      <alignment horizontal="center"/>
    </xf>
    <xf numFmtId="0" fontId="28" fillId="0" borderId="0" xfId="23" applyNumberFormat="1" applyFont="1"/>
    <xf numFmtId="4" fontId="28" fillId="0" borderId="0" xfId="23" applyNumberFormat="1" applyFont="1"/>
    <xf numFmtId="164" fontId="28" fillId="0" borderId="0" xfId="23" applyFont="1" applyAlignment="1">
      <alignment horizontal="right"/>
    </xf>
    <xf numFmtId="164" fontId="6" fillId="0" borderId="0" xfId="23" applyAlignment="1">
      <alignment horizontal="right"/>
    </xf>
    <xf numFmtId="185" fontId="28" fillId="0" borderId="0" xfId="23" applyNumberFormat="1" applyFont="1" applyAlignment="1">
      <alignment horizontal="center"/>
    </xf>
    <xf numFmtId="0" fontId="28" fillId="0" borderId="0" xfId="23" quotePrefix="1" applyNumberFormat="1" applyFont="1" applyAlignment="1">
      <alignment horizontal="center"/>
    </xf>
    <xf numFmtId="3" fontId="6" fillId="0" borderId="0" xfId="23" applyNumberFormat="1" applyAlignment="1">
      <alignment horizontal="center"/>
    </xf>
    <xf numFmtId="0" fontId="6" fillId="0" borderId="0" xfId="23" applyNumberFormat="1" applyAlignment="1">
      <alignment horizontal="center"/>
    </xf>
    <xf numFmtId="164" fontId="6" fillId="0" borderId="11" xfId="23" applyBorder="1" applyAlignment="1">
      <alignment horizontal="center" vertical="top" wrapText="1"/>
    </xf>
    <xf numFmtId="0" fontId="28" fillId="0" borderId="11" xfId="23" applyNumberFormat="1" applyFont="1" applyBorder="1" applyAlignment="1">
      <alignment horizontal="center" vertical="top" wrapText="1"/>
    </xf>
    <xf numFmtId="4" fontId="6" fillId="0" borderId="10" xfId="23" applyNumberFormat="1" applyBorder="1" applyAlignment="1">
      <alignment horizontal="center" vertical="top" wrapText="1"/>
    </xf>
    <xf numFmtId="164" fontId="6" fillId="0" borderId="10" xfId="23" applyBorder="1" applyAlignment="1">
      <alignment horizontal="center" vertical="top" wrapText="1"/>
    </xf>
    <xf numFmtId="3" fontId="28" fillId="0" borderId="10" xfId="23" applyNumberFormat="1" applyFont="1" applyBorder="1" applyAlignment="1">
      <alignment horizontal="center" vertical="top" wrapText="1"/>
    </xf>
    <xf numFmtId="3" fontId="28" fillId="0" borderId="11" xfId="23" applyNumberFormat="1" applyFont="1" applyBorder="1" applyAlignment="1">
      <alignment horizontal="center" vertical="top" wrapText="1"/>
    </xf>
    <xf numFmtId="0" fontId="6" fillId="0" borderId="0" xfId="23" applyNumberFormat="1" applyAlignment="1">
      <alignment vertical="top"/>
    </xf>
    <xf numFmtId="164" fontId="6" fillId="0" borderId="0" xfId="23" applyAlignment="1">
      <alignment vertical="top"/>
    </xf>
    <xf numFmtId="0" fontId="28" fillId="0" borderId="12" xfId="23" applyNumberFormat="1" applyFont="1" applyBorder="1" applyAlignment="1">
      <alignment horizontal="center" vertical="top" wrapText="1"/>
    </xf>
    <xf numFmtId="0" fontId="28" fillId="0" borderId="14" xfId="23" applyNumberFormat="1" applyFont="1" applyBorder="1"/>
    <xf numFmtId="4" fontId="28" fillId="0" borderId="8" xfId="23" applyNumberFormat="1" applyFont="1" applyBorder="1"/>
    <xf numFmtId="0" fontId="28" fillId="0" borderId="8" xfId="23" applyNumberFormat="1" applyFont="1" applyBorder="1"/>
    <xf numFmtId="3" fontId="28" fillId="0" borderId="8" xfId="23" applyNumberFormat="1" applyFont="1" applyBorder="1"/>
    <xf numFmtId="0" fontId="28" fillId="0" borderId="9" xfId="23" applyNumberFormat="1" applyFont="1" applyBorder="1"/>
    <xf numFmtId="164" fontId="26" fillId="0" borderId="0" xfId="23" applyFont="1"/>
    <xf numFmtId="164" fontId="28" fillId="0" borderId="0" xfId="23" applyFont="1" applyAlignment="1">
      <alignment horizontal="center"/>
    </xf>
    <xf numFmtId="164" fontId="26" fillId="0" borderId="1" xfId="23" applyFont="1" applyBorder="1"/>
    <xf numFmtId="4" fontId="26" fillId="0" borderId="0" xfId="23" applyNumberFormat="1" applyFont="1"/>
    <xf numFmtId="164" fontId="53" fillId="0" borderId="0" xfId="23" applyFont="1"/>
    <xf numFmtId="164" fontId="27" fillId="0" borderId="0" xfId="23" applyFont="1" applyAlignment="1">
      <alignment horizontal="center"/>
    </xf>
    <xf numFmtId="164" fontId="18" fillId="0" borderId="0" xfId="23" applyFont="1" applyAlignment="1">
      <alignment horizontal="center"/>
    </xf>
    <xf numFmtId="3" fontId="18" fillId="0" borderId="0" xfId="23" applyNumberFormat="1" applyFont="1" applyAlignment="1">
      <alignment horizontal="center"/>
    </xf>
    <xf numFmtId="10" fontId="26" fillId="0" borderId="8" xfId="22" applyNumberFormat="1" applyFont="1" applyFill="1" applyBorder="1" applyAlignment="1"/>
    <xf numFmtId="0" fontId="55" fillId="0" borderId="0" xfId="33" applyFont="1"/>
    <xf numFmtId="174" fontId="28" fillId="0" borderId="0" xfId="23" applyNumberFormat="1" applyFont="1"/>
    <xf numFmtId="0" fontId="1" fillId="0" borderId="0" xfId="33"/>
    <xf numFmtId="164" fontId="6" fillId="0" borderId="0" xfId="23" applyAlignment="1">
      <alignment vertical="top" wrapText="1"/>
    </xf>
    <xf numFmtId="4" fontId="26" fillId="0" borderId="1" xfId="23" applyNumberFormat="1" applyFont="1" applyBorder="1"/>
    <xf numFmtId="0" fontId="28" fillId="0" borderId="10" xfId="23" applyNumberFormat="1" applyFont="1" applyBorder="1" applyAlignment="1">
      <alignment horizontal="center" vertical="top" wrapText="1"/>
    </xf>
    <xf numFmtId="3" fontId="28" fillId="0" borderId="5" xfId="32" applyNumberFormat="1" applyFont="1" applyBorder="1"/>
    <xf numFmtId="0" fontId="28" fillId="0" borderId="5" xfId="19" applyNumberFormat="1" applyFont="1" applyBorder="1" applyProtection="1">
      <protection locked="0"/>
    </xf>
    <xf numFmtId="0" fontId="28" fillId="0" borderId="5" xfId="19" applyNumberFormat="1" applyFont="1" applyBorder="1" applyAlignment="1" applyProtection="1">
      <alignment horizontal="left"/>
      <protection locked="0"/>
    </xf>
    <xf numFmtId="164" fontId="6" fillId="0" borderId="5" xfId="19" applyBorder="1"/>
    <xf numFmtId="0" fontId="28" fillId="0" borderId="5" xfId="19" applyNumberFormat="1" applyFont="1" applyBorder="1"/>
    <xf numFmtId="0" fontId="28" fillId="0" borderId="5" xfId="19" applyNumberFormat="1" applyFont="1" applyBorder="1" applyAlignment="1" applyProtection="1">
      <alignment horizontal="right"/>
      <protection locked="0"/>
    </xf>
    <xf numFmtId="0" fontId="6" fillId="0" borderId="5" xfId="19" applyNumberFormat="1" applyBorder="1"/>
    <xf numFmtId="0" fontId="40" fillId="0" borderId="5" xfId="19" applyNumberFormat="1" applyFont="1" applyBorder="1"/>
    <xf numFmtId="170" fontId="28" fillId="4" borderId="0" xfId="20" applyNumberFormat="1" applyFont="1" applyFill="1" applyBorder="1" applyAlignment="1"/>
    <xf numFmtId="170" fontId="28" fillId="4" borderId="3" xfId="20" applyNumberFormat="1" applyFont="1" applyFill="1" applyBorder="1" applyAlignment="1"/>
    <xf numFmtId="164" fontId="28" fillId="0" borderId="11" xfId="23" applyFont="1" applyBorder="1" applyAlignment="1">
      <alignment horizontal="center"/>
    </xf>
    <xf numFmtId="10" fontId="28" fillId="4" borderId="0" xfId="22" applyNumberFormat="1" applyFont="1" applyFill="1" applyBorder="1" applyAlignment="1">
      <alignment horizontal="center"/>
    </xf>
    <xf numFmtId="185" fontId="28" fillId="0" borderId="0" xfId="19" quotePrefix="1" applyNumberFormat="1" applyFont="1" applyAlignment="1">
      <alignment horizontal="center"/>
    </xf>
    <xf numFmtId="185" fontId="28" fillId="2" borderId="0" xfId="19" quotePrefix="1" applyNumberFormat="1" applyFont="1" applyFill="1" applyAlignment="1">
      <alignment horizontal="center"/>
    </xf>
    <xf numFmtId="185" fontId="28" fillId="2" borderId="0" xfId="23" applyNumberFormat="1" applyFont="1" applyFill="1" applyAlignment="1">
      <alignment horizontal="center"/>
    </xf>
    <xf numFmtId="164" fontId="6" fillId="0" borderId="11" xfId="19" applyBorder="1" applyAlignment="1">
      <alignment horizontal="center" vertical="top" wrapText="1"/>
    </xf>
    <xf numFmtId="164" fontId="6" fillId="0" borderId="15" xfId="19" applyBorder="1" applyAlignment="1">
      <alignment horizontal="center" vertical="top" wrapText="1"/>
    </xf>
    <xf numFmtId="164" fontId="6" fillId="0" borderId="10" xfId="19" applyBorder="1" applyAlignment="1">
      <alignment horizontal="center" vertical="top" wrapText="1"/>
    </xf>
    <xf numFmtId="3" fontId="6" fillId="0" borderId="0" xfId="19" applyNumberFormat="1" applyAlignment="1">
      <alignment vertical="top"/>
    </xf>
    <xf numFmtId="0" fontId="6" fillId="0" borderId="13" xfId="19" applyNumberFormat="1" applyBorder="1"/>
    <xf numFmtId="3" fontId="6" fillId="0" borderId="13" xfId="19" applyNumberFormat="1" applyBorder="1"/>
    <xf numFmtId="164" fontId="6" fillId="0" borderId="13" xfId="19" applyBorder="1"/>
    <xf numFmtId="164" fontId="6" fillId="4" borderId="0" xfId="19" applyFill="1"/>
    <xf numFmtId="175" fontId="28" fillId="4" borderId="0" xfId="26" applyNumberFormat="1" applyFont="1" applyFill="1" applyBorder="1" applyAlignment="1"/>
    <xf numFmtId="175" fontId="28" fillId="0" borderId="25" xfId="26" applyNumberFormat="1" applyFont="1" applyFill="1" applyBorder="1" applyAlignment="1"/>
    <xf numFmtId="10" fontId="28" fillId="0" borderId="8" xfId="22" applyNumberFormat="1" applyFont="1" applyFill="1" applyBorder="1" applyAlignment="1"/>
    <xf numFmtId="164" fontId="26" fillId="4" borderId="0" xfId="19" applyFont="1" applyFill="1"/>
    <xf numFmtId="164" fontId="26" fillId="0" borderId="8" xfId="19" applyFont="1" applyBorder="1"/>
    <xf numFmtId="164" fontId="6" fillId="0" borderId="8" xfId="19" applyBorder="1"/>
    <xf numFmtId="0" fontId="55" fillId="0" borderId="0" xfId="34" applyFont="1"/>
    <xf numFmtId="0" fontId="1" fillId="0" borderId="0" xfId="34"/>
    <xf numFmtId="164" fontId="6" fillId="0" borderId="0" xfId="19" applyAlignment="1">
      <alignment vertical="top" wrapText="1"/>
    </xf>
    <xf numFmtId="180" fontId="6" fillId="0" borderId="0" xfId="22" applyNumberFormat="1" applyFont="1" applyFill="1" applyBorder="1" applyAlignment="1"/>
    <xf numFmtId="164" fontId="6" fillId="0" borderId="0" xfId="19" applyAlignment="1">
      <alignment wrapText="1"/>
    </xf>
    <xf numFmtId="175" fontId="28" fillId="0" borderId="5" xfId="26" applyNumberFormat="1" applyFont="1" applyFill="1" applyBorder="1" applyAlignment="1"/>
    <xf numFmtId="10" fontId="28" fillId="0" borderId="5" xfId="22" applyNumberFormat="1" applyFont="1" applyFill="1" applyBorder="1" applyAlignment="1"/>
    <xf numFmtId="175" fontId="6" fillId="0" borderId="0" xfId="20" applyNumberFormat="1" applyFont="1" applyFill="1" applyBorder="1" applyAlignment="1"/>
    <xf numFmtId="0" fontId="3" fillId="0" borderId="0" xfId="36" applyFont="1"/>
    <xf numFmtId="43" fontId="54" fillId="0" borderId="0" xfId="20" applyFont="1" applyFill="1" applyBorder="1" applyAlignment="1"/>
    <xf numFmtId="170" fontId="0" fillId="0" borderId="0" xfId="1" applyNumberFormat="1" applyFont="1"/>
    <xf numFmtId="0" fontId="3" fillId="4" borderId="0" xfId="24" applyFill="1" applyAlignment="1">
      <alignment horizontal="center"/>
    </xf>
    <xf numFmtId="43" fontId="0" fillId="0" borderId="0" xfId="0" applyNumberFormat="1"/>
    <xf numFmtId="0" fontId="29" fillId="0" borderId="0" xfId="35" applyFont="1"/>
    <xf numFmtId="0" fontId="25" fillId="0" borderId="0" xfId="35" applyFont="1"/>
    <xf numFmtId="188" fontId="29" fillId="0" borderId="0" xfId="35" applyNumberFormat="1" applyFont="1"/>
    <xf numFmtId="0" fontId="29" fillId="0" borderId="0" xfId="35" applyFont="1" applyAlignment="1">
      <alignment horizontal="center"/>
    </xf>
    <xf numFmtId="0" fontId="29" fillId="0" borderId="0" xfId="35" applyFont="1" applyAlignment="1">
      <alignment horizontal="center" vertical="center"/>
    </xf>
    <xf numFmtId="175" fontId="15" fillId="0" borderId="0" xfId="26" applyNumberFormat="1" applyFont="1" applyFill="1" applyBorder="1" applyAlignment="1"/>
    <xf numFmtId="0" fontId="29" fillId="0" borderId="0" xfId="0" applyFont="1"/>
    <xf numFmtId="0" fontId="29" fillId="0" borderId="0" xfId="30" applyFont="1" applyFill="1" applyBorder="1" applyAlignment="1">
      <alignment horizontal="center" vertical="top" wrapText="1"/>
    </xf>
    <xf numFmtId="177" fontId="29" fillId="0" borderId="0" xfId="35" applyNumberFormat="1" applyFont="1"/>
    <xf numFmtId="188" fontId="29" fillId="0" borderId="0" xfId="35" applyNumberFormat="1" applyFont="1" applyAlignment="1">
      <alignment horizontal="left" indent="1"/>
    </xf>
    <xf numFmtId="170" fontId="29" fillId="0" borderId="0" xfId="37" applyNumberFormat="1" applyFont="1" applyFill="1" applyBorder="1"/>
    <xf numFmtId="10" fontId="29" fillId="0" borderId="0" xfId="2" applyNumberFormat="1" applyFont="1" applyFill="1" applyBorder="1" applyAlignment="1">
      <alignment horizontal="center"/>
    </xf>
    <xf numFmtId="177" fontId="29" fillId="0" borderId="0" xfId="2" applyNumberFormat="1" applyFont="1" applyFill="1" applyBorder="1" applyAlignment="1">
      <alignment horizontal="center"/>
    </xf>
    <xf numFmtId="177" fontId="29" fillId="0" borderId="0" xfId="22" applyNumberFormat="1" applyFont="1" applyFill="1" applyBorder="1"/>
    <xf numFmtId="170" fontId="57" fillId="0" borderId="0" xfId="37" applyNumberFormat="1" applyFont="1" applyFill="1" applyBorder="1" applyAlignment="1">
      <alignment horizontal="right"/>
    </xf>
    <xf numFmtId="10" fontId="57" fillId="0" borderId="0" xfId="22" applyNumberFormat="1" applyFont="1" applyFill="1" applyBorder="1"/>
    <xf numFmtId="6" fontId="29" fillId="0" borderId="0" xfId="35" applyNumberFormat="1" applyFont="1"/>
    <xf numFmtId="6" fontId="29" fillId="0" borderId="5" xfId="35" applyNumberFormat="1" applyFont="1" applyBorder="1"/>
    <xf numFmtId="14" fontId="3" fillId="4" borderId="0" xfId="24" applyNumberFormat="1" applyFill="1" applyAlignment="1">
      <alignment horizontal="center"/>
    </xf>
    <xf numFmtId="6" fontId="29" fillId="0" borderId="4" xfId="35" applyNumberFormat="1" applyFont="1" applyBorder="1"/>
    <xf numFmtId="174" fontId="58" fillId="0" borderId="0" xfId="8" applyNumberFormat="1" applyFont="1" applyAlignment="1">
      <alignment horizontal="center" wrapText="1"/>
    </xf>
    <xf numFmtId="3" fontId="3" fillId="0" borderId="0" xfId="26" applyNumberFormat="1" applyFont="1" applyFill="1" applyBorder="1" applyAlignment="1">
      <alignment horizontal="right" vertical="top"/>
    </xf>
    <xf numFmtId="0" fontId="3" fillId="0" borderId="0" xfId="15" applyAlignment="1">
      <alignment horizontal="right"/>
    </xf>
    <xf numFmtId="0" fontId="3" fillId="0" borderId="0" xfId="24" applyAlignment="1">
      <alignment horizontal="right"/>
    </xf>
    <xf numFmtId="10" fontId="57" fillId="0" borderId="5" xfId="22" applyNumberFormat="1" applyFont="1" applyFill="1" applyBorder="1"/>
    <xf numFmtId="170" fontId="29" fillId="0" borderId="0" xfId="1" applyNumberFormat="1" applyFont="1" applyFill="1"/>
    <xf numFmtId="189" fontId="0" fillId="0" borderId="0" xfId="1" applyNumberFormat="1" applyFont="1"/>
    <xf numFmtId="10" fontId="0" fillId="0" borderId="0" xfId="2" applyNumberFormat="1" applyFont="1" applyFill="1"/>
    <xf numFmtId="189" fontId="0" fillId="0" borderId="0" xfId="1" applyNumberFormat="1" applyFont="1" applyFill="1"/>
    <xf numFmtId="10" fontId="60" fillId="0" borderId="0" xfId="2" applyNumberFormat="1" applyFont="1" applyFill="1"/>
    <xf numFmtId="170" fontId="6" fillId="0" borderId="0" xfId="1" applyNumberFormat="1" applyFont="1" applyFill="1" applyBorder="1" applyAlignment="1"/>
    <xf numFmtId="0" fontId="0" fillId="0" borderId="0" xfId="0" applyAlignment="1">
      <alignment horizontal="right" indent="1"/>
    </xf>
    <xf numFmtId="0" fontId="29" fillId="0" borderId="0" xfId="5" applyFont="1" applyAlignment="1">
      <alignment horizontal="center"/>
    </xf>
    <xf numFmtId="10" fontId="3" fillId="0" borderId="4" xfId="14" applyNumberFormat="1" applyFont="1" applyFill="1" applyBorder="1"/>
    <xf numFmtId="0" fontId="3" fillId="0" borderId="0" xfId="5" applyFont="1" applyAlignment="1">
      <alignment horizontal="right"/>
    </xf>
    <xf numFmtId="170" fontId="14" fillId="0" borderId="26" xfId="9" applyNumberFormat="1" applyFont="1" applyBorder="1"/>
    <xf numFmtId="170" fontId="3" fillId="0" borderId="0" xfId="9" applyNumberFormat="1" applyFont="1"/>
    <xf numFmtId="170" fontId="3" fillId="0" borderId="0" xfId="10" applyNumberFormat="1" applyFont="1" applyFill="1"/>
    <xf numFmtId="0" fontId="29" fillId="0" borderId="0" xfId="5" applyFont="1"/>
    <xf numFmtId="0" fontId="3" fillId="0" borderId="0" xfId="5" applyFont="1"/>
    <xf numFmtId="1" fontId="32" fillId="9" borderId="0" xfId="8" applyNumberFormat="1" applyFont="1" applyFill="1" applyAlignment="1">
      <alignment horizontal="center" vertical="top" wrapText="1"/>
    </xf>
    <xf numFmtId="0" fontId="33" fillId="9" borderId="0" xfId="15" applyFont="1" applyFill="1" applyAlignment="1">
      <alignment vertical="top"/>
    </xf>
    <xf numFmtId="0" fontId="3" fillId="0" borderId="0" xfId="24" applyAlignment="1">
      <alignment vertical="top"/>
    </xf>
    <xf numFmtId="1" fontId="58" fillId="0" borderId="0" xfId="8" applyNumberFormat="1" applyFont="1" applyAlignment="1">
      <alignment horizontal="center" vertical="top" wrapText="1"/>
    </xf>
    <xf numFmtId="0" fontId="28" fillId="0" borderId="0" xfId="23" applyNumberFormat="1" applyFont="1" applyAlignment="1">
      <alignment vertical="center"/>
    </xf>
    <xf numFmtId="0" fontId="6" fillId="0" borderId="9" xfId="20" applyNumberFormat="1" applyFont="1" applyFill="1" applyBorder="1" applyAlignment="1">
      <alignment horizontal="center" vertical="top" wrapText="1"/>
    </xf>
    <xf numFmtId="164" fontId="26" fillId="0" borderId="7" xfId="23" applyFont="1" applyBorder="1" applyAlignment="1">
      <alignment horizontal="center" vertical="top" wrapText="1"/>
    </xf>
    <xf numFmtId="164" fontId="26" fillId="0" borderId="3" xfId="23" applyFont="1" applyBorder="1" applyAlignment="1">
      <alignment vertical="top" wrapText="1"/>
    </xf>
    <xf numFmtId="174" fontId="6" fillId="0" borderId="8" xfId="23" applyNumberFormat="1" applyBorder="1" applyAlignment="1">
      <alignment vertical="top"/>
    </xf>
    <xf numFmtId="175" fontId="6" fillId="4" borderId="0" xfId="26" applyNumberFormat="1" applyFont="1" applyFill="1" applyBorder="1" applyAlignment="1">
      <alignment vertical="top"/>
    </xf>
    <xf numFmtId="175" fontId="28" fillId="0" borderId="8" xfId="26" applyNumberFormat="1" applyFont="1" applyFill="1" applyBorder="1" applyAlignment="1">
      <alignment vertical="top"/>
    </xf>
    <xf numFmtId="10" fontId="6" fillId="0" borderId="8" xfId="22" applyNumberFormat="1" applyFont="1" applyFill="1" applyBorder="1" applyAlignment="1">
      <alignment vertical="top"/>
    </xf>
    <xf numFmtId="164" fontId="26" fillId="0" borderId="0" xfId="23" applyFont="1" applyAlignment="1">
      <alignment vertical="top"/>
    </xf>
    <xf numFmtId="10" fontId="6" fillId="0" borderId="0" xfId="22" applyNumberFormat="1" applyFont="1" applyFill="1" applyBorder="1" applyAlignment="1">
      <alignment vertical="top"/>
    </xf>
    <xf numFmtId="3" fontId="6" fillId="0" borderId="8" xfId="23" applyNumberFormat="1" applyBorder="1" applyAlignment="1">
      <alignment vertical="top"/>
    </xf>
    <xf numFmtId="175" fontId="6" fillId="0" borderId="9" xfId="26" applyNumberFormat="1" applyFont="1" applyFill="1" applyBorder="1" applyAlignment="1">
      <alignment vertical="top"/>
    </xf>
    <xf numFmtId="164" fontId="26" fillId="0" borderId="6" xfId="23" applyFont="1" applyBorder="1" applyAlignment="1">
      <alignment vertical="top"/>
    </xf>
    <xf numFmtId="164" fontId="26" fillId="0" borderId="7" xfId="23" applyFont="1" applyBorder="1" applyAlignment="1">
      <alignment vertical="top"/>
    </xf>
    <xf numFmtId="164" fontId="26" fillId="0" borderId="3" xfId="23" applyFont="1" applyBorder="1" applyAlignment="1">
      <alignment vertical="top"/>
    </xf>
    <xf numFmtId="4" fontId="26" fillId="0" borderId="6" xfId="23" applyNumberFormat="1" applyFont="1" applyBorder="1" applyAlignment="1">
      <alignment vertical="top"/>
    </xf>
    <xf numFmtId="4" fontId="6" fillId="0" borderId="8" xfId="23" applyNumberFormat="1" applyBorder="1" applyAlignment="1">
      <alignment vertical="top"/>
    </xf>
    <xf numFmtId="170" fontId="29" fillId="0" borderId="0" xfId="35" applyNumberFormat="1" applyFont="1"/>
    <xf numFmtId="170" fontId="29" fillId="0" borderId="0" xfId="1" applyNumberFormat="1" applyFont="1" applyFill="1" applyBorder="1"/>
    <xf numFmtId="170" fontId="29" fillId="0" borderId="0" xfId="0" applyNumberFormat="1" applyFont="1"/>
    <xf numFmtId="170" fontId="68" fillId="0" borderId="0" xfId="1" applyNumberFormat="1" applyFont="1"/>
    <xf numFmtId="175" fontId="6" fillId="4" borderId="8" xfId="26" applyNumberFormat="1" applyFont="1" applyFill="1" applyBorder="1" applyAlignment="1">
      <alignment vertical="top"/>
    </xf>
    <xf numFmtId="3" fontId="28" fillId="13" borderId="0" xfId="32" applyNumberFormat="1" applyFont="1" applyFill="1"/>
    <xf numFmtId="175" fontId="6" fillId="13" borderId="9" xfId="26" applyNumberFormat="1" applyFont="1" applyFill="1" applyBorder="1" applyAlignment="1">
      <alignment vertical="top"/>
    </xf>
    <xf numFmtId="175" fontId="28" fillId="13" borderId="0" xfId="26" applyNumberFormat="1" applyFont="1" applyFill="1" applyBorder="1" applyAlignment="1"/>
    <xf numFmtId="10" fontId="28" fillId="13" borderId="0" xfId="22" applyNumberFormat="1" applyFont="1" applyFill="1" applyBorder="1" applyAlignment="1">
      <alignment horizontal="center"/>
    </xf>
    <xf numFmtId="170" fontId="28" fillId="13" borderId="0" xfId="20" applyNumberFormat="1" applyFont="1" applyFill="1" applyBorder="1" applyAlignment="1"/>
    <xf numFmtId="170" fontId="28" fillId="13" borderId="3" xfId="20" applyNumberFormat="1" applyFont="1" applyFill="1" applyBorder="1" applyAlignment="1"/>
    <xf numFmtId="43" fontId="45" fillId="0" borderId="0" xfId="1" applyFont="1"/>
    <xf numFmtId="44" fontId="0" fillId="0" borderId="0" xfId="0" applyNumberFormat="1"/>
    <xf numFmtId="175" fontId="6" fillId="4" borderId="0" xfId="26" applyNumberFormat="1" applyFont="1" applyFill="1" applyBorder="1" applyAlignment="1"/>
    <xf numFmtId="0" fontId="29" fillId="0" borderId="0" xfId="0" applyFont="1" applyAlignment="1">
      <alignment horizontal="right" indent="1"/>
    </xf>
    <xf numFmtId="181" fontId="29" fillId="0" borderId="0" xfId="0" applyNumberFormat="1" applyFont="1"/>
    <xf numFmtId="0" fontId="3" fillId="0" borderId="0" xfId="6" applyFont="1"/>
    <xf numFmtId="0" fontId="3" fillId="0" borderId="0" xfId="6" applyFont="1" applyAlignment="1">
      <alignment horizontal="right"/>
    </xf>
    <xf numFmtId="0" fontId="3" fillId="0" borderId="0" xfId="6" applyFont="1" applyAlignment="1">
      <alignment horizontal="center"/>
    </xf>
    <xf numFmtId="0" fontId="3" fillId="0" borderId="0" xfId="6" applyFont="1" applyAlignment="1">
      <alignment vertical="center"/>
    </xf>
    <xf numFmtId="0" fontId="3" fillId="0" borderId="3" xfId="6" applyFont="1" applyBorder="1" applyAlignment="1">
      <alignment vertical="center"/>
    </xf>
    <xf numFmtId="0" fontId="3" fillId="0" borderId="3" xfId="6" applyFont="1" applyBorder="1" applyAlignment="1">
      <alignment horizontal="center" vertical="center" wrapText="1"/>
    </xf>
    <xf numFmtId="0" fontId="3" fillId="0" borderId="3" xfId="6" applyFont="1" applyBorder="1" applyAlignment="1">
      <alignment horizontal="center" vertical="center"/>
    </xf>
    <xf numFmtId="41" fontId="3" fillId="0" borderId="0" xfId="6" applyNumberFormat="1" applyFont="1"/>
    <xf numFmtId="37" fontId="3" fillId="0" borderId="4" xfId="6" applyNumberFormat="1" applyFont="1" applyBorder="1"/>
    <xf numFmtId="37" fontId="3" fillId="0" borderId="0" xfId="6" applyNumberFormat="1" applyFont="1"/>
    <xf numFmtId="0" fontId="3" fillId="0" borderId="0" xfId="6" applyFont="1" applyAlignment="1">
      <alignment horizontal="center" wrapText="1"/>
    </xf>
    <xf numFmtId="170" fontId="3" fillId="0" borderId="0" xfId="1" applyNumberFormat="1" applyFont="1" applyFill="1" applyBorder="1" applyAlignment="1"/>
    <xf numFmtId="175" fontId="3" fillId="0" borderId="0" xfId="12" applyNumberFormat="1" applyFont="1" applyFill="1"/>
    <xf numFmtId="0" fontId="3" fillId="0" borderId="0" xfId="12" applyNumberFormat="1" applyFont="1" applyFill="1"/>
    <xf numFmtId="0" fontId="3" fillId="0" borderId="5" xfId="11" applyFont="1" applyBorder="1"/>
    <xf numFmtId="175" fontId="29" fillId="0" borderId="5" xfId="12" applyNumberFormat="1" applyFont="1" applyFill="1" applyBorder="1"/>
    <xf numFmtId="0" fontId="3" fillId="0" borderId="0" xfId="11" applyFont="1"/>
    <xf numFmtId="42" fontId="3" fillId="0" borderId="0" xfId="1" applyNumberFormat="1" applyFont="1" applyFill="1"/>
    <xf numFmtId="170" fontId="3" fillId="2" borderId="0" xfId="1" applyNumberFormat="1" applyFont="1" applyFill="1"/>
    <xf numFmtId="41" fontId="29" fillId="0" borderId="0" xfId="1" applyNumberFormat="1" applyFont="1" applyFill="1"/>
    <xf numFmtId="41" fontId="3" fillId="0" borderId="5" xfId="1" applyNumberFormat="1" applyFont="1" applyFill="1" applyBorder="1"/>
    <xf numFmtId="42" fontId="29" fillId="0" borderId="0" xfId="1" applyNumberFormat="1" applyFont="1" applyFill="1"/>
    <xf numFmtId="10" fontId="3" fillId="0" borderId="0" xfId="11" applyNumberFormat="1" applyFont="1"/>
    <xf numFmtId="10" fontId="3" fillId="0" borderId="0" xfId="14" applyNumberFormat="1" applyFont="1" applyFill="1"/>
    <xf numFmtId="170" fontId="3" fillId="0" borderId="0" xfId="1" applyNumberFormat="1" applyFont="1" applyFill="1"/>
    <xf numFmtId="41" fontId="3" fillId="0" borderId="0" xfId="14" applyNumberFormat="1" applyFont="1" applyFill="1"/>
    <xf numFmtId="41" fontId="3" fillId="0" borderId="0" xfId="1" applyNumberFormat="1" applyFont="1" applyFill="1"/>
    <xf numFmtId="1" fontId="3" fillId="0" borderId="0" xfId="11" applyNumberFormat="1" applyFont="1"/>
    <xf numFmtId="171" fontId="3" fillId="0" borderId="0" xfId="5" applyNumberFormat="1" applyFont="1"/>
    <xf numFmtId="171" fontId="3" fillId="0" borderId="0" xfId="5" applyNumberFormat="1" applyFont="1" applyAlignment="1">
      <alignment horizontal="center" vertical="center" wrapText="1"/>
    </xf>
    <xf numFmtId="177" fontId="3" fillId="0" borderId="0" xfId="14" applyNumberFormat="1" applyFont="1" applyFill="1"/>
    <xf numFmtId="177" fontId="3" fillId="0" borderId="0" xfId="14" applyNumberFormat="1" applyFont="1" applyFill="1" applyBorder="1"/>
    <xf numFmtId="177" fontId="3" fillId="0" borderId="4" xfId="14" applyNumberFormat="1" applyFont="1" applyFill="1" applyBorder="1"/>
    <xf numFmtId="10" fontId="3" fillId="0" borderId="3" xfId="14" applyNumberFormat="1" applyFont="1" applyFill="1" applyBorder="1"/>
    <xf numFmtId="42" fontId="3" fillId="0" borderId="3" xfId="1" applyNumberFormat="1" applyFont="1" applyFill="1" applyBorder="1"/>
    <xf numFmtId="0" fontId="3" fillId="0" borderId="3" xfId="24" applyBorder="1" applyAlignment="1">
      <alignment horizontal="center"/>
    </xf>
    <xf numFmtId="0" fontId="69" fillId="9" borderId="0" xfId="15" applyFont="1" applyFill="1"/>
    <xf numFmtId="6" fontId="29" fillId="2" borderId="0" xfId="35" applyNumberFormat="1" applyFont="1" applyFill="1"/>
    <xf numFmtId="191" fontId="3" fillId="0" borderId="0" xfId="6" applyNumberFormat="1" applyFont="1"/>
    <xf numFmtId="43" fontId="3" fillId="0" borderId="0" xfId="1" applyFont="1" applyFill="1"/>
    <xf numFmtId="170" fontId="3" fillId="0" borderId="0" xfId="1" applyNumberFormat="1" applyFont="1"/>
    <xf numFmtId="181" fontId="25" fillId="0" borderId="0" xfId="0" applyNumberFormat="1" applyFont="1"/>
    <xf numFmtId="1" fontId="32" fillId="9" borderId="0" xfId="8" quotePrefix="1" applyNumberFormat="1" applyFont="1" applyFill="1" applyAlignment="1">
      <alignment horizontal="center" vertical="top" wrapText="1"/>
    </xf>
    <xf numFmtId="170" fontId="20" fillId="0" borderId="0" xfId="1" applyNumberFormat="1" applyFont="1" applyFill="1"/>
    <xf numFmtId="192" fontId="3" fillId="0" borderId="0" xfId="6" quotePrefix="1" applyNumberFormat="1" applyFont="1" applyAlignment="1">
      <alignment horizontal="left"/>
    </xf>
    <xf numFmtId="193" fontId="3" fillId="0" borderId="0" xfId="6" quotePrefix="1" applyNumberFormat="1" applyFont="1" applyAlignment="1">
      <alignment horizontal="left"/>
    </xf>
    <xf numFmtId="175" fontId="28" fillId="3" borderId="0" xfId="26" applyNumberFormat="1" applyFont="1" applyFill="1" applyBorder="1" applyAlignment="1">
      <alignment vertical="center"/>
    </xf>
    <xf numFmtId="175" fontId="6" fillId="3" borderId="0" xfId="21" applyNumberFormat="1" applyFont="1" applyFill="1" applyBorder="1" applyAlignment="1">
      <alignment vertical="center"/>
    </xf>
    <xf numFmtId="175" fontId="28" fillId="3" borderId="0" xfId="21" applyNumberFormat="1" applyFont="1" applyFill="1" applyBorder="1" applyAlignment="1">
      <alignment vertical="center"/>
    </xf>
    <xf numFmtId="41" fontId="3" fillId="0" borderId="4" xfId="6" applyNumberFormat="1" applyFont="1" applyBorder="1"/>
    <xf numFmtId="170" fontId="3" fillId="0" borderId="4" xfId="6" applyNumberFormat="1" applyFont="1" applyBorder="1"/>
    <xf numFmtId="170" fontId="20" fillId="0" borderId="0" xfId="20" applyNumberFormat="1" applyFont="1" applyFill="1" applyAlignment="1">
      <alignment horizontal="center"/>
    </xf>
    <xf numFmtId="170" fontId="20" fillId="0" borderId="0" xfId="24" applyNumberFormat="1" applyFont="1"/>
    <xf numFmtId="10" fontId="20" fillId="0" borderId="0" xfId="2" applyNumberFormat="1" applyFont="1" applyFill="1"/>
    <xf numFmtId="190" fontId="43" fillId="0" borderId="0" xfId="1" applyNumberFormat="1" applyFont="1" applyFill="1"/>
    <xf numFmtId="181" fontId="29" fillId="0" borderId="0" xfId="0" applyNumberFormat="1" applyFont="1" applyAlignment="1">
      <alignment horizontal="center"/>
    </xf>
    <xf numFmtId="43" fontId="68" fillId="0" borderId="0" xfId="0" applyNumberFormat="1" applyFont="1"/>
    <xf numFmtId="0" fontId="68" fillId="0" borderId="0" xfId="0" applyFont="1"/>
    <xf numFmtId="3" fontId="0" fillId="0" borderId="0" xfId="0" applyNumberFormat="1"/>
    <xf numFmtId="175" fontId="43" fillId="0" borderId="0" xfId="24" applyNumberFormat="1" applyFont="1"/>
    <xf numFmtId="170" fontId="43" fillId="0" borderId="0" xfId="20" applyNumberFormat="1" applyFont="1" applyFill="1"/>
    <xf numFmtId="0" fontId="3" fillId="0" borderId="3" xfId="11" applyFont="1" applyBorder="1" applyAlignment="1">
      <alignment horizontal="center"/>
    </xf>
    <xf numFmtId="164" fontId="6" fillId="0" borderId="0" xfId="32" applyAlignment="1">
      <alignment wrapText="1"/>
    </xf>
    <xf numFmtId="0" fontId="28" fillId="0" borderId="0" xfId="19" applyNumberFormat="1" applyFont="1" applyAlignment="1">
      <alignment wrapText="1"/>
    </xf>
    <xf numFmtId="44" fontId="0" fillId="0" borderId="0" xfId="1" applyNumberFormat="1" applyFont="1"/>
    <xf numFmtId="175" fontId="6" fillId="13" borderId="0" xfId="26" applyNumberFormat="1" applyFont="1" applyFill="1" applyBorder="1" applyAlignment="1">
      <alignment vertical="top"/>
    </xf>
    <xf numFmtId="175" fontId="6" fillId="0" borderId="0" xfId="26" applyNumberFormat="1" applyFont="1" applyFill="1" applyBorder="1" applyAlignment="1">
      <alignment vertical="top"/>
    </xf>
    <xf numFmtId="0" fontId="3" fillId="0" borderId="0" xfId="24" applyAlignment="1">
      <alignment horizontal="center" vertical="top"/>
    </xf>
    <xf numFmtId="0" fontId="6" fillId="0" borderId="0" xfId="23" applyNumberFormat="1" applyAlignment="1">
      <alignment horizontal="center" vertical="top"/>
    </xf>
    <xf numFmtId="164" fontId="26" fillId="0" borderId="9" xfId="23" applyFont="1" applyBorder="1" applyAlignment="1">
      <alignment horizontal="center" vertical="top" wrapText="1"/>
    </xf>
    <xf numFmtId="164" fontId="26" fillId="0" borderId="0" xfId="23" applyFont="1" applyAlignment="1">
      <alignment vertical="top" wrapText="1"/>
    </xf>
    <xf numFmtId="0" fontId="75" fillId="0" borderId="0" xfId="0" applyFont="1" applyAlignment="1">
      <alignment horizontal="left"/>
    </xf>
    <xf numFmtId="0" fontId="76" fillId="0" borderId="0" xfId="0" applyFont="1" applyAlignment="1">
      <alignment horizontal="left"/>
    </xf>
    <xf numFmtId="0" fontId="77" fillId="0" borderId="0" xfId="0" applyFont="1" applyAlignment="1">
      <alignment horizontal="left"/>
    </xf>
    <xf numFmtId="0" fontId="78" fillId="0" borderId="0" xfId="0" applyFont="1" applyAlignment="1">
      <alignment horizontal="left"/>
    </xf>
    <xf numFmtId="194" fontId="3" fillId="0" borderId="0" xfId="6" quotePrefix="1" applyNumberFormat="1" applyFont="1" applyAlignment="1">
      <alignment horizontal="left"/>
    </xf>
    <xf numFmtId="0" fontId="79" fillId="0" borderId="0" xfId="0" applyFont="1" applyAlignment="1">
      <alignment horizontal="left"/>
    </xf>
    <xf numFmtId="0" fontId="81" fillId="0" borderId="0" xfId="0" applyFont="1" applyAlignment="1">
      <alignment horizontal="left"/>
    </xf>
    <xf numFmtId="0" fontId="82" fillId="16" borderId="0" xfId="79" applyFont="1" applyAlignment="1">
      <alignment horizontal="center" vertical="center" wrapText="1"/>
    </xf>
    <xf numFmtId="10" fontId="3" fillId="0" borderId="5" xfId="2" applyNumberFormat="1" applyFont="1" applyBorder="1"/>
    <xf numFmtId="0" fontId="15" fillId="17" borderId="0" xfId="6" applyFont="1" applyFill="1" applyAlignment="1">
      <alignment horizontal="center" vertical="center" wrapText="1"/>
    </xf>
    <xf numFmtId="170" fontId="5" fillId="0" borderId="0" xfId="1" applyNumberFormat="1" applyFont="1" applyFill="1"/>
    <xf numFmtId="170" fontId="0" fillId="0" borderId="5" xfId="1" applyNumberFormat="1" applyFont="1" applyBorder="1"/>
    <xf numFmtId="0" fontId="5" fillId="0" borderId="0" xfId="11" applyAlignment="1">
      <alignment horizontal="center" vertical="center" wrapText="1"/>
    </xf>
    <xf numFmtId="0" fontId="5" fillId="0" borderId="0" xfId="11" applyAlignment="1">
      <alignment horizontal="left" indent="1"/>
    </xf>
    <xf numFmtId="0" fontId="3" fillId="0" borderId="0" xfId="11" applyFont="1" applyAlignment="1">
      <alignment horizontal="left" indent="1"/>
    </xf>
    <xf numFmtId="0" fontId="15" fillId="0" borderId="0" xfId="11" applyFont="1" applyAlignment="1">
      <alignment horizontal="left" indent="1"/>
    </xf>
    <xf numFmtId="192" fontId="3" fillId="0" borderId="13" xfId="6" quotePrefix="1" applyNumberFormat="1" applyFont="1" applyBorder="1" applyAlignment="1">
      <alignment horizontal="left"/>
    </xf>
    <xf numFmtId="192" fontId="3" fillId="0" borderId="8" xfId="6" quotePrefix="1" applyNumberFormat="1" applyFont="1" applyBorder="1" applyAlignment="1">
      <alignment horizontal="left"/>
    </xf>
    <xf numFmtId="193" fontId="3" fillId="0" borderId="8" xfId="6" quotePrefix="1" applyNumberFormat="1" applyFont="1" applyBorder="1" applyAlignment="1">
      <alignment horizontal="left"/>
    </xf>
    <xf numFmtId="192" fontId="3" fillId="0" borderId="6" xfId="6" quotePrefix="1" applyNumberFormat="1" applyFont="1" applyBorder="1" applyAlignment="1">
      <alignment horizontal="left"/>
    </xf>
    <xf numFmtId="0" fontId="83" fillId="0" borderId="13" xfId="0" applyFont="1" applyBorder="1" applyAlignment="1">
      <alignment horizontal="left"/>
    </xf>
    <xf numFmtId="192" fontId="42" fillId="0" borderId="13" xfId="6" quotePrefix="1" applyNumberFormat="1" applyFont="1" applyBorder="1" applyAlignment="1">
      <alignment horizontal="left"/>
    </xf>
    <xf numFmtId="170" fontId="42" fillId="0" borderId="14" xfId="1" applyNumberFormat="1" applyFont="1" applyBorder="1"/>
    <xf numFmtId="170" fontId="42" fillId="0" borderId="5" xfId="1" applyNumberFormat="1" applyFont="1" applyBorder="1"/>
    <xf numFmtId="170" fontId="42" fillId="0" borderId="28" xfId="1" applyNumberFormat="1" applyFont="1" applyBorder="1"/>
    <xf numFmtId="3" fontId="42" fillId="0" borderId="13" xfId="26" applyNumberFormat="1" applyFont="1" applyFill="1" applyBorder="1" applyAlignment="1">
      <alignment horizontal="right" vertical="top"/>
    </xf>
    <xf numFmtId="0" fontId="83" fillId="0" borderId="6" xfId="0" applyFont="1" applyBorder="1" applyAlignment="1">
      <alignment horizontal="left"/>
    </xf>
    <xf numFmtId="192" fontId="42" fillId="0" borderId="6" xfId="6" quotePrefix="1" applyNumberFormat="1" applyFont="1" applyBorder="1" applyAlignment="1">
      <alignment horizontal="left"/>
    </xf>
    <xf numFmtId="170" fontId="42" fillId="0" borderId="7" xfId="1" applyNumberFormat="1" applyFont="1" applyBorder="1"/>
    <xf numFmtId="170" fontId="42" fillId="0" borderId="3" xfId="1" applyNumberFormat="1" applyFont="1" applyBorder="1"/>
    <xf numFmtId="170" fontId="42" fillId="0" borderId="27" xfId="1" applyNumberFormat="1" applyFont="1" applyBorder="1"/>
    <xf numFmtId="3" fontId="42" fillId="0" borderId="6" xfId="26" applyNumberFormat="1" applyFont="1" applyFill="1" applyBorder="1" applyAlignment="1">
      <alignment horizontal="right" vertical="top"/>
    </xf>
    <xf numFmtId="0" fontId="44" fillId="8" borderId="9" xfId="25" applyFont="1" applyFill="1" applyBorder="1">
      <alignment vertical="top"/>
    </xf>
    <xf numFmtId="192" fontId="42" fillId="0" borderId="8" xfId="6" quotePrefix="1" applyNumberFormat="1" applyFont="1" applyBorder="1" applyAlignment="1">
      <alignment horizontal="left"/>
    </xf>
    <xf numFmtId="3" fontId="42" fillId="0" borderId="8" xfId="26" applyNumberFormat="1" applyFont="1" applyFill="1" applyBorder="1" applyAlignment="1">
      <alignment horizontal="right" vertical="top"/>
    </xf>
    <xf numFmtId="193" fontId="42" fillId="0" borderId="8" xfId="6" quotePrefix="1" applyNumberFormat="1" applyFont="1" applyBorder="1" applyAlignment="1">
      <alignment horizontal="left"/>
    </xf>
    <xf numFmtId="0" fontId="44" fillId="8" borderId="8" xfId="25" applyFont="1" applyFill="1" applyBorder="1">
      <alignment vertical="top"/>
    </xf>
    <xf numFmtId="0" fontId="44" fillId="8" borderId="5" xfId="25" applyFont="1" applyFill="1" applyBorder="1">
      <alignment vertical="top"/>
    </xf>
    <xf numFmtId="0" fontId="44" fillId="0" borderId="5" xfId="15" applyFont="1" applyBorder="1" applyAlignment="1">
      <alignment horizontal="right"/>
    </xf>
    <xf numFmtId="174" fontId="42" fillId="0" borderId="11" xfId="25" applyNumberFormat="1" applyFont="1" applyBorder="1" applyAlignment="1">
      <alignment horizontal="right" vertical="top"/>
    </xf>
    <xf numFmtId="174" fontId="42" fillId="0" borderId="15" xfId="25" applyNumberFormat="1" applyFont="1" applyBorder="1" applyAlignment="1">
      <alignment horizontal="right" vertical="top"/>
    </xf>
    <xf numFmtId="194" fontId="42" fillId="0" borderId="25" xfId="6" quotePrefix="1" applyNumberFormat="1" applyFont="1" applyBorder="1" applyAlignment="1">
      <alignment horizontal="left"/>
    </xf>
    <xf numFmtId="170" fontId="42" fillId="0" borderId="13" xfId="1" applyNumberFormat="1" applyFont="1" applyBorder="1"/>
    <xf numFmtId="170" fontId="42" fillId="0" borderId="6" xfId="1" applyNumberFormat="1" applyFont="1" applyBorder="1"/>
    <xf numFmtId="0" fontId="84" fillId="0" borderId="0" xfId="24" applyFont="1"/>
    <xf numFmtId="3" fontId="42" fillId="0" borderId="14" xfId="26" applyNumberFormat="1" applyFont="1" applyFill="1" applyBorder="1" applyAlignment="1">
      <alignment horizontal="right" vertical="top"/>
    </xf>
    <xf numFmtId="0" fontId="42" fillId="0" borderId="8" xfId="24" applyFont="1" applyBorder="1"/>
    <xf numFmtId="3" fontId="42" fillId="0" borderId="9" xfId="26" applyNumberFormat="1" applyFont="1" applyFill="1" applyBorder="1" applyAlignment="1">
      <alignment horizontal="right" vertical="top"/>
    </xf>
    <xf numFmtId="0" fontId="44" fillId="0" borderId="8" xfId="25" applyFont="1" applyBorder="1">
      <alignment vertical="top"/>
    </xf>
    <xf numFmtId="0" fontId="44" fillId="0" borderId="6" xfId="25" applyFont="1" applyBorder="1">
      <alignment vertical="top"/>
    </xf>
    <xf numFmtId="3" fontId="42" fillId="0" borderId="7" xfId="26" applyNumberFormat="1" applyFont="1" applyFill="1" applyBorder="1" applyAlignment="1">
      <alignment horizontal="right" vertical="top"/>
    </xf>
    <xf numFmtId="0" fontId="44" fillId="0" borderId="5" xfId="25" applyFont="1" applyBorder="1">
      <alignment vertical="top"/>
    </xf>
    <xf numFmtId="0" fontId="44" fillId="0" borderId="0" xfId="15" applyFont="1" applyAlignment="1">
      <alignment horizontal="right"/>
    </xf>
    <xf numFmtId="174" fontId="42" fillId="0" borderId="10" xfId="25" applyNumberFormat="1" applyFont="1" applyBorder="1" applyAlignment="1">
      <alignment horizontal="right" vertical="top"/>
    </xf>
    <xf numFmtId="170" fontId="42" fillId="0" borderId="0" xfId="1" applyNumberFormat="1" applyFont="1"/>
    <xf numFmtId="170" fontId="42" fillId="0" borderId="0" xfId="1" applyNumberFormat="1" applyFont="1" applyFill="1"/>
    <xf numFmtId="174" fontId="42" fillId="0" borderId="0" xfId="24" applyNumberFormat="1" applyFont="1"/>
    <xf numFmtId="3" fontId="42" fillId="14" borderId="28" xfId="26" applyNumberFormat="1" applyFont="1" applyFill="1" applyBorder="1" applyAlignment="1">
      <alignment horizontal="right" vertical="top"/>
    </xf>
    <xf numFmtId="0" fontId="44" fillId="14" borderId="8" xfId="25" applyFont="1" applyFill="1" applyBorder="1">
      <alignment vertical="top"/>
    </xf>
    <xf numFmtId="3" fontId="42" fillId="14" borderId="25" xfId="26" applyNumberFormat="1" applyFont="1" applyFill="1" applyBorder="1" applyAlignment="1">
      <alignment horizontal="right" vertical="top"/>
    </xf>
    <xf numFmtId="0" fontId="44" fillId="14" borderId="6" xfId="25" applyFont="1" applyFill="1" applyBorder="1">
      <alignment vertical="top"/>
    </xf>
    <xf numFmtId="3" fontId="42" fillId="14" borderId="27" xfId="26" applyNumberFormat="1" applyFont="1" applyFill="1" applyBorder="1" applyAlignment="1">
      <alignment horizontal="right" vertical="top"/>
    </xf>
    <xf numFmtId="0" fontId="44" fillId="14" borderId="5" xfId="25" applyFont="1" applyFill="1" applyBorder="1">
      <alignment vertical="top"/>
    </xf>
    <xf numFmtId="0" fontId="44" fillId="14" borderId="5" xfId="15" applyFont="1" applyFill="1" applyBorder="1" applyAlignment="1">
      <alignment horizontal="right"/>
    </xf>
    <xf numFmtId="174" fontId="42" fillId="14" borderId="10" xfId="25" applyNumberFormat="1" applyFont="1" applyFill="1" applyBorder="1" applyAlignment="1">
      <alignment horizontal="right" vertical="top"/>
    </xf>
    <xf numFmtId="43" fontId="43" fillId="0" borderId="0" xfId="1" applyFont="1"/>
    <xf numFmtId="43" fontId="20" fillId="0" borderId="0" xfId="1" applyFont="1"/>
    <xf numFmtId="0" fontId="28" fillId="4" borderId="0" xfId="20" applyNumberFormat="1" applyFont="1" applyFill="1" applyBorder="1" applyAlignment="1">
      <alignment horizontal="center"/>
    </xf>
    <xf numFmtId="0" fontId="6" fillId="4" borderId="0" xfId="19" applyNumberFormat="1" applyFill="1" applyAlignment="1">
      <alignment horizontal="center"/>
    </xf>
    <xf numFmtId="164" fontId="6" fillId="4" borderId="0" xfId="19" applyFill="1" applyAlignment="1">
      <alignment horizontal="center"/>
    </xf>
    <xf numFmtId="8" fontId="3" fillId="0" borderId="1" xfId="21" applyNumberFormat="1" applyFill="1" applyBorder="1"/>
    <xf numFmtId="0" fontId="4" fillId="16" borderId="0" xfId="141" applyFont="1" applyProtection="1">
      <protection locked="0"/>
    </xf>
    <xf numFmtId="0" fontId="4" fillId="16" borderId="0" xfId="141" applyFont="1" applyAlignment="1" applyProtection="1">
      <alignment horizontal="right"/>
      <protection locked="0"/>
    </xf>
    <xf numFmtId="0" fontId="73" fillId="16" borderId="0" xfId="141" applyFont="1" applyProtection="1">
      <protection locked="0"/>
    </xf>
    <xf numFmtId="0" fontId="10" fillId="16" borderId="0" xfId="141" applyFont="1" applyAlignment="1" applyProtection="1">
      <alignment vertical="center" wrapText="1"/>
      <protection locked="0"/>
    </xf>
    <xf numFmtId="0" fontId="74" fillId="16" borderId="0" xfId="141" applyFont="1" applyProtection="1">
      <protection locked="0"/>
    </xf>
    <xf numFmtId="164" fontId="4" fillId="16" borderId="0" xfId="142" applyFont="1" applyProtection="1">
      <protection locked="0"/>
    </xf>
    <xf numFmtId="0" fontId="4" fillId="16" borderId="0" xfId="142" applyNumberFormat="1" applyFont="1" applyProtection="1">
      <protection locked="0"/>
    </xf>
    <xf numFmtId="0" fontId="4" fillId="16" borderId="0" xfId="142" applyNumberFormat="1" applyFont="1" applyAlignment="1" applyProtection="1">
      <alignment horizontal="left"/>
      <protection locked="0"/>
    </xf>
    <xf numFmtId="0" fontId="4" fillId="3" borderId="0" xfId="142" applyNumberFormat="1" applyFont="1" applyFill="1" applyProtection="1">
      <protection locked="0"/>
    </xf>
    <xf numFmtId="0" fontId="4" fillId="3" borderId="0" xfId="141" applyFont="1" applyFill="1" applyProtection="1">
      <protection locked="0"/>
    </xf>
    <xf numFmtId="0" fontId="4" fillId="3" borderId="0" xfId="141" applyFont="1" applyFill="1" applyAlignment="1" applyProtection="1">
      <alignment horizontal="right"/>
      <protection locked="0"/>
    </xf>
    <xf numFmtId="3" fontId="4" fillId="16" borderId="0" xfId="142" applyNumberFormat="1" applyFont="1" applyProtection="1">
      <protection locked="0"/>
    </xf>
    <xf numFmtId="49" fontId="4" fillId="16" borderId="0" xfId="142" applyNumberFormat="1" applyFont="1" applyAlignment="1" applyProtection="1">
      <alignment horizontal="center"/>
      <protection locked="0"/>
    </xf>
    <xf numFmtId="0" fontId="4" fillId="16" borderId="0" xfId="142" applyNumberFormat="1" applyFont="1" applyAlignment="1" applyProtection="1">
      <alignment horizontal="center"/>
      <protection locked="0"/>
    </xf>
    <xf numFmtId="0" fontId="7" fillId="16" borderId="0" xfId="142" applyNumberFormat="1" applyFont="1" applyProtection="1">
      <protection locked="0"/>
    </xf>
    <xf numFmtId="49" fontId="4" fillId="16" borderId="0" xfId="142" applyNumberFormat="1" applyFont="1" applyProtection="1">
      <protection locked="0"/>
    </xf>
    <xf numFmtId="0" fontId="4" fillId="16" borderId="31" xfId="142" applyNumberFormat="1" applyFont="1" applyBorder="1" applyAlignment="1" applyProtection="1">
      <alignment horizontal="center"/>
      <protection locked="0"/>
    </xf>
    <xf numFmtId="42" fontId="4" fillId="16" borderId="0" xfId="141" applyNumberFormat="1" applyFont="1"/>
    <xf numFmtId="0" fontId="4" fillId="16" borderId="31" xfId="142" applyNumberFormat="1" applyFont="1" applyBorder="1" applyAlignment="1" applyProtection="1">
      <alignment horizontal="centerContinuous"/>
      <protection locked="0"/>
    </xf>
    <xf numFmtId="3" fontId="4" fillId="16" borderId="0" xfId="142" applyNumberFormat="1" applyFont="1" applyProtection="1"/>
    <xf numFmtId="165" fontId="4" fillId="16" borderId="0" xfId="141" applyNumberFormat="1" applyFont="1"/>
    <xf numFmtId="3" fontId="4" fillId="16" borderId="0" xfId="141" applyNumberFormat="1" applyFont="1" applyProtection="1">
      <protection locked="0"/>
    </xf>
    <xf numFmtId="3" fontId="4" fillId="16" borderId="0" xfId="141" applyNumberFormat="1" applyFont="1"/>
    <xf numFmtId="3" fontId="4" fillId="3" borderId="0" xfId="142" applyNumberFormat="1" applyFont="1" applyFill="1" applyProtection="1">
      <protection locked="0"/>
    </xf>
    <xf numFmtId="3" fontId="4" fillId="16" borderId="31" xfId="141" applyNumberFormat="1" applyFont="1" applyBorder="1"/>
    <xf numFmtId="3" fontId="4" fillId="16" borderId="0" xfId="142" applyNumberFormat="1" applyFont="1" applyAlignment="1" applyProtection="1">
      <alignment horizontal="fill"/>
      <protection locked="0"/>
    </xf>
    <xf numFmtId="165" fontId="4" fillId="16" borderId="0" xfId="141" applyNumberFormat="1" applyFont="1" applyProtection="1">
      <protection locked="0"/>
    </xf>
    <xf numFmtId="165" fontId="4" fillId="16" borderId="0" xfId="142" applyNumberFormat="1" applyFont="1" applyProtection="1">
      <protection locked="0"/>
    </xf>
    <xf numFmtId="42" fontId="4" fillId="16" borderId="2" xfId="142" applyNumberFormat="1" applyFont="1" applyBorder="1" applyAlignment="1" applyProtection="1">
      <alignment horizontal="right"/>
    </xf>
    <xf numFmtId="3" fontId="4" fillId="3" borderId="31" xfId="142" applyNumberFormat="1" applyFont="1" applyFill="1" applyBorder="1" applyProtection="1">
      <protection locked="0"/>
    </xf>
    <xf numFmtId="166" fontId="4" fillId="16" borderId="0" xfId="141" applyNumberFormat="1" applyFont="1"/>
    <xf numFmtId="166" fontId="4" fillId="16" borderId="0" xfId="142" applyNumberFormat="1" applyFont="1" applyProtection="1">
      <protection locked="0"/>
    </xf>
    <xf numFmtId="166" fontId="4" fillId="16" borderId="0" xfId="142" applyNumberFormat="1" applyFont="1" applyAlignment="1" applyProtection="1">
      <alignment horizontal="center"/>
      <protection locked="0"/>
    </xf>
    <xf numFmtId="164" fontId="4" fillId="16" borderId="0" xfId="142" applyFont="1" applyAlignment="1" applyProtection="1">
      <alignment horizontal="center"/>
      <protection locked="0"/>
    </xf>
    <xf numFmtId="167" fontId="4" fillId="16" borderId="0" xfId="141" applyNumberFormat="1" applyFont="1"/>
    <xf numFmtId="167" fontId="4" fillId="3" borderId="0" xfId="142" applyNumberFormat="1" applyFont="1" applyFill="1" applyProtection="1">
      <protection locked="0"/>
    </xf>
    <xf numFmtId="167" fontId="4" fillId="16" borderId="0" xfId="142" applyNumberFormat="1" applyFont="1" applyProtection="1">
      <protection locked="0"/>
    </xf>
    <xf numFmtId="168" fontId="4" fillId="16" borderId="0" xfId="142" applyNumberFormat="1" applyFont="1" applyProtection="1">
      <protection locked="0"/>
    </xf>
    <xf numFmtId="0" fontId="4" fillId="16" borderId="0" xfId="142" applyNumberFormat="1" applyFont="1" applyAlignment="1" applyProtection="1">
      <alignment horizontal="right"/>
      <protection locked="0"/>
    </xf>
    <xf numFmtId="0" fontId="4" fillId="16" borderId="0" xfId="142" applyNumberFormat="1" applyFont="1" applyAlignment="1" applyProtection="1">
      <alignment horizontal="right"/>
    </xf>
    <xf numFmtId="49" fontId="4" fillId="16" borderId="0" xfId="142" applyNumberFormat="1" applyFont="1" applyAlignment="1" applyProtection="1">
      <alignment horizontal="left"/>
      <protection locked="0"/>
    </xf>
    <xf numFmtId="3" fontId="8" fillId="16" borderId="0" xfId="142" applyNumberFormat="1" applyFont="1" applyAlignment="1" applyProtection="1">
      <alignment horizontal="center"/>
      <protection locked="0"/>
    </xf>
    <xf numFmtId="0" fontId="8" fillId="16" borderId="0" xfId="142" applyNumberFormat="1" applyFont="1" applyAlignment="1" applyProtection="1">
      <alignment horizontal="center"/>
      <protection locked="0"/>
    </xf>
    <xf numFmtId="164" fontId="8" fillId="16" borderId="0" xfId="142" applyFont="1" applyAlignment="1" applyProtection="1">
      <alignment horizontal="center"/>
      <protection locked="0"/>
    </xf>
    <xf numFmtId="3" fontId="8" fillId="16" borderId="0" xfId="142" applyNumberFormat="1" applyFont="1" applyProtection="1">
      <protection locked="0"/>
    </xf>
    <xf numFmtId="0" fontId="8" fillId="16" borderId="0" xfId="142" applyNumberFormat="1" applyFont="1" applyProtection="1">
      <protection locked="0"/>
    </xf>
    <xf numFmtId="169" fontId="4" fillId="16" borderId="0" xfId="142" applyNumberFormat="1" applyFont="1" applyProtection="1">
      <protection locked="0"/>
    </xf>
    <xf numFmtId="169" fontId="4" fillId="16" borderId="0" xfId="141" applyNumberFormat="1" applyFont="1"/>
    <xf numFmtId="169" fontId="4" fillId="16" borderId="0" xfId="141" applyNumberFormat="1" applyFont="1" applyProtection="1">
      <protection locked="0"/>
    </xf>
    <xf numFmtId="171" fontId="4" fillId="16" borderId="0" xfId="141" applyNumberFormat="1" applyFont="1" applyAlignment="1">
      <alignment horizontal="center"/>
    </xf>
    <xf numFmtId="171" fontId="4" fillId="16" borderId="0" xfId="142" applyNumberFormat="1" applyFont="1" applyAlignment="1" applyProtection="1">
      <alignment horizontal="center"/>
      <protection locked="0"/>
    </xf>
    <xf numFmtId="3" fontId="4" fillId="3" borderId="0" xfId="132" applyNumberFormat="1" applyFont="1" applyFill="1" applyAlignment="1" applyProtection="1">
      <protection locked="0"/>
    </xf>
    <xf numFmtId="3" fontId="4" fillId="16" borderId="0" xfId="132" applyNumberFormat="1" applyFont="1" applyAlignment="1" applyProtection="1"/>
    <xf numFmtId="0" fontId="4" fillId="16" borderId="0" xfId="142" applyNumberFormat="1" applyFont="1" applyAlignment="1" applyProtection="1">
      <alignment horizontal="fill"/>
      <protection locked="0"/>
    </xf>
    <xf numFmtId="3" fontId="4" fillId="16" borderId="0" xfId="132" applyNumberFormat="1" applyFont="1" applyAlignment="1" applyProtection="1">
      <protection locked="0"/>
    </xf>
    <xf numFmtId="173" fontId="4" fillId="16" borderId="0" xfId="141" applyNumberFormat="1" applyFont="1"/>
    <xf numFmtId="171" fontId="4" fillId="16" borderId="0" xfId="141" applyNumberFormat="1" applyFont="1" applyAlignment="1" applyProtection="1">
      <alignment horizontal="center"/>
      <protection locked="0"/>
    </xf>
    <xf numFmtId="169" fontId="4" fillId="16" borderId="0" xfId="141" applyNumberFormat="1" applyFont="1" applyAlignment="1" applyProtection="1">
      <alignment horizontal="right"/>
      <protection locked="0"/>
    </xf>
    <xf numFmtId="3" fontId="4" fillId="3" borderId="0" xfId="132" applyNumberFormat="1" applyFont="1" applyFill="1" applyBorder="1" applyAlignment="1" applyProtection="1">
      <protection locked="0"/>
    </xf>
    <xf numFmtId="170" fontId="4" fillId="16" borderId="0" xfId="132" applyNumberFormat="1" applyFont="1" applyAlignment="1" applyProtection="1"/>
    <xf numFmtId="3" fontId="4" fillId="16" borderId="0" xfId="142" quotePrefix="1" applyNumberFormat="1" applyFont="1" applyAlignment="1" applyProtection="1">
      <alignment horizontal="left"/>
      <protection locked="0"/>
    </xf>
    <xf numFmtId="3" fontId="4" fillId="16" borderId="0" xfId="142" applyNumberFormat="1" applyFont="1" applyAlignment="1" applyProtection="1">
      <alignment horizontal="center"/>
      <protection locked="0"/>
    </xf>
    <xf numFmtId="3" fontId="86" fillId="16" borderId="0" xfId="142" applyNumberFormat="1" applyFont="1" applyProtection="1">
      <protection locked="0"/>
    </xf>
    <xf numFmtId="164" fontId="4" fillId="16" borderId="31" xfId="142" applyFont="1" applyBorder="1" applyProtection="1">
      <protection locked="0"/>
    </xf>
    <xf numFmtId="3" fontId="4" fillId="16" borderId="2" xfId="141" applyNumberFormat="1" applyFont="1" applyBorder="1"/>
    <xf numFmtId="3" fontId="4" fillId="16" borderId="0" xfId="142" applyNumberFormat="1" applyFont="1" applyAlignment="1" applyProtection="1">
      <alignment horizontal="right"/>
      <protection locked="0"/>
    </xf>
    <xf numFmtId="3" fontId="4" fillId="16" borderId="0" xfId="142" applyNumberFormat="1" applyFont="1" applyAlignment="1" applyProtection="1">
      <alignment horizontal="right"/>
    </xf>
    <xf numFmtId="3" fontId="11" fillId="16" borderId="0" xfId="142" applyNumberFormat="1" applyFont="1" applyProtection="1">
      <protection locked="0"/>
    </xf>
    <xf numFmtId="172" fontId="4" fillId="16" borderId="0" xfId="142" applyNumberFormat="1" applyFont="1" applyAlignment="1" applyProtection="1">
      <alignment horizontal="left"/>
      <protection locked="0"/>
    </xf>
    <xf numFmtId="0" fontId="4" fillId="16" borderId="0" xfId="142" quotePrefix="1" applyNumberFormat="1" applyFont="1" applyAlignment="1" applyProtection="1">
      <alignment horizontal="left"/>
      <protection locked="0"/>
    </xf>
    <xf numFmtId="165" fontId="4" fillId="16" borderId="0" xfId="141" applyNumberFormat="1" applyFont="1" applyAlignment="1" applyProtection="1">
      <alignment horizontal="right"/>
      <protection locked="0"/>
    </xf>
    <xf numFmtId="165" fontId="4" fillId="16" borderId="0" xfId="142" applyNumberFormat="1" applyFont="1" applyAlignment="1" applyProtection="1">
      <alignment horizontal="center"/>
      <protection locked="0"/>
    </xf>
    <xf numFmtId="171" fontId="4" fillId="16" borderId="0" xfId="142" applyNumberFormat="1" applyFont="1" applyAlignment="1" applyProtection="1">
      <alignment horizontal="left"/>
      <protection locked="0"/>
    </xf>
    <xf numFmtId="10" fontId="4" fillId="16" borderId="0" xfId="141" applyNumberFormat="1" applyFont="1" applyAlignment="1">
      <alignment horizontal="right"/>
    </xf>
    <xf numFmtId="168" fontId="4" fillId="16" borderId="0" xfId="141" applyNumberFormat="1" applyFont="1" applyAlignment="1">
      <alignment horizontal="right"/>
    </xf>
    <xf numFmtId="170" fontId="4" fillId="16" borderId="0" xfId="132" applyNumberFormat="1" applyFont="1" applyBorder="1" applyAlignment="1" applyProtection="1">
      <protection locked="0"/>
    </xf>
    <xf numFmtId="10" fontId="4" fillId="16" borderId="0" xfId="142" applyNumberFormat="1" applyFont="1" applyAlignment="1" applyProtection="1">
      <alignment horizontal="left"/>
      <protection locked="0"/>
    </xf>
    <xf numFmtId="3" fontId="4" fillId="16" borderId="0" xfId="142" applyNumberFormat="1" applyFont="1" applyAlignment="1" applyProtection="1">
      <alignment horizontal="left"/>
      <protection locked="0"/>
    </xf>
    <xf numFmtId="3" fontId="4" fillId="16" borderId="0" xfId="141" applyNumberFormat="1" applyFont="1" applyAlignment="1">
      <alignment horizontal="right"/>
    </xf>
    <xf numFmtId="173" fontId="4" fillId="16" borderId="0" xfId="142" applyNumberFormat="1" applyFont="1" applyProtection="1">
      <protection locked="0"/>
    </xf>
    <xf numFmtId="170" fontId="4" fillId="16" borderId="0" xfId="132" applyNumberFormat="1" applyFont="1" applyAlignment="1" applyProtection="1">
      <protection locked="0"/>
    </xf>
    <xf numFmtId="165" fontId="4" fillId="16" borderId="0" xfId="141" applyNumberFormat="1" applyFont="1" applyAlignment="1" applyProtection="1">
      <alignment horizontal="center"/>
      <protection locked="0"/>
    </xf>
    <xf numFmtId="0" fontId="4" fillId="16" borderId="0" xfId="141" applyFont="1" applyAlignment="1" applyProtection="1">
      <alignment horizontal="center"/>
      <protection locked="0"/>
    </xf>
    <xf numFmtId="3" fontId="12" fillId="16" borderId="0" xfId="141" applyNumberFormat="1" applyFont="1" applyProtection="1">
      <protection locked="0"/>
    </xf>
    <xf numFmtId="0" fontId="12" fillId="16" borderId="0" xfId="141" applyFont="1" applyProtection="1">
      <protection locked="0"/>
    </xf>
    <xf numFmtId="3" fontId="4" fillId="3" borderId="0" xfId="141" applyNumberFormat="1" applyFont="1" applyFill="1" applyProtection="1">
      <protection locked="0"/>
    </xf>
    <xf numFmtId="3" fontId="4" fillId="3" borderId="0" xfId="141" applyNumberFormat="1" applyFont="1" applyFill="1"/>
    <xf numFmtId="3" fontId="4" fillId="3" borderId="31" xfId="141" applyNumberFormat="1" applyFont="1" applyFill="1" applyBorder="1" applyProtection="1">
      <protection locked="0"/>
    </xf>
    <xf numFmtId="3" fontId="4" fillId="3" borderId="31" xfId="141" applyNumberFormat="1" applyFont="1" applyFill="1" applyBorder="1"/>
    <xf numFmtId="164" fontId="4" fillId="16" borderId="0" xfId="142" applyFont="1" applyAlignment="1" applyProtection="1">
      <alignment horizontal="right"/>
    </xf>
    <xf numFmtId="0" fontId="4" fillId="16" borderId="31" xfId="142" applyNumberFormat="1" applyFont="1" applyBorder="1" applyProtection="1">
      <protection locked="0"/>
    </xf>
    <xf numFmtId="169" fontId="4" fillId="16" borderId="0" xfId="141" applyNumberFormat="1" applyFont="1" applyAlignment="1">
      <alignment horizontal="right"/>
    </xf>
    <xf numFmtId="0" fontId="10" fillId="16" borderId="0" xfId="137" applyFont="1" applyProtection="1">
      <protection locked="0"/>
    </xf>
    <xf numFmtId="164" fontId="12" fillId="16" borderId="0" xfId="142" applyFont="1" applyProtection="1">
      <protection locked="0"/>
    </xf>
    <xf numFmtId="3" fontId="4" fillId="16" borderId="31" xfId="142" applyNumberFormat="1" applyFont="1" applyBorder="1" applyProtection="1">
      <protection locked="0"/>
    </xf>
    <xf numFmtId="3" fontId="4" fillId="16" borderId="31" xfId="142" applyNumberFormat="1" applyFont="1" applyBorder="1" applyAlignment="1" applyProtection="1">
      <alignment horizontal="center"/>
      <protection locked="0"/>
    </xf>
    <xf numFmtId="3" fontId="87" fillId="16" borderId="31" xfId="142" applyNumberFormat="1" applyFont="1" applyBorder="1" applyAlignment="1" applyProtection="1">
      <alignment horizontal="center"/>
      <protection locked="0"/>
    </xf>
    <xf numFmtId="4" fontId="4" fillId="16" borderId="0" xfId="142" applyNumberFormat="1" applyFont="1" applyProtection="1">
      <protection locked="0"/>
    </xf>
    <xf numFmtId="4" fontId="4" fillId="16" borderId="0" xfId="141" applyNumberFormat="1" applyFont="1"/>
    <xf numFmtId="3" fontId="4" fillId="16" borderId="0" xfId="141" applyNumberFormat="1" applyFont="1" applyAlignment="1" applyProtection="1">
      <alignment horizontal="center"/>
      <protection locked="0"/>
    </xf>
    <xf numFmtId="0" fontId="4" fillId="16" borderId="31" xfId="141" applyFont="1" applyBorder="1" applyAlignment="1" applyProtection="1">
      <alignment horizontal="center"/>
      <protection locked="0"/>
    </xf>
    <xf numFmtId="165" fontId="4" fillId="16" borderId="0" xfId="142" applyNumberFormat="1" applyFont="1" applyProtection="1"/>
    <xf numFmtId="174" fontId="4" fillId="3" borderId="0" xfId="142" applyNumberFormat="1" applyFont="1" applyFill="1" applyAlignment="1" applyProtection="1">
      <alignment horizontal="center"/>
      <protection locked="0"/>
    </xf>
    <xf numFmtId="42" fontId="4" fillId="3" borderId="0" xfId="142" applyNumberFormat="1" applyFont="1" applyFill="1" applyAlignment="1" applyProtection="1">
      <alignment horizontal="center"/>
      <protection locked="0"/>
    </xf>
    <xf numFmtId="3" fontId="4" fillId="3" borderId="0" xfId="142" applyNumberFormat="1" applyFont="1" applyFill="1" applyAlignment="1" applyProtection="1">
      <alignment horizontal="center"/>
      <protection locked="0"/>
    </xf>
    <xf numFmtId="3" fontId="4" fillId="3" borderId="31" xfId="142" applyNumberFormat="1" applyFont="1" applyFill="1" applyBorder="1" applyAlignment="1" applyProtection="1">
      <alignment horizontal="center"/>
      <protection locked="0"/>
    </xf>
    <xf numFmtId="3" fontId="4" fillId="5" borderId="0" xfId="142" applyNumberFormat="1" applyFont="1" applyFill="1" applyAlignment="1" applyProtection="1">
      <alignment horizontal="center"/>
      <protection locked="0"/>
    </xf>
    <xf numFmtId="9" fontId="4" fillId="16" borderId="0" xfId="142" applyNumberFormat="1" applyFont="1" applyProtection="1">
      <protection locked="0"/>
    </xf>
    <xf numFmtId="168" fontId="4" fillId="5" borderId="0" xfId="141" applyNumberFormat="1" applyFont="1" applyFill="1" applyProtection="1">
      <protection locked="0"/>
    </xf>
    <xf numFmtId="168" fontId="4" fillId="16" borderId="0" xfId="142" applyNumberFormat="1" applyFont="1" applyProtection="1"/>
    <xf numFmtId="3" fontId="4" fillId="16" borderId="0" xfId="142" quotePrefix="1" applyNumberFormat="1" applyFont="1" applyProtection="1">
      <protection locked="0"/>
    </xf>
    <xf numFmtId="0" fontId="4" fillId="16" borderId="14" xfId="141" applyFont="1" applyBorder="1" applyProtection="1">
      <protection locked="0"/>
    </xf>
    <xf numFmtId="0" fontId="4" fillId="16" borderId="5" xfId="141" applyFont="1" applyBorder="1" applyProtection="1">
      <protection locked="0"/>
    </xf>
    <xf numFmtId="0" fontId="4" fillId="16" borderId="28" xfId="141" applyFont="1" applyBorder="1" applyProtection="1">
      <protection locked="0"/>
    </xf>
    <xf numFmtId="0" fontId="4" fillId="16" borderId="9" xfId="141" applyFont="1" applyBorder="1" applyProtection="1">
      <protection locked="0"/>
    </xf>
    <xf numFmtId="0" fontId="4" fillId="16" borderId="25" xfId="141" applyFont="1" applyBorder="1" applyProtection="1">
      <protection locked="0"/>
    </xf>
    <xf numFmtId="168" fontId="72" fillId="3" borderId="0" xfId="142" applyNumberFormat="1" applyFont="1" applyFill="1" applyProtection="1"/>
    <xf numFmtId="168" fontId="4" fillId="16" borderId="31" xfId="142" applyNumberFormat="1" applyFont="1" applyBorder="1" applyProtection="1"/>
    <xf numFmtId="10" fontId="67" fillId="4" borderId="25" xfId="116" applyNumberFormat="1" applyFont="1" applyFill="1" applyBorder="1" applyAlignment="1" applyProtection="1">
      <protection locked="0"/>
    </xf>
    <xf numFmtId="3" fontId="4" fillId="16" borderId="0" xfId="142" applyNumberFormat="1" applyFont="1" applyAlignment="1" applyProtection="1">
      <alignment horizontal="center"/>
    </xf>
    <xf numFmtId="0" fontId="4" fillId="16" borderId="7" xfId="141" applyFont="1" applyBorder="1" applyProtection="1">
      <protection locked="0"/>
    </xf>
    <xf numFmtId="0" fontId="4" fillId="16" borderId="3" xfId="141" applyFont="1" applyBorder="1" applyProtection="1">
      <protection locked="0"/>
    </xf>
    <xf numFmtId="0" fontId="4" fillId="16" borderId="27" xfId="141" applyFont="1" applyBorder="1" applyProtection="1">
      <protection locked="0"/>
    </xf>
    <xf numFmtId="0" fontId="12" fillId="16" borderId="0" xfId="142" applyNumberFormat="1" applyFont="1" applyProtection="1">
      <protection locked="0"/>
    </xf>
    <xf numFmtId="38" fontId="4" fillId="3" borderId="0" xfId="142" applyNumberFormat="1" applyFont="1" applyFill="1" applyProtection="1">
      <protection locked="0"/>
    </xf>
    <xf numFmtId="38" fontId="4" fillId="16" borderId="0" xfId="142" applyNumberFormat="1" applyFont="1" applyProtection="1">
      <protection locked="0"/>
    </xf>
    <xf numFmtId="38" fontId="4" fillId="3" borderId="31" xfId="142" applyNumberFormat="1" applyFont="1" applyFill="1" applyBorder="1" applyProtection="1">
      <protection locked="0"/>
    </xf>
    <xf numFmtId="38" fontId="4" fillId="16" borderId="0" xfId="142" applyNumberFormat="1" applyFont="1" applyProtection="1"/>
    <xf numFmtId="174" fontId="4" fillId="16" borderId="0" xfId="142" applyNumberFormat="1" applyFont="1" applyProtection="1">
      <protection locked="0"/>
    </xf>
    <xf numFmtId="174" fontId="4" fillId="3" borderId="0" xfId="142" applyNumberFormat="1" applyFont="1" applyFill="1" applyProtection="1">
      <protection locked="0"/>
    </xf>
    <xf numFmtId="1" fontId="4" fillId="16" borderId="0" xfId="142" applyNumberFormat="1" applyFont="1" applyProtection="1">
      <protection locked="0"/>
    </xf>
    <xf numFmtId="0" fontId="4" fillId="16" borderId="31" xfId="141" applyFont="1" applyBorder="1" applyProtection="1">
      <protection locked="0"/>
    </xf>
    <xf numFmtId="174" fontId="4" fillId="3" borderId="31" xfId="141" applyNumberFormat="1" applyFont="1" applyFill="1" applyBorder="1" applyProtection="1">
      <protection locked="0"/>
    </xf>
    <xf numFmtId="3" fontId="12" fillId="16" borderId="0" xfId="141" applyNumberFormat="1" applyFont="1" applyAlignment="1" applyProtection="1">
      <alignment horizontal="right"/>
      <protection locked="0"/>
    </xf>
    <xf numFmtId="174" fontId="4" fillId="16" borderId="0" xfId="142" applyNumberFormat="1" applyFont="1" applyProtection="1"/>
    <xf numFmtId="174" fontId="4" fillId="16" borderId="0" xfId="142" applyNumberFormat="1" applyFont="1" applyAlignment="1" applyProtection="1">
      <alignment horizontal="right"/>
    </xf>
    <xf numFmtId="0" fontId="4" fillId="16" borderId="0" xfId="142" applyNumberFormat="1" applyFont="1" applyAlignment="1" applyProtection="1">
      <alignment horizontal="left" indent="8"/>
      <protection locked="0"/>
    </xf>
    <xf numFmtId="3" fontId="4" fillId="16" borderId="0" xfId="142" applyNumberFormat="1" applyFont="1" applyAlignment="1" applyProtection="1">
      <alignment vertical="top" wrapText="1"/>
      <protection locked="0"/>
    </xf>
    <xf numFmtId="0" fontId="4" fillId="16" borderId="0" xfId="142" applyNumberFormat="1" applyFont="1" applyAlignment="1" applyProtection="1">
      <alignment vertical="top" wrapText="1"/>
      <protection locked="0"/>
    </xf>
    <xf numFmtId="0" fontId="4" fillId="16" borderId="0" xfId="142" applyNumberFormat="1" applyFont="1" applyAlignment="1" applyProtection="1">
      <alignment horizontal="center" vertical="top" wrapText="1"/>
      <protection locked="0"/>
    </xf>
    <xf numFmtId="0" fontId="4" fillId="16" borderId="0" xfId="141" applyFont="1" applyAlignment="1" applyProtection="1">
      <alignment vertical="top" wrapText="1"/>
      <protection locked="0"/>
    </xf>
    <xf numFmtId="3" fontId="4" fillId="16" borderId="0" xfId="142" applyNumberFormat="1" applyFont="1" applyAlignment="1" applyProtection="1">
      <alignment horizontal="center" vertical="top" wrapText="1"/>
      <protection locked="0"/>
    </xf>
    <xf numFmtId="10" fontId="4" fillId="3" borderId="0" xfId="142" applyNumberFormat="1" applyFont="1" applyFill="1" applyProtection="1">
      <protection locked="0"/>
    </xf>
    <xf numFmtId="10" fontId="11" fillId="16" borderId="0" xfId="142" applyNumberFormat="1" applyFont="1" applyProtection="1">
      <protection locked="0"/>
    </xf>
    <xf numFmtId="0" fontId="12" fillId="16" borderId="0" xfId="141" applyFont="1" applyAlignment="1" applyProtection="1">
      <alignment vertical="top" wrapText="1"/>
      <protection locked="0"/>
    </xf>
    <xf numFmtId="0" fontId="4" fillId="16" borderId="0" xfId="141" applyFont="1" applyAlignment="1" applyProtection="1">
      <alignment horizontal="left" vertical="top" wrapText="1"/>
      <protection locked="0"/>
    </xf>
    <xf numFmtId="0" fontId="12" fillId="16" borderId="0" xfId="137" applyFont="1" applyProtection="1">
      <protection locked="0"/>
    </xf>
    <xf numFmtId="164" fontId="6" fillId="16" borderId="0" xfId="119"/>
    <xf numFmtId="164" fontId="26" fillId="16" borderId="0" xfId="119" applyFont="1"/>
    <xf numFmtId="164" fontId="88" fillId="16" borderId="0" xfId="120" applyFont="1"/>
    <xf numFmtId="164" fontId="54" fillId="16" borderId="0" xfId="120" applyFont="1" applyAlignment="1">
      <alignment horizontal="center" vertical="top"/>
    </xf>
    <xf numFmtId="164" fontId="6" fillId="16" borderId="0" xfId="120"/>
    <xf numFmtId="164" fontId="6" fillId="16" borderId="0" xfId="120" applyAlignment="1">
      <alignment horizontal="center" vertical="top"/>
    </xf>
    <xf numFmtId="164" fontId="54" fillId="16" borderId="0" xfId="120" applyFont="1"/>
    <xf numFmtId="164" fontId="6" fillId="16" borderId="0" xfId="119" applyAlignment="1">
      <alignment horizontal="center" vertical="top"/>
    </xf>
    <xf numFmtId="164" fontId="6" fillId="16" borderId="0" xfId="119" applyAlignment="1">
      <alignment horizontal="center"/>
    </xf>
    <xf numFmtId="164" fontId="28" fillId="16" borderId="31" xfId="119" applyFont="1" applyBorder="1"/>
    <xf numFmtId="164" fontId="28" fillId="16" borderId="0" xfId="119" applyFont="1"/>
    <xf numFmtId="174" fontId="28" fillId="16" borderId="0" xfId="119" applyNumberFormat="1" applyFont="1"/>
    <xf numFmtId="1" fontId="28" fillId="16" borderId="0" xfId="132" applyNumberFormat="1" applyFont="1" applyFill="1" applyBorder="1" applyAlignment="1">
      <alignment horizontal="center"/>
    </xf>
    <xf numFmtId="164" fontId="3" fillId="16" borderId="0" xfId="119" applyFont="1"/>
    <xf numFmtId="184" fontId="28" fillId="16" borderId="0" xfId="119" applyNumberFormat="1" applyFont="1"/>
    <xf numFmtId="3" fontId="28" fillId="16" borderId="0" xfId="119" applyNumberFormat="1" applyFont="1"/>
    <xf numFmtId="164" fontId="28" fillId="16" borderId="0" xfId="119" applyFont="1" applyAlignment="1">
      <alignment horizontal="center"/>
    </xf>
    <xf numFmtId="0" fontId="28" fillId="16" borderId="0" xfId="119" applyNumberFormat="1" applyFont="1"/>
    <xf numFmtId="164" fontId="37" fillId="16" borderId="0" xfId="119" applyFont="1"/>
    <xf numFmtId="49" fontId="28" fillId="16" borderId="0" xfId="119" applyNumberFormat="1" applyFont="1" applyAlignment="1">
      <alignment horizontal="center"/>
    </xf>
    <xf numFmtId="0" fontId="26" fillId="16" borderId="0" xfId="120" applyNumberFormat="1" applyFont="1" applyAlignment="1">
      <alignment horizontal="center" vertical="top"/>
    </xf>
    <xf numFmtId="164" fontId="26" fillId="16" borderId="6" xfId="119" applyFont="1" applyBorder="1" applyAlignment="1">
      <alignment vertical="top"/>
    </xf>
    <xf numFmtId="164" fontId="26" fillId="16" borderId="3" xfId="119" applyFont="1" applyBorder="1" applyAlignment="1">
      <alignment vertical="top"/>
    </xf>
    <xf numFmtId="164" fontId="6" fillId="16" borderId="3" xfId="119" applyBorder="1" applyAlignment="1">
      <alignment vertical="top"/>
    </xf>
    <xf numFmtId="164" fontId="6" fillId="16" borderId="7" xfId="119" applyBorder="1" applyAlignment="1">
      <alignment vertical="top"/>
    </xf>
    <xf numFmtId="175" fontId="6" fillId="16" borderId="8" xfId="122" applyNumberFormat="1" applyFont="1" applyFill="1" applyBorder="1" applyAlignment="1">
      <alignment vertical="top"/>
    </xf>
    <xf numFmtId="175" fontId="28" fillId="16" borderId="0" xfId="122" applyNumberFormat="1" applyFont="1" applyFill="1" applyBorder="1" applyAlignment="1">
      <alignment vertical="top"/>
    </xf>
    <xf numFmtId="175" fontId="6" fillId="16" borderId="0" xfId="122" applyNumberFormat="1" applyFont="1" applyFill="1" applyBorder="1" applyAlignment="1">
      <alignment vertical="top"/>
    </xf>
    <xf numFmtId="10" fontId="28" fillId="16" borderId="0" xfId="116" applyNumberFormat="1" applyFont="1" applyFill="1" applyBorder="1" applyAlignment="1">
      <alignment vertical="top"/>
    </xf>
    <xf numFmtId="0" fontId="6" fillId="16" borderId="0" xfId="145" applyNumberFormat="1" applyAlignment="1">
      <alignment horizontal="center" vertical="top"/>
    </xf>
    <xf numFmtId="0" fontId="6" fillId="16" borderId="0" xfId="145" applyNumberFormat="1" applyAlignment="1">
      <alignment horizontal="left" vertical="top" wrapText="1"/>
    </xf>
    <xf numFmtId="164" fontId="6" fillId="16" borderId="0" xfId="119" applyAlignment="1">
      <alignment vertical="top"/>
    </xf>
    <xf numFmtId="164" fontId="6" fillId="16" borderId="9" xfId="119" applyBorder="1" applyAlignment="1">
      <alignment vertical="top"/>
    </xf>
    <xf numFmtId="175" fontId="0" fillId="16" borderId="8" xfId="125" applyNumberFormat="1" applyFont="1" applyFill="1" applyBorder="1" applyAlignment="1"/>
    <xf numFmtId="175" fontId="3" fillId="16" borderId="8" xfId="125" applyNumberFormat="1" applyFont="1" applyFill="1" applyBorder="1" applyAlignment="1"/>
    <xf numFmtId="0" fontId="6" fillId="16" borderId="0" xfId="119" applyNumberFormat="1"/>
    <xf numFmtId="3" fontId="6" fillId="16" borderId="0" xfId="119" applyNumberFormat="1"/>
    <xf numFmtId="3" fontId="28" fillId="16" borderId="8" xfId="119" applyNumberFormat="1" applyFont="1" applyBorder="1"/>
    <xf numFmtId="0" fontId="28" fillId="16" borderId="8" xfId="119" applyNumberFormat="1" applyFont="1" applyBorder="1"/>
    <xf numFmtId="0" fontId="28" fillId="16" borderId="0" xfId="120" applyNumberFormat="1" applyFont="1"/>
    <xf numFmtId="0" fontId="28" fillId="16" borderId="9" xfId="119" applyNumberFormat="1" applyFont="1" applyBorder="1"/>
    <xf numFmtId="3" fontId="28" fillId="16" borderId="30" xfId="119" applyNumberFormat="1" applyFont="1" applyBorder="1" applyAlignment="1">
      <alignment horizontal="center" wrapText="1"/>
    </xf>
    <xf numFmtId="3" fontId="28" fillId="16" borderId="11" xfId="119" applyNumberFormat="1" applyFont="1" applyBorder="1" applyAlignment="1">
      <alignment horizontal="center"/>
    </xf>
    <xf numFmtId="0" fontId="28" fillId="16" borderId="30" xfId="119" applyNumberFormat="1" applyFont="1" applyBorder="1" applyAlignment="1">
      <alignment horizontal="center" wrapText="1"/>
    </xf>
    <xf numFmtId="0" fontId="28" fillId="16" borderId="11" xfId="120" applyNumberFormat="1" applyFont="1" applyBorder="1" applyAlignment="1">
      <alignment horizontal="center" wrapText="1"/>
    </xf>
    <xf numFmtId="0" fontId="28" fillId="16" borderId="11" xfId="119" applyNumberFormat="1" applyFont="1" applyBorder="1" applyAlignment="1">
      <alignment horizontal="center"/>
    </xf>
    <xf numFmtId="0" fontId="28" fillId="16" borderId="30" xfId="119" applyNumberFormat="1" applyFont="1" applyBorder="1" applyAlignment="1">
      <alignment horizontal="center"/>
    </xf>
    <xf numFmtId="0" fontId="28" fillId="16" borderId="11" xfId="119" applyNumberFormat="1" applyFont="1" applyBorder="1"/>
    <xf numFmtId="0" fontId="28" fillId="16" borderId="12" xfId="119" applyNumberFormat="1" applyFont="1" applyBorder="1"/>
    <xf numFmtId="3" fontId="18" fillId="16" borderId="0" xfId="119" applyNumberFormat="1" applyFont="1"/>
    <xf numFmtId="3" fontId="27" fillId="16" borderId="30" xfId="119" applyNumberFormat="1" applyFont="1" applyBorder="1" applyAlignment="1">
      <alignment horizontal="center" wrapText="1"/>
    </xf>
    <xf numFmtId="3" fontId="27" fillId="16" borderId="11" xfId="119" applyNumberFormat="1" applyFont="1" applyBorder="1" applyAlignment="1">
      <alignment horizontal="center" wrapText="1"/>
    </xf>
    <xf numFmtId="0" fontId="27" fillId="16" borderId="11" xfId="120" applyNumberFormat="1" applyFont="1" applyBorder="1" applyAlignment="1">
      <alignment horizontal="center" wrapText="1"/>
    </xf>
    <xf numFmtId="0" fontId="27" fillId="16" borderId="11" xfId="119" applyNumberFormat="1" applyFont="1" applyBorder="1" applyAlignment="1">
      <alignment horizontal="center" wrapText="1"/>
    </xf>
    <xf numFmtId="164" fontId="18" fillId="16" borderId="30" xfId="119" applyFont="1" applyBorder="1" applyAlignment="1">
      <alignment horizontal="center" wrapText="1"/>
    </xf>
    <xf numFmtId="164" fontId="18" fillId="16" borderId="11" xfId="119" applyFont="1" applyBorder="1" applyAlignment="1">
      <alignment horizontal="center" wrapText="1"/>
    </xf>
    <xf numFmtId="164" fontId="18" fillId="16" borderId="11" xfId="119" applyFont="1" applyBorder="1"/>
    <xf numFmtId="164" fontId="18" fillId="16" borderId="12" xfId="119" applyFont="1" applyBorder="1" applyAlignment="1">
      <alignment horizontal="center" wrapText="1"/>
    </xf>
    <xf numFmtId="185" fontId="27" fillId="16" borderId="0" xfId="119" applyNumberFormat="1" applyFont="1" applyAlignment="1">
      <alignment horizontal="center"/>
    </xf>
    <xf numFmtId="0" fontId="6" fillId="16" borderId="0" xfId="119" applyNumberFormat="1" applyAlignment="1" applyProtection="1">
      <alignment horizontal="center"/>
      <protection locked="0"/>
    </xf>
    <xf numFmtId="0" fontId="27" fillId="16" borderId="0" xfId="119" applyNumberFormat="1" applyFont="1"/>
    <xf numFmtId="0" fontId="28" fillId="16" borderId="0" xfId="119" applyNumberFormat="1" applyFont="1" applyAlignment="1">
      <alignment horizontal="center"/>
    </xf>
    <xf numFmtId="164" fontId="28" fillId="16" borderId="0" xfId="119" applyFont="1" applyAlignment="1">
      <alignment horizontal="right"/>
    </xf>
    <xf numFmtId="164" fontId="6" fillId="16" borderId="0" xfId="119" applyAlignment="1">
      <alignment horizontal="right"/>
    </xf>
    <xf numFmtId="0" fontId="6" fillId="16" borderId="0" xfId="119" applyNumberFormat="1" applyAlignment="1">
      <alignment horizontal="center"/>
    </xf>
    <xf numFmtId="3" fontId="6" fillId="16" borderId="0" xfId="119" applyNumberFormat="1" applyAlignment="1">
      <alignment horizontal="center"/>
    </xf>
    <xf numFmtId="0" fontId="6" fillId="16" borderId="0" xfId="119" applyNumberFormat="1" applyAlignment="1">
      <alignment horizontal="right"/>
    </xf>
    <xf numFmtId="10" fontId="27" fillId="16" borderId="0" xfId="119" applyNumberFormat="1" applyFont="1"/>
    <xf numFmtId="10" fontId="28" fillId="16" borderId="0" xfId="119" applyNumberFormat="1" applyFont="1"/>
    <xf numFmtId="49" fontId="6" fillId="16" borderId="0" xfId="119" applyNumberFormat="1" applyAlignment="1">
      <alignment horizontal="center"/>
    </xf>
    <xf numFmtId="49" fontId="6" fillId="16" borderId="0" xfId="119" applyNumberFormat="1" applyAlignment="1">
      <alignment horizontal="left"/>
    </xf>
    <xf numFmtId="49" fontId="4" fillId="16" borderId="0" xfId="119" applyNumberFormat="1" applyFont="1" applyAlignment="1">
      <alignment horizontal="left"/>
    </xf>
    <xf numFmtId="0" fontId="4" fillId="16" borderId="0" xfId="119" applyNumberFormat="1" applyFont="1" applyAlignment="1">
      <alignment horizontal="right"/>
    </xf>
    <xf numFmtId="171" fontId="28" fillId="16" borderId="0" xfId="119" applyNumberFormat="1" applyFont="1" applyAlignment="1">
      <alignment horizontal="center"/>
    </xf>
    <xf numFmtId="10" fontId="27" fillId="16" borderId="0" xfId="116" applyNumberFormat="1" applyFont="1" applyFill="1" applyBorder="1" applyAlignment="1"/>
    <xf numFmtId="3" fontId="27" fillId="16" borderId="0" xfId="119" applyNumberFormat="1" applyFont="1"/>
    <xf numFmtId="3" fontId="27" fillId="16" borderId="0" xfId="119" applyNumberFormat="1" applyFont="1" applyAlignment="1">
      <alignment horizontal="center"/>
    </xf>
    <xf numFmtId="164" fontId="18" fillId="16" borderId="0" xfId="119" applyFont="1"/>
    <xf numFmtId="49" fontId="18" fillId="16" borderId="0" xfId="119" applyNumberFormat="1" applyFont="1" applyAlignment="1">
      <alignment horizontal="center"/>
    </xf>
    <xf numFmtId="3" fontId="28" fillId="16" borderId="0" xfId="119" applyNumberFormat="1" applyFont="1" applyAlignment="1">
      <alignment horizontal="center"/>
    </xf>
    <xf numFmtId="174" fontId="6" fillId="16" borderId="0" xfId="119" applyNumberFormat="1"/>
    <xf numFmtId="10" fontId="29" fillId="16" borderId="0" xfId="116" applyNumberFormat="1" applyFont="1" applyFill="1" applyBorder="1" applyAlignment="1"/>
    <xf numFmtId="10" fontId="28" fillId="16" borderId="0" xfId="116" applyNumberFormat="1" applyFont="1" applyFill="1" applyBorder="1" applyAlignment="1"/>
    <xf numFmtId="3" fontId="28" fillId="3" borderId="0" xfId="120" applyNumberFormat="1" applyFont="1" applyFill="1"/>
    <xf numFmtId="0" fontId="6" fillId="16" borderId="0" xfId="119" applyNumberFormat="1" applyAlignment="1">
      <alignment horizontal="fill"/>
    </xf>
    <xf numFmtId="169" fontId="27" fillId="16" borderId="0" xfId="119" applyNumberFormat="1" applyFont="1"/>
    <xf numFmtId="0" fontId="27" fillId="16" borderId="0" xfId="119" applyNumberFormat="1" applyFont="1" applyAlignment="1">
      <alignment horizontal="center"/>
    </xf>
    <xf numFmtId="3" fontId="28" fillId="16" borderId="5" xfId="120" applyNumberFormat="1" applyFont="1" applyBorder="1"/>
    <xf numFmtId="164" fontId="54" fillId="16" borderId="0" xfId="119" applyFont="1"/>
    <xf numFmtId="3" fontId="28" fillId="5" borderId="0" xfId="119" applyNumberFormat="1" applyFont="1" applyFill="1"/>
    <xf numFmtId="0" fontId="30" fillId="16" borderId="0" xfId="119" applyNumberFormat="1" applyFont="1" applyAlignment="1" applyProtection="1">
      <alignment horizontal="center"/>
      <protection locked="0"/>
    </xf>
    <xf numFmtId="0" fontId="18" fillId="16" borderId="0" xfId="119" applyNumberFormat="1" applyFont="1" applyAlignment="1">
      <alignment horizontal="center"/>
    </xf>
    <xf numFmtId="0" fontId="27" fillId="16" borderId="0" xfId="119" applyNumberFormat="1" applyFont="1" applyAlignment="1" applyProtection="1">
      <alignment horizontal="center"/>
      <protection locked="0"/>
    </xf>
    <xf numFmtId="164" fontId="27" fillId="16" borderId="0" xfId="119" applyFont="1" applyAlignment="1">
      <alignment horizontal="center"/>
    </xf>
    <xf numFmtId="49" fontId="28" fillId="16" borderId="0" xfId="119" applyNumberFormat="1" applyFont="1"/>
    <xf numFmtId="0" fontId="40" fillId="16" borderId="0" xfId="119" applyNumberFormat="1" applyFont="1"/>
    <xf numFmtId="0" fontId="28" fillId="5" borderId="0" xfId="119" applyNumberFormat="1" applyFont="1" applyFill="1"/>
    <xf numFmtId="49" fontId="28" fillId="5" borderId="0" xfId="119" applyNumberFormat="1" applyFont="1" applyFill="1" applyAlignment="1">
      <alignment horizontal="center"/>
    </xf>
    <xf numFmtId="0" fontId="40" fillId="16" borderId="0" xfId="119" applyNumberFormat="1" applyFont="1" applyAlignment="1">
      <alignment horizontal="center"/>
    </xf>
    <xf numFmtId="0" fontId="28" fillId="16" borderId="0" xfId="119" applyNumberFormat="1" applyFont="1" applyProtection="1">
      <protection locked="0"/>
    </xf>
    <xf numFmtId="0" fontId="4" fillId="3" borderId="0" xfId="120" applyNumberFormat="1" applyFont="1" applyFill="1" applyAlignment="1">
      <alignment horizontal="right"/>
    </xf>
    <xf numFmtId="164" fontId="6" fillId="5" borderId="0" xfId="119" applyFill="1"/>
    <xf numFmtId="0" fontId="28" fillId="16" borderId="0" xfId="119" applyNumberFormat="1" applyFont="1" applyAlignment="1" applyProtection="1">
      <alignment horizontal="left"/>
      <protection locked="0"/>
    </xf>
    <xf numFmtId="164" fontId="90" fillId="16" borderId="0" xfId="119" applyFont="1"/>
    <xf numFmtId="164" fontId="4" fillId="16" borderId="0" xfId="119" applyFont="1"/>
    <xf numFmtId="164" fontId="88" fillId="16" borderId="0" xfId="119" applyFont="1"/>
    <xf numFmtId="164" fontId="89" fillId="16" borderId="0" xfId="119" applyFont="1"/>
    <xf numFmtId="164" fontId="26" fillId="5" borderId="0" xfId="119" applyFont="1" applyFill="1"/>
    <xf numFmtId="164" fontId="26" fillId="16" borderId="6" xfId="119" applyFont="1" applyBorder="1"/>
    <xf numFmtId="164" fontId="26" fillId="16" borderId="3" xfId="119" applyFont="1" applyBorder="1"/>
    <xf numFmtId="164" fontId="6" fillId="16" borderId="3" xfId="119" applyBorder="1"/>
    <xf numFmtId="164" fontId="6" fillId="16" borderId="7" xfId="119" applyBorder="1"/>
    <xf numFmtId="175" fontId="28" fillId="16" borderId="8" xfId="125" applyNumberFormat="1" applyFont="1" applyFill="1" applyBorder="1" applyAlignment="1"/>
    <xf numFmtId="175" fontId="28" fillId="3" borderId="0" xfId="125" applyNumberFormat="1" applyFont="1" applyFill="1" applyBorder="1" applyAlignment="1"/>
    <xf numFmtId="175" fontId="91" fillId="16" borderId="8" xfId="125" applyNumberFormat="1" applyFont="1" applyFill="1" applyBorder="1" applyAlignment="1"/>
    <xf numFmtId="10" fontId="0" fillId="16" borderId="0" xfId="116" applyNumberFormat="1" applyFont="1" applyFill="1" applyBorder="1" applyAlignment="1"/>
    <xf numFmtId="175" fontId="0" fillId="16" borderId="0" xfId="125" applyNumberFormat="1" applyFont="1" applyFill="1" applyBorder="1" applyAlignment="1"/>
    <xf numFmtId="0" fontId="26" fillId="16" borderId="0" xfId="119" applyNumberFormat="1" applyFont="1" applyAlignment="1">
      <alignment horizontal="center"/>
    </xf>
    <xf numFmtId="164" fontId="6" fillId="16" borderId="9" xfId="119" applyBorder="1"/>
    <xf numFmtId="0" fontId="28" fillId="16" borderId="11" xfId="119" quotePrefix="1" applyNumberFormat="1" applyFont="1" applyBorder="1" applyAlignment="1">
      <alignment horizontal="center"/>
    </xf>
    <xf numFmtId="0" fontId="28" fillId="16" borderId="30" xfId="119" quotePrefix="1" applyNumberFormat="1" applyFont="1" applyBorder="1" applyAlignment="1">
      <alignment horizontal="center"/>
    </xf>
    <xf numFmtId="164" fontId="18" fillId="16" borderId="15" xfId="119" applyFont="1" applyBorder="1" applyAlignment="1">
      <alignment horizontal="center" wrapText="1"/>
    </xf>
    <xf numFmtId="185" fontId="27" fillId="16" borderId="0" xfId="119" quotePrefix="1" applyNumberFormat="1" applyFont="1" applyAlignment="1">
      <alignment horizontal="center"/>
    </xf>
    <xf numFmtId="0" fontId="6" fillId="16" borderId="0" xfId="119" quotePrefix="1" applyNumberFormat="1" applyAlignment="1" applyProtection="1">
      <alignment horizontal="center"/>
      <protection locked="0"/>
    </xf>
    <xf numFmtId="0" fontId="27" fillId="16" borderId="0" xfId="119" applyNumberFormat="1" applyFont="1" applyAlignment="1">
      <alignment horizontal="left"/>
    </xf>
    <xf numFmtId="0" fontId="38" fillId="16" borderId="0" xfId="119" applyNumberFormat="1" applyFont="1"/>
    <xf numFmtId="170" fontId="28" fillId="3" borderId="0" xfId="132" applyNumberFormat="1" applyFont="1" applyFill="1" applyBorder="1" applyAlignment="1"/>
    <xf numFmtId="3" fontId="38" fillId="16" borderId="0" xfId="119" applyNumberFormat="1" applyFont="1"/>
    <xf numFmtId="170" fontId="28" fillId="5" borderId="0" xfId="132" applyNumberFormat="1" applyFont="1" applyFill="1" applyBorder="1" applyAlignment="1"/>
    <xf numFmtId="10" fontId="18" fillId="16" borderId="0" xfId="116" applyNumberFormat="1" applyFont="1" applyFill="1" applyBorder="1" applyAlignment="1"/>
    <xf numFmtId="170" fontId="28" fillId="16" borderId="0" xfId="132" applyNumberFormat="1" applyFont="1" applyFill="1" applyBorder="1" applyAlignment="1"/>
    <xf numFmtId="3" fontId="39" fillId="16" borderId="0" xfId="119" applyNumberFormat="1" applyFont="1"/>
    <xf numFmtId="170" fontId="28" fillId="3" borderId="3" xfId="132" applyNumberFormat="1" applyFont="1" applyFill="1" applyBorder="1" applyAlignment="1"/>
    <xf numFmtId="0" fontId="54" fillId="16" borderId="0" xfId="119" applyNumberFormat="1" applyFont="1"/>
    <xf numFmtId="3" fontId="54" fillId="16" borderId="0" xfId="119" applyNumberFormat="1" applyFont="1"/>
    <xf numFmtId="3" fontId="89" fillId="16" borderId="0" xfId="119" applyNumberFormat="1" applyFont="1"/>
    <xf numFmtId="41" fontId="28" fillId="16" borderId="0" xfId="119" applyNumberFormat="1" applyFont="1"/>
    <xf numFmtId="49" fontId="28" fillId="16" borderId="0" xfId="119" applyNumberFormat="1" applyFont="1" applyAlignment="1">
      <alignment horizontal="left"/>
    </xf>
    <xf numFmtId="170" fontId="6" fillId="16" borderId="0" xfId="1" applyNumberFormat="1" applyFont="1" applyFill="1"/>
    <xf numFmtId="10" fontId="6" fillId="16" borderId="0" xfId="2" applyNumberFormat="1" applyFont="1" applyFill="1"/>
    <xf numFmtId="4" fontId="6" fillId="16" borderId="0" xfId="1" applyNumberFormat="1" applyFont="1" applyFill="1"/>
    <xf numFmtId="174" fontId="91" fillId="16" borderId="8" xfId="125" applyNumberFormat="1" applyFont="1" applyFill="1" applyBorder="1" applyAlignment="1"/>
    <xf numFmtId="174" fontId="91" fillId="16" borderId="8" xfId="119" applyNumberFormat="1" applyFont="1" applyBorder="1"/>
    <xf numFmtId="3" fontId="5" fillId="0" borderId="0" xfId="11" applyNumberFormat="1"/>
    <xf numFmtId="4" fontId="4" fillId="16" borderId="0" xfId="137" applyNumberFormat="1" applyFont="1"/>
    <xf numFmtId="3" fontId="4" fillId="16" borderId="0" xfId="137" applyNumberFormat="1" applyFont="1"/>
    <xf numFmtId="169" fontId="4" fillId="16" borderId="0" xfId="137" applyNumberFormat="1" applyFont="1" applyAlignment="1">
      <alignment horizontal="right"/>
    </xf>
    <xf numFmtId="169" fontId="4" fillId="16" borderId="0" xfId="137" applyNumberFormat="1" applyFont="1"/>
    <xf numFmtId="3" fontId="4" fillId="16" borderId="0" xfId="137" applyNumberFormat="1" applyFont="1" applyProtection="1">
      <protection locked="0"/>
    </xf>
    <xf numFmtId="169" fontId="4" fillId="16" borderId="0" xfId="137" applyNumberFormat="1" applyFont="1" applyProtection="1">
      <protection locked="0"/>
    </xf>
    <xf numFmtId="171" fontId="4" fillId="16" borderId="0" xfId="137" applyNumberFormat="1" applyFont="1" applyAlignment="1" applyProtection="1">
      <alignment horizontal="center"/>
      <protection locked="0"/>
    </xf>
    <xf numFmtId="0" fontId="4" fillId="16" borderId="0" xfId="141" applyFont="1" applyAlignment="1" applyProtection="1">
      <alignment horizontal="center" vertical="center"/>
      <protection locked="0"/>
    </xf>
    <xf numFmtId="0" fontId="4" fillId="16" borderId="0" xfId="142" applyNumberFormat="1" applyFont="1" applyAlignment="1" applyProtection="1">
      <alignment horizontal="center" vertical="center" wrapText="1"/>
      <protection locked="0"/>
    </xf>
    <xf numFmtId="0" fontId="4" fillId="16" borderId="0" xfId="142" applyNumberFormat="1" applyFont="1" applyAlignment="1" applyProtection="1">
      <alignment horizontal="center" vertical="center"/>
      <protection locked="0"/>
    </xf>
    <xf numFmtId="164" fontId="4" fillId="16" borderId="0" xfId="142" applyFont="1" applyAlignment="1" applyProtection="1">
      <alignment horizontal="center" vertical="center" wrapText="1"/>
      <protection locked="0"/>
    </xf>
    <xf numFmtId="0" fontId="4" fillId="16" borderId="0" xfId="141" applyFont="1" applyAlignment="1" applyProtection="1">
      <alignment horizontal="center" vertical="center" wrapText="1"/>
      <protection locked="0"/>
    </xf>
    <xf numFmtId="0" fontId="4" fillId="16" borderId="0" xfId="143" applyFont="1" applyAlignment="1" applyProtection="1">
      <alignment horizontal="center" vertical="center" wrapText="1"/>
      <protection locked="0"/>
    </xf>
    <xf numFmtId="0" fontId="4" fillId="16" borderId="0" xfId="137" applyFont="1" applyAlignment="1" applyProtection="1">
      <alignment horizontal="center" vertical="center"/>
      <protection locked="0"/>
    </xf>
    <xf numFmtId="0" fontId="4" fillId="16" borderId="0" xfId="141" applyFont="1" applyAlignment="1" applyProtection="1">
      <alignment vertical="center"/>
      <protection locked="0"/>
    </xf>
    <xf numFmtId="0" fontId="4" fillId="16" borderId="0" xfId="142" applyNumberFormat="1" applyFont="1" applyAlignment="1" applyProtection="1">
      <alignment vertical="center"/>
      <protection locked="0"/>
    </xf>
    <xf numFmtId="174" fontId="4" fillId="16" borderId="0" xfId="142" applyNumberFormat="1" applyFont="1" applyAlignment="1" applyProtection="1">
      <alignment vertical="center"/>
      <protection locked="0"/>
    </xf>
    <xf numFmtId="3" fontId="4" fillId="16" borderId="0" xfId="142" applyNumberFormat="1" applyFont="1" applyAlignment="1" applyProtection="1">
      <alignment vertical="center"/>
      <protection locked="0"/>
    </xf>
    <xf numFmtId="0" fontId="28" fillId="16" borderId="0" xfId="119" applyNumberFormat="1" applyFont="1" applyAlignment="1">
      <alignment wrapText="1"/>
    </xf>
    <xf numFmtId="0" fontId="6" fillId="16" borderId="0" xfId="141" applyFont="1" applyAlignment="1">
      <alignment horizontal="left"/>
    </xf>
    <xf numFmtId="0" fontId="6" fillId="16" borderId="3" xfId="141" applyFont="1" applyBorder="1" applyAlignment="1">
      <alignment horizontal="center"/>
    </xf>
    <xf numFmtId="0" fontId="3" fillId="16" borderId="0" xfId="141" applyFont="1"/>
    <xf numFmtId="0" fontId="6" fillId="16" borderId="0" xfId="141" applyFont="1" applyAlignment="1">
      <alignment horizontal="left" vertical="top" indent="2"/>
    </xf>
    <xf numFmtId="0" fontId="3" fillId="16" borderId="0" xfId="141" applyFont="1" applyAlignment="1">
      <alignment horizontal="left"/>
    </xf>
    <xf numFmtId="175" fontId="6" fillId="3" borderId="0" xfId="125" applyNumberFormat="1" applyFont="1" applyFill="1" applyBorder="1" applyAlignment="1"/>
    <xf numFmtId="169" fontId="4" fillId="5" borderId="0" xfId="144" applyNumberFormat="1" applyFont="1" applyFill="1" applyProtection="1"/>
    <xf numFmtId="175" fontId="6" fillId="16" borderId="0" xfId="125" applyNumberFormat="1" applyFont="1" applyFill="1" applyBorder="1" applyAlignment="1"/>
    <xf numFmtId="0" fontId="6" fillId="16" borderId="0" xfId="141" quotePrefix="1" applyFont="1" applyAlignment="1">
      <alignment vertical="top"/>
    </xf>
    <xf numFmtId="169" fontId="4" fillId="16" borderId="0" xfId="144" applyNumberFormat="1" applyFont="1" applyProtection="1"/>
    <xf numFmtId="175" fontId="6" fillId="16" borderId="5" xfId="125" applyNumberFormat="1" applyFont="1" applyFill="1" applyBorder="1" applyAlignment="1"/>
    <xf numFmtId="0" fontId="6" fillId="16" borderId="0" xfId="141" applyFont="1"/>
    <xf numFmtId="164" fontId="6" fillId="0" borderId="0" xfId="119" applyFill="1" applyAlignment="1">
      <alignment vertical="top"/>
    </xf>
    <xf numFmtId="14" fontId="3" fillId="0" borderId="16" xfId="24" applyNumberFormat="1" applyBorder="1" applyAlignment="1">
      <alignment horizontal="center" vertical="top" wrapText="1"/>
    </xf>
    <xf numFmtId="0" fontId="6" fillId="0" borderId="0" xfId="145" applyNumberFormat="1" applyFill="1" applyAlignment="1">
      <alignment horizontal="left" vertical="top" wrapText="1"/>
    </xf>
    <xf numFmtId="0" fontId="6" fillId="0" borderId="0" xfId="145" applyNumberFormat="1" applyFill="1" applyAlignment="1">
      <alignment horizontal="center" vertical="top"/>
    </xf>
    <xf numFmtId="0" fontId="1" fillId="16" borderId="0" xfId="146" applyProtection="1">
      <protection locked="0"/>
    </xf>
    <xf numFmtId="0" fontId="1" fillId="11" borderId="0" xfId="146" applyFill="1" applyProtection="1">
      <protection locked="0"/>
    </xf>
    <xf numFmtId="0" fontId="25" fillId="16" borderId="0" xfId="146" applyFont="1" applyProtection="1">
      <protection locked="0"/>
    </xf>
    <xf numFmtId="0" fontId="29" fillId="16" borderId="0" xfId="146" applyFont="1" applyProtection="1">
      <protection locked="0"/>
    </xf>
    <xf numFmtId="170" fontId="0" fillId="16" borderId="0" xfId="112" applyNumberFormat="1" applyFont="1" applyFill="1" applyProtection="1">
      <protection locked="0"/>
    </xf>
    <xf numFmtId="170" fontId="0" fillId="16" borderId="0" xfId="112" applyNumberFormat="1" applyFont="1" applyProtection="1">
      <protection locked="0"/>
    </xf>
    <xf numFmtId="0" fontId="1" fillId="16" borderId="0" xfId="146" applyAlignment="1" applyProtection="1">
      <alignment horizontal="center"/>
      <protection locked="0"/>
    </xf>
    <xf numFmtId="170" fontId="0" fillId="12" borderId="0" xfId="112" applyNumberFormat="1" applyFont="1" applyFill="1" applyProtection="1">
      <protection locked="0"/>
    </xf>
    <xf numFmtId="170" fontId="29" fillId="16" borderId="0" xfId="112" applyNumberFormat="1" applyFont="1" applyFill="1" applyProtection="1">
      <protection locked="0"/>
    </xf>
    <xf numFmtId="170" fontId="0" fillId="12" borderId="3" xfId="112" applyNumberFormat="1" applyFont="1" applyFill="1" applyBorder="1" applyProtection="1">
      <protection locked="0"/>
    </xf>
    <xf numFmtId="170" fontId="0" fillId="11" borderId="3" xfId="112" applyNumberFormat="1" applyFont="1" applyFill="1" applyBorder="1" applyProtection="1"/>
    <xf numFmtId="170" fontId="0" fillId="16" borderId="3" xfId="112" applyNumberFormat="1" applyFont="1" applyBorder="1" applyProtection="1"/>
    <xf numFmtId="170" fontId="0" fillId="16" borderId="0" xfId="112" applyNumberFormat="1" applyFont="1" applyBorder="1" applyProtection="1">
      <protection locked="0"/>
    </xf>
    <xf numFmtId="0" fontId="1" fillId="16" borderId="0" xfId="146" applyAlignment="1">
      <alignment horizontal="center"/>
    </xf>
    <xf numFmtId="0" fontId="1" fillId="18" borderId="0" xfId="146" applyFill="1" applyAlignment="1" applyProtection="1">
      <alignment horizontal="center"/>
      <protection locked="0"/>
    </xf>
    <xf numFmtId="0" fontId="1" fillId="2" borderId="25" xfId="146" applyFill="1" applyBorder="1" applyAlignment="1">
      <alignment horizontal="center"/>
    </xf>
    <xf numFmtId="0" fontId="1" fillId="2" borderId="9" xfId="146" applyFill="1" applyBorder="1" applyAlignment="1">
      <alignment horizontal="center"/>
    </xf>
    <xf numFmtId="170" fontId="0" fillId="11" borderId="0" xfId="112" applyNumberFormat="1" applyFont="1" applyFill="1" applyProtection="1"/>
    <xf numFmtId="170" fontId="0" fillId="16" borderId="0" xfId="112" applyNumberFormat="1" applyFont="1" applyProtection="1"/>
    <xf numFmtId="0" fontId="1" fillId="12" borderId="0" xfId="146" applyFill="1" applyAlignment="1" applyProtection="1">
      <alignment horizontal="center" wrapText="1"/>
      <protection locked="0"/>
    </xf>
    <xf numFmtId="0" fontId="2" fillId="16" borderId="0" xfId="146" applyFont="1" applyAlignment="1" applyProtection="1">
      <alignment horizontal="center"/>
      <protection locked="0"/>
    </xf>
    <xf numFmtId="0" fontId="1" fillId="2" borderId="25" xfId="146" applyFill="1" applyBorder="1" applyProtection="1">
      <protection locked="0"/>
    </xf>
    <xf numFmtId="0" fontId="1" fillId="2" borderId="9" xfId="146" applyFill="1" applyBorder="1" applyProtection="1">
      <protection locked="0"/>
    </xf>
    <xf numFmtId="0" fontId="2" fillId="11" borderId="0" xfId="146" quotePrefix="1" applyFont="1" applyFill="1" applyAlignment="1" applyProtection="1">
      <alignment horizontal="center" wrapText="1"/>
      <protection locked="0"/>
    </xf>
    <xf numFmtId="0" fontId="57" fillId="11" borderId="0" xfId="146" quotePrefix="1" applyFont="1" applyFill="1" applyAlignment="1" applyProtection="1">
      <alignment horizontal="center" wrapText="1"/>
      <protection locked="0"/>
    </xf>
    <xf numFmtId="0" fontId="2" fillId="16" borderId="0" xfId="146" quotePrefix="1" applyFont="1" applyAlignment="1" applyProtection="1">
      <alignment horizontal="center" wrapText="1"/>
      <protection locked="0"/>
    </xf>
    <xf numFmtId="0" fontId="2" fillId="16" borderId="0" xfId="146" applyFont="1" applyAlignment="1" applyProtection="1">
      <alignment horizontal="center" wrapText="1"/>
      <protection locked="0"/>
    </xf>
    <xf numFmtId="0" fontId="57" fillId="16" borderId="0" xfId="146" quotePrefix="1" applyFont="1" applyAlignment="1" applyProtection="1">
      <alignment horizontal="center" wrapText="1"/>
      <protection locked="0"/>
    </xf>
    <xf numFmtId="0" fontId="57" fillId="11" borderId="0" xfId="146" applyFont="1" applyFill="1" applyAlignment="1" applyProtection="1">
      <alignment horizontal="center" wrapText="1"/>
      <protection locked="0"/>
    </xf>
    <xf numFmtId="0" fontId="57" fillId="16" borderId="0" xfId="146" applyFont="1" applyAlignment="1" applyProtection="1">
      <alignment horizontal="center" wrapText="1"/>
      <protection locked="0"/>
    </xf>
    <xf numFmtId="0" fontId="57" fillId="2" borderId="34" xfId="146" applyFont="1" applyFill="1" applyBorder="1" applyAlignment="1" applyProtection="1">
      <alignment horizontal="center" wrapText="1"/>
      <protection locked="0"/>
    </xf>
    <xf numFmtId="0" fontId="57" fillId="2" borderId="35" xfId="146" applyFont="1" applyFill="1" applyBorder="1" applyAlignment="1" applyProtection="1">
      <alignment horizontal="center" wrapText="1"/>
      <protection locked="0"/>
    </xf>
    <xf numFmtId="0" fontId="1" fillId="16" borderId="0" xfId="146" applyAlignment="1" applyProtection="1">
      <alignment horizontal="left" vertical="top" wrapText="1" indent="1"/>
      <protection locked="0"/>
    </xf>
    <xf numFmtId="0" fontId="29" fillId="16" borderId="0" xfId="146" applyFont="1" applyAlignment="1" applyProtection="1">
      <alignment horizontal="left" vertical="top" wrapText="1"/>
      <protection locked="0"/>
    </xf>
    <xf numFmtId="0" fontId="29" fillId="16" borderId="0" xfId="146" applyFont="1" applyAlignment="1" applyProtection="1">
      <alignment horizontal="left" indent="1"/>
      <protection locked="0"/>
    </xf>
    <xf numFmtId="0" fontId="57" fillId="16" borderId="0" xfId="146" applyFont="1" applyAlignment="1" applyProtection="1">
      <alignment horizontal="left" wrapText="1" indent="1"/>
      <protection locked="0"/>
    </xf>
    <xf numFmtId="0" fontId="57" fillId="16" borderId="0" xfId="146" applyFont="1" applyAlignment="1" applyProtection="1">
      <alignment horizontal="left" indent="1"/>
      <protection locked="0"/>
    </xf>
    <xf numFmtId="0" fontId="2" fillId="16" borderId="0" xfId="146" applyFont="1" applyAlignment="1" applyProtection="1">
      <alignment horizontal="left"/>
      <protection locked="0"/>
    </xf>
    <xf numFmtId="0" fontId="29" fillId="16" borderId="0" xfId="146" quotePrefix="1" applyFont="1" applyAlignment="1" applyProtection="1">
      <alignment horizontal="left" indent="1"/>
      <protection locked="0"/>
    </xf>
    <xf numFmtId="0" fontId="26" fillId="0" borderId="0" xfId="23" applyNumberFormat="1" applyFont="1"/>
    <xf numFmtId="164" fontId="6" fillId="0" borderId="0" xfId="23" applyAlignment="1">
      <alignment wrapText="1"/>
    </xf>
    <xf numFmtId="170" fontId="6" fillId="0" borderId="0" xfId="1" applyNumberFormat="1" applyFont="1"/>
    <xf numFmtId="175" fontId="6" fillId="4" borderId="9" xfId="26" applyNumberFormat="1" applyFont="1" applyFill="1" applyBorder="1" applyAlignment="1">
      <alignment vertical="top"/>
    </xf>
    <xf numFmtId="0" fontId="6" fillId="2" borderId="0" xfId="23" applyNumberFormat="1" applyFill="1" applyAlignment="1">
      <alignment horizontal="center" wrapText="1"/>
    </xf>
    <xf numFmtId="0" fontId="6" fillId="2" borderId="0" xfId="23" applyNumberFormat="1" applyFill="1" applyAlignment="1">
      <alignment horizontal="center"/>
    </xf>
    <xf numFmtId="6" fontId="27" fillId="0" borderId="0" xfId="24" applyNumberFormat="1" applyFont="1" applyAlignment="1">
      <alignment horizontal="left" indent="1"/>
    </xf>
    <xf numFmtId="0" fontId="24" fillId="0" borderId="0" xfId="24" quotePrefix="1" applyFont="1" applyAlignment="1">
      <alignment horizontal="left" indent="1"/>
    </xf>
    <xf numFmtId="0" fontId="3" fillId="0" borderId="0" xfId="11" applyFont="1" applyAlignment="1">
      <alignment vertical="top"/>
    </xf>
    <xf numFmtId="170" fontId="28" fillId="3" borderId="0" xfId="132" applyNumberFormat="1" applyFont="1" applyFill="1" applyBorder="1" applyAlignment="1">
      <alignment horizontal="right"/>
    </xf>
    <xf numFmtId="174" fontId="3" fillId="0" borderId="0" xfId="25" applyNumberFormat="1" applyFont="1" applyAlignment="1">
      <alignment horizontal="center" vertical="top"/>
    </xf>
    <xf numFmtId="3" fontId="42" fillId="0" borderId="13" xfId="24" applyNumberFormat="1" applyFont="1" applyBorder="1"/>
    <xf numFmtId="3" fontId="42" fillId="0" borderId="8" xfId="24" applyNumberFormat="1" applyFont="1" applyBorder="1"/>
    <xf numFmtId="3" fontId="42" fillId="0" borderId="6" xfId="24" applyNumberFormat="1" applyFont="1" applyBorder="1"/>
    <xf numFmtId="174" fontId="42" fillId="0" borderId="29" xfId="25" applyNumberFormat="1" applyFont="1" applyBorder="1" applyAlignment="1">
      <alignment horizontal="right" vertical="top"/>
    </xf>
    <xf numFmtId="0" fontId="4" fillId="16" borderId="0" xfId="142" applyNumberFormat="1" applyFont="1" applyAlignment="1" applyProtection="1">
      <alignment vertical="center" wrapText="1"/>
      <protection locked="0"/>
    </xf>
    <xf numFmtId="0" fontId="4" fillId="16" borderId="0" xfId="141" applyFont="1" applyAlignment="1" applyProtection="1">
      <alignment horizontal="left" vertical="center" wrapText="1"/>
      <protection locked="0"/>
    </xf>
    <xf numFmtId="0" fontId="4" fillId="16" borderId="0" xfId="141" applyFont="1" applyAlignment="1" applyProtection="1">
      <alignment vertical="center" wrapText="1"/>
      <protection locked="0"/>
    </xf>
    <xf numFmtId="0" fontId="4" fillId="16" borderId="0" xfId="142" quotePrefix="1" applyNumberFormat="1" applyFont="1" applyAlignment="1" applyProtection="1">
      <alignment horizontal="left" vertical="center" wrapText="1"/>
      <protection locked="0"/>
    </xf>
    <xf numFmtId="0" fontId="4" fillId="16" borderId="0" xfId="141" quotePrefix="1" applyFont="1" applyAlignment="1" applyProtection="1">
      <alignment horizontal="left" vertical="center" wrapText="1"/>
      <protection locked="0"/>
    </xf>
    <xf numFmtId="0" fontId="72" fillId="16" borderId="0" xfId="142" applyNumberFormat="1" applyFont="1" applyAlignment="1" applyProtection="1">
      <alignment vertical="center" wrapText="1"/>
      <protection locked="0"/>
    </xf>
    <xf numFmtId="49" fontId="4" fillId="16" borderId="0" xfId="142" applyNumberFormat="1" applyFont="1" applyAlignment="1" applyProtection="1">
      <alignment horizontal="center"/>
      <protection locked="0"/>
    </xf>
    <xf numFmtId="164" fontId="4" fillId="16" borderId="0" xfId="142" applyFont="1" applyAlignment="1" applyProtection="1">
      <alignment horizontal="center"/>
    </xf>
    <xf numFmtId="49" fontId="4" fillId="16" borderId="0" xfId="142" applyNumberFormat="1" applyFont="1" applyAlignment="1" applyProtection="1">
      <alignment horizontal="center"/>
    </xf>
    <xf numFmtId="0" fontId="4" fillId="16" borderId="0" xfId="141" applyFont="1" applyAlignment="1" applyProtection="1">
      <alignment horizontal="left" wrapText="1"/>
      <protection locked="0"/>
    </xf>
    <xf numFmtId="0" fontId="13" fillId="16" borderId="0" xfId="142" applyNumberFormat="1" applyFont="1" applyAlignment="1" applyProtection="1">
      <alignment vertical="top" wrapText="1"/>
      <protection locked="0"/>
    </xf>
    <xf numFmtId="0" fontId="0" fillId="0" borderId="0" xfId="0" applyAlignment="1">
      <alignment vertical="top" wrapText="1"/>
    </xf>
    <xf numFmtId="164" fontId="6" fillId="16" borderId="0" xfId="119" applyAlignment="1">
      <alignment horizontal="left"/>
    </xf>
    <xf numFmtId="164" fontId="6" fillId="16" borderId="0" xfId="120" applyAlignment="1">
      <alignment horizontal="left" vertical="top" wrapText="1"/>
    </xf>
    <xf numFmtId="164" fontId="6" fillId="16" borderId="0" xfId="119" applyAlignment="1">
      <alignment horizontal="left" wrapText="1"/>
    </xf>
    <xf numFmtId="164" fontId="6" fillId="16" borderId="0" xfId="119" applyAlignment="1">
      <alignment horizontal="left" vertical="top" wrapText="1"/>
    </xf>
    <xf numFmtId="164" fontId="27" fillId="0" borderId="11" xfId="23" applyFont="1" applyBorder="1" applyAlignment="1">
      <alignment horizontal="center"/>
    </xf>
    <xf numFmtId="3" fontId="18" fillId="0" borderId="11" xfId="23" applyNumberFormat="1" applyFont="1" applyBorder="1" applyAlignment="1">
      <alignment horizontal="center"/>
    </xf>
    <xf numFmtId="164" fontId="18" fillId="0" borderId="11" xfId="23" applyFont="1" applyBorder="1" applyAlignment="1">
      <alignment horizontal="center"/>
    </xf>
    <xf numFmtId="0" fontId="29" fillId="16" borderId="0" xfId="146" applyFont="1" applyAlignment="1" applyProtection="1">
      <alignment horizontal="left" vertical="top" wrapText="1" indent="1"/>
      <protection locked="0"/>
    </xf>
    <xf numFmtId="0" fontId="29" fillId="11" borderId="0" xfId="146" applyFont="1" applyFill="1" applyAlignment="1" applyProtection="1">
      <alignment horizontal="left" vertical="top" wrapText="1" indent="1"/>
      <protection locked="0"/>
    </xf>
    <xf numFmtId="0" fontId="57" fillId="16" borderId="0" xfId="146" applyFont="1" applyAlignment="1" applyProtection="1">
      <alignment horizontal="left" wrapText="1" indent="1"/>
      <protection locked="0"/>
    </xf>
    <xf numFmtId="0" fontId="65" fillId="16" borderId="0" xfId="146" applyFont="1" applyAlignment="1" applyProtection="1">
      <alignment horizontal="center"/>
      <protection locked="0"/>
    </xf>
    <xf numFmtId="0" fontId="2" fillId="2" borderId="33" xfId="146" applyFont="1" applyFill="1" applyBorder="1" applyAlignment="1" applyProtection="1">
      <alignment horizontal="center"/>
      <protection locked="0"/>
    </xf>
    <xf numFmtId="0" fontId="2" fillId="2" borderId="32" xfId="146" applyFont="1" applyFill="1" applyBorder="1" applyAlignment="1" applyProtection="1">
      <alignment horizontal="center"/>
      <protection locked="0"/>
    </xf>
    <xf numFmtId="0" fontId="29" fillId="16" borderId="0" xfId="146" applyFont="1" applyAlignment="1" applyProtection="1">
      <alignment horizontal="left" vertical="top" wrapText="1"/>
      <protection locked="0"/>
    </xf>
    <xf numFmtId="0" fontId="2" fillId="16" borderId="3" xfId="146" applyFont="1" applyBorder="1" applyAlignment="1" applyProtection="1">
      <alignment horizontal="center"/>
      <protection locked="0"/>
    </xf>
    <xf numFmtId="0" fontId="29" fillId="16" borderId="0" xfId="146" quotePrefix="1" applyFont="1" applyAlignment="1" applyProtection="1">
      <alignment horizontal="left" wrapText="1" indent="1"/>
      <protection locked="0"/>
    </xf>
    <xf numFmtId="43" fontId="3" fillId="0" borderId="24" xfId="20" applyFont="1" applyFill="1" applyBorder="1" applyAlignment="1">
      <alignment horizontal="center"/>
    </xf>
    <xf numFmtId="43" fontId="3" fillId="0" borderId="23" xfId="20" applyFont="1" applyFill="1" applyBorder="1" applyAlignment="1">
      <alignment horizontal="center"/>
    </xf>
    <xf numFmtId="0" fontId="3" fillId="0" borderId="0" xfId="24" applyAlignment="1">
      <alignment vertical="top" wrapText="1"/>
    </xf>
    <xf numFmtId="0" fontId="15" fillId="0" borderId="0" xfId="24" applyFont="1" applyAlignment="1">
      <alignment horizontal="center"/>
    </xf>
    <xf numFmtId="0" fontId="45" fillId="0" borderId="0" xfId="29" applyAlignment="1">
      <alignment vertical="top" wrapText="1"/>
    </xf>
    <xf numFmtId="0" fontId="45" fillId="0" borderId="0" xfId="29" applyAlignment="1">
      <alignment horizontal="left" vertical="top" wrapText="1"/>
    </xf>
  </cellXfs>
  <cellStyles count="147">
    <cellStyle name="Accent5" xfId="30" builtinId="45"/>
    <cellStyle name="Comma" xfId="1" builtinId="3"/>
    <cellStyle name="Comma 2" xfId="20" xr:uid="{00000000-0005-0000-0000-000002000000}"/>
    <cellStyle name="Comma 2 2" xfId="37" xr:uid="{00000000-0005-0000-0000-000003000000}"/>
    <cellStyle name="Comma 2 2 2" xfId="68" xr:uid="{5D9BC3A0-9F50-4F54-95F8-FA8BD64C8D34}"/>
    <cellStyle name="Comma 2 2 2 2" xfId="132" xr:uid="{5797394D-A509-4494-9FE2-24FB113D6F4A}"/>
    <cellStyle name="Comma 2 2 3" xfId="101" xr:uid="{9E093134-ECA6-4239-939A-019CF0CA10C0}"/>
    <cellStyle name="Comma 2 3" xfId="57" xr:uid="{78809F86-FECD-4366-BBE6-B76B8B2B9DAC}"/>
    <cellStyle name="Comma 2 3 2" xfId="121" xr:uid="{F9521505-FE68-42A6-BFAB-3F44005C74EA}"/>
    <cellStyle name="Comma 2 4" xfId="90" xr:uid="{8A1F5C38-B8D5-4FE5-A196-0DD2093D0C5D}"/>
    <cellStyle name="Comma 21 2" xfId="10" xr:uid="{00000000-0005-0000-0000-000004000000}"/>
    <cellStyle name="Comma 21 2 2" xfId="48" xr:uid="{58491CBE-4584-4C84-8119-800FD814F08B}"/>
    <cellStyle name="Comma 21 2 2 2" xfId="112" xr:uid="{2758FE4A-834D-413E-AF4C-35DDB2EE3D2C}"/>
    <cellStyle name="Comma 21 2 3" xfId="81" xr:uid="{5005B343-A3B1-4D40-9F96-8A880EF9ABA0}"/>
    <cellStyle name="Comma 21 3" xfId="40" xr:uid="{1CCBB944-36F3-4EB1-814A-596F6C8658F1}"/>
    <cellStyle name="Comma 21 3 2" xfId="71" xr:uid="{C62676EE-A96C-4551-B5FD-4B4F2A7D2956}"/>
    <cellStyle name="Comma 21 3 2 2" xfId="135" xr:uid="{6E128723-6851-4179-839F-21A14F113B76}"/>
    <cellStyle name="Comma 21 3 3" xfId="104" xr:uid="{17C458FA-5B72-4AF6-9FAC-813B7FB0B2CC}"/>
    <cellStyle name="Comma 3" xfId="44" xr:uid="{C2F982DB-FCB1-4A5B-9353-2E048CB59C6E}"/>
    <cellStyle name="Comma 3 2" xfId="108" xr:uid="{8D52E64F-304F-4F21-8C5F-A78838552559}"/>
    <cellStyle name="Comma 4" xfId="76" xr:uid="{8EBED60D-7E4E-4603-A1CF-908F0DEBF262}"/>
    <cellStyle name="Currency 10" xfId="12" xr:uid="{00000000-0005-0000-0000-000005000000}"/>
    <cellStyle name="Currency 10 2" xfId="26" xr:uid="{00000000-0005-0000-0000-000006000000}"/>
    <cellStyle name="Currency 10 2 2" xfId="61" xr:uid="{8984F8C1-68B7-4316-BCA6-FABFE44968F4}"/>
    <cellStyle name="Currency 10 2 2 2" xfId="125" xr:uid="{DDC6C276-4265-4B14-B1C7-50CBBBAAD2BA}"/>
    <cellStyle name="Currency 10 2 3" xfId="94" xr:uid="{1ADD4CCA-27ED-41A9-AE66-6550C11C2B8B}"/>
    <cellStyle name="Currency 10 3" xfId="50" xr:uid="{D3CD2C14-351B-4FA4-95E8-FE1712891EA3}"/>
    <cellStyle name="Currency 10 3 2" xfId="114" xr:uid="{DCB4D384-12B8-4054-A798-157D6B84C2C9}"/>
    <cellStyle name="Currency 10 4" xfId="83" xr:uid="{158EC4F0-4BE6-4BA0-B76B-0E9F143086EF}"/>
    <cellStyle name="Currency 2" xfId="21" xr:uid="{00000000-0005-0000-0000-000007000000}"/>
    <cellStyle name="Currency 2 2" xfId="58" xr:uid="{7601F055-BD6B-464E-877A-B39EBF7F30C7}"/>
    <cellStyle name="Currency 2 2 2" xfId="122" xr:uid="{5181419F-1E17-4D3E-B545-F298A0075B2F}"/>
    <cellStyle name="Currency 2 3" xfId="91" xr:uid="{24CFC76E-A05F-497F-88EB-5D1167B36284}"/>
    <cellStyle name="Normal" xfId="0" builtinId="0"/>
    <cellStyle name="Normal 10" xfId="74" xr:uid="{B7BAE6AF-1058-48DE-8917-5C88D5F2EF65}"/>
    <cellStyle name="Normal 11" xfId="75" xr:uid="{D1C97582-7CB2-45E2-8D2D-2A856D6DAF75}"/>
    <cellStyle name="Normal 12" xfId="138" xr:uid="{8C7C783C-98AC-491E-B2E7-058EE6BAEB74}"/>
    <cellStyle name="Normal 13" xfId="139" xr:uid="{879299FA-104C-4FD5-BCFF-8ABDB6937B80}"/>
    <cellStyle name="Normal 14" xfId="140" xr:uid="{02D72677-A24E-4193-97F7-5AB7301C587A}"/>
    <cellStyle name="Normal 15" xfId="141" xr:uid="{73E7E664-54AD-4840-917A-28D8794D6EB3}"/>
    <cellStyle name="Normal 16" xfId="146" xr:uid="{72D31AD3-F0EF-41A6-96E8-B5643F65EC2E}"/>
    <cellStyle name="Normal 2" xfId="3" xr:uid="{00000000-0005-0000-0000-000009000000}"/>
    <cellStyle name="Normal 2 2" xfId="46" xr:uid="{2AB9415F-66C0-47FB-BBCB-84BE6F68B157}"/>
    <cellStyle name="Normal 2 2 2" xfId="110" xr:uid="{85743EFB-6EEF-4CD8-B688-FDAE0FDA683A}"/>
    <cellStyle name="Normal 2 3" xfId="29" xr:uid="{00000000-0005-0000-0000-00000A000000}"/>
    <cellStyle name="Normal 2 3 2" xfId="63" xr:uid="{19EBE3AF-D40C-4991-920D-FC5D18B86624}"/>
    <cellStyle name="Normal 2 3 2 2" xfId="127" xr:uid="{6028C09B-1501-4659-B38C-486AF0186FB5}"/>
    <cellStyle name="Normal 2 3 3" xfId="96" xr:uid="{59E947CF-4D60-4D2B-9ED8-A21FC07D01CC}"/>
    <cellStyle name="Normal 2 4" xfId="78" xr:uid="{A4EC6DF3-5394-4AE2-9BF6-43227FEE4F52}"/>
    <cellStyle name="Normal 2_Trial Bal Download" xfId="5" xr:uid="{00000000-0005-0000-0000-00000B000000}"/>
    <cellStyle name="Normal 20" xfId="18" xr:uid="{00000000-0005-0000-0000-00000C000000}"/>
    <cellStyle name="Normal 20 2" xfId="55" xr:uid="{5D02E9C2-CFDE-4969-8641-BEB0C62A86E8}"/>
    <cellStyle name="Normal 20 2 2" xfId="119" xr:uid="{7776B89D-158C-45D4-8595-981B2FA81254}"/>
    <cellStyle name="Normal 20 3" xfId="88" xr:uid="{676F8857-D337-47C7-A03F-DD85D8155DC8}"/>
    <cellStyle name="Normal 22 2" xfId="28" xr:uid="{00000000-0005-0000-0000-00000D000000}"/>
    <cellStyle name="Normal 22 2 2" xfId="62" xr:uid="{02DF0E9A-48AB-4605-A8AA-E5F63E4456B1}"/>
    <cellStyle name="Normal 22 2 2 2" xfId="126" xr:uid="{46D28049-7C31-4F1D-AAD0-DD2C67F9057F}"/>
    <cellStyle name="Normal 22 2 3" xfId="95" xr:uid="{5E1E35BC-A800-48F6-98ED-898A62EF9226}"/>
    <cellStyle name="Normal 23" xfId="16" xr:uid="{00000000-0005-0000-0000-00000E000000}"/>
    <cellStyle name="Normal 23 2" xfId="53" xr:uid="{AF0A429F-4F1D-4E33-9215-9E24E273B230}"/>
    <cellStyle name="Normal 23 2 2" xfId="117" xr:uid="{7B4F6716-F4C3-4E4B-9280-88996733F839}"/>
    <cellStyle name="Normal 23 3" xfId="86" xr:uid="{EBBB49C1-64E1-45D1-928A-1132AF170EBF}"/>
    <cellStyle name="Normal 27 2" xfId="35" xr:uid="{00000000-0005-0000-0000-00000F000000}"/>
    <cellStyle name="Normal 27 2 2" xfId="66" xr:uid="{F4AAF5F4-D4C8-4762-A2BE-AFC443C85C6B}"/>
    <cellStyle name="Normal 27 2 2 2" xfId="130" xr:uid="{0152C5EC-EB82-420E-9BD9-8E1900248542}"/>
    <cellStyle name="Normal 27 2 3" xfId="99" xr:uid="{738C8D66-3943-41A7-BB0A-1A4681CF344F}"/>
    <cellStyle name="Normal 28 2" xfId="9" xr:uid="{00000000-0005-0000-0000-000010000000}"/>
    <cellStyle name="Normal 28 2 2" xfId="47" xr:uid="{CF7781E3-809A-4950-A0A1-C50C1299ECF1}"/>
    <cellStyle name="Normal 28 2 2 2" xfId="111" xr:uid="{7D7C9B4D-FFF0-4DD7-A506-1E92ABCDFAF8}"/>
    <cellStyle name="Normal 28 2 3" xfId="80" xr:uid="{67BC2DF2-B8D3-41CD-BE9C-9A1E9D68AD04}"/>
    <cellStyle name="Normal 3" xfId="13" xr:uid="{00000000-0005-0000-0000-000011000000}"/>
    <cellStyle name="Normal 3 2" xfId="24" xr:uid="{00000000-0005-0000-0000-000012000000}"/>
    <cellStyle name="Normal 3 2 2" xfId="60" xr:uid="{901E7F37-1C30-4773-AB0C-4F9F53620CA5}"/>
    <cellStyle name="Normal 3 2 2 2" xfId="124" xr:uid="{B5B14F81-8386-4735-BC68-C99A256D436D}"/>
    <cellStyle name="Normal 3 2 3" xfId="93" xr:uid="{C49767CA-C2C1-4414-AD9F-12FE45FE3E34}"/>
    <cellStyle name="Normal 3 3" xfId="51" xr:uid="{C74925CB-CF70-4905-87D1-0B38C458959D}"/>
    <cellStyle name="Normal 3 3 2" xfId="115" xr:uid="{17472719-BB56-4354-91C7-6FAFD6E46397}"/>
    <cellStyle name="Normal 3 4" xfId="84" xr:uid="{C9B15B59-2457-4926-8FEF-53B9035D046B}"/>
    <cellStyle name="Normal 3_Attach O, GG, Support -New Method 2-14-11" xfId="4" xr:uid="{00000000-0005-0000-0000-000013000000}"/>
    <cellStyle name="Normal 4" xfId="38" xr:uid="{E3C718EF-6246-418A-98F3-D391E6CA0C94}"/>
    <cellStyle name="Normal 4 2" xfId="69" xr:uid="{68654669-04C8-4645-BE05-82490417CC1C}"/>
    <cellStyle name="Normal 4 2 2" xfId="133" xr:uid="{3F80F326-C6F6-4378-8686-CC28A0FA256B}"/>
    <cellStyle name="Normal 4 3" xfId="102" xr:uid="{40BE7CB2-DF53-47B1-B905-73AE9F761231}"/>
    <cellStyle name="Normal 5" xfId="11" xr:uid="{00000000-0005-0000-0000-000014000000}"/>
    <cellStyle name="Normal 5 2" xfId="17" xr:uid="{00000000-0005-0000-0000-000015000000}"/>
    <cellStyle name="Normal 5 2 2" xfId="54" xr:uid="{6B175EAE-9F5C-4848-A399-B52EE058B8DF}"/>
    <cellStyle name="Normal 5 2 2 2" xfId="118" xr:uid="{431BBC34-D538-4C8E-9811-96CA5442698F}"/>
    <cellStyle name="Normal 5 2 3" xfId="87" xr:uid="{2E14A603-535E-4F0C-9110-762D4F4EFDDB}"/>
    <cellStyle name="Normal 5 3" xfId="49" xr:uid="{532988B8-A0BC-48BF-9123-3CF851D229E8}"/>
    <cellStyle name="Normal 5 3 2" xfId="113" xr:uid="{D69F75C1-E7DB-4C20-928F-404BB1D82008}"/>
    <cellStyle name="Normal 5 4" xfId="82" xr:uid="{79181912-EE4C-4B56-BA36-8BBAE94D16E8}"/>
    <cellStyle name="Normal 6" xfId="39" xr:uid="{F8D904F5-72F3-4C29-AA5F-74F2B48B4D84}"/>
    <cellStyle name="Normal 6 2" xfId="70" xr:uid="{730CDEBD-910B-4586-8F70-B10C65249763}"/>
    <cellStyle name="Normal 6 2 2" xfId="33" xr:uid="{00000000-0005-0000-0000-000016000000}"/>
    <cellStyle name="Normal 6 2 2 2" xfId="36" xr:uid="{00000000-0005-0000-0000-000017000000}"/>
    <cellStyle name="Normal 6 2 2 2 2" xfId="67" xr:uid="{32EF94A9-4C63-49AE-8C69-127F778B4FF2}"/>
    <cellStyle name="Normal 6 2 2 2 2 2" xfId="131" xr:uid="{7AC10804-9923-426D-A8C3-2973F43D9A89}"/>
    <cellStyle name="Normal 6 2 2 2 3" xfId="100" xr:uid="{F0FEA13A-E862-4D4B-93B0-E4D1CCC95D99}"/>
    <cellStyle name="Normal 6 2 2 3" xfId="64" xr:uid="{9DC44EB9-61C2-4685-B08D-AB963CEAF058}"/>
    <cellStyle name="Normal 6 2 2 3 2" xfId="128" xr:uid="{A755DC38-A5EA-418F-9255-F7F73829FFB4}"/>
    <cellStyle name="Normal 6 2 2 4" xfId="97" xr:uid="{BC34F238-E175-4F3E-BAFA-3A2E8AD93E71}"/>
    <cellStyle name="Normal 6 2 3" xfId="134" xr:uid="{FD7748A3-9DD4-482D-8115-F6169D0B63F8}"/>
    <cellStyle name="Normal 6 3" xfId="103" xr:uid="{1A676757-7560-4A68-AD92-2B39B8009AFE}"/>
    <cellStyle name="Normal 6 3 2" xfId="34" xr:uid="{00000000-0005-0000-0000-000018000000}"/>
    <cellStyle name="Normal 6 3 2 2" xfId="65" xr:uid="{398C26EB-120E-4855-A3A4-85CAE11FA534}"/>
    <cellStyle name="Normal 6 3 2 2 2" xfId="129" xr:uid="{8E1BD3D9-6D2A-44D9-BEFB-B520980C6699}"/>
    <cellStyle name="Normal 6 3 2 3" xfId="98" xr:uid="{097ED24D-5C7D-4C04-B6D9-7FD781D02A51}"/>
    <cellStyle name="Normal 7" xfId="19" xr:uid="{00000000-0005-0000-0000-000019000000}"/>
    <cellStyle name="Normal 7 2" xfId="56" xr:uid="{06B6D7E7-F345-41B5-B0CB-267E222EC950}"/>
    <cellStyle name="Normal 7 2 2" xfId="120" xr:uid="{EF716A7C-4CC8-4A20-B97B-D764F49007E7}"/>
    <cellStyle name="Normal 7 3" xfId="89" xr:uid="{0D5FDB57-0E86-4548-8CBC-39F0E72AEDA6}"/>
    <cellStyle name="Normal 8" xfId="41" xr:uid="{E90DB7E0-BA88-44BA-AD9B-743626D85488}"/>
    <cellStyle name="Normal 8 2" xfId="42" xr:uid="{806AFB84-9FC3-45ED-9626-BE6B9A91254F}"/>
    <cellStyle name="Normal 8 2 2" xfId="73" xr:uid="{EA8B9202-83A7-41DD-A409-FEC6334A94A7}"/>
    <cellStyle name="Normal 8 2 2 2" xfId="137" xr:uid="{7D0BA350-0559-41C2-842D-9BF6CBACCF78}"/>
    <cellStyle name="Normal 8 2 3" xfId="106" xr:uid="{AD143D08-16A7-4456-8BBC-09A4391ADB43}"/>
    <cellStyle name="Normal 8 3" xfId="72" xr:uid="{F85CC1D0-62AF-4200-9C8B-93043ADC8E30}"/>
    <cellStyle name="Normal 8 3 2" xfId="136" xr:uid="{7C4E46CB-3C44-4FB6-9730-32633D1A38FA}"/>
    <cellStyle name="Normal 8 4" xfId="105" xr:uid="{3CD1514D-1ECB-4E91-9A96-DE8F373A13C9}"/>
    <cellStyle name="Normal 9" xfId="43" xr:uid="{82D50E1C-72F2-4065-B8E7-1A1041A2A266}"/>
    <cellStyle name="Normal 9 2" xfId="107" xr:uid="{A69CEC46-1B94-4A63-B2B1-9F66332AE1D9}"/>
    <cellStyle name="Normal_21 Exh B" xfId="143" xr:uid="{1B12BB0F-59C7-45B0-81AA-1C04503F5789}"/>
    <cellStyle name="Normal_ATC Projected 2008 Monthly Plant Balances for Attachment O 2 (2)" xfId="7" xr:uid="{00000000-0005-0000-0000-00001A000000}"/>
    <cellStyle name="Normal_Att O cost year 2005 B4 Purvi Ver 3" xfId="144" xr:uid="{5D13103A-2C04-43E4-BBBB-282065BC01E9}"/>
    <cellStyle name="Normal_Attachment GG (2)" xfId="8" xr:uid="{00000000-0005-0000-0000-00001B000000}"/>
    <cellStyle name="Normal_Attachment GG Example 8 26 09" xfId="31" xr:uid="{00000000-0005-0000-0000-00001C000000}"/>
    <cellStyle name="Normal_Attachment GG Template ER09-1657" xfId="32" xr:uid="{00000000-0005-0000-0000-00001D000000}"/>
    <cellStyle name="Normal_Attachment GG Template ER11-28 11-18-10" xfId="23" xr:uid="{00000000-0005-0000-0000-00001E000000}"/>
    <cellStyle name="Normal_Attachment GG Template ER11-28 11-18-10 2" xfId="145" xr:uid="{A03ADD6B-3630-4894-96B9-6D68221F83E8}"/>
    <cellStyle name="Normal_Attachment Os for 2002 True-up 2" xfId="142" xr:uid="{9ABACC4B-2156-463B-807A-C22355B0B1E4}"/>
    <cellStyle name="Normal_Schedule O Info for Mike" xfId="6" xr:uid="{00000000-0005-0000-0000-000020000000}"/>
    <cellStyle name="Normal_Schedule O Info for Mike 2" xfId="15" xr:uid="{00000000-0005-0000-0000-000021000000}"/>
    <cellStyle name="Normal_Schedule O Info for Mike 3" xfId="79" xr:uid="{3AA737D6-8799-46D2-A0F5-77DF60BFA651}"/>
    <cellStyle name="Normal_Sheet1" xfId="27" xr:uid="{00000000-0005-0000-0000-000022000000}"/>
    <cellStyle name="Normal_Sheet3" xfId="25" xr:uid="{00000000-0005-0000-0000-000023000000}"/>
    <cellStyle name="Percent" xfId="2" builtinId="5"/>
    <cellStyle name="Percent 2" xfId="14" xr:uid="{00000000-0005-0000-0000-000025000000}"/>
    <cellStyle name="Percent 2 2" xfId="52" xr:uid="{81CC1A65-AD5D-48CE-A4F5-7026FB9CC9BD}"/>
    <cellStyle name="Percent 2 2 2" xfId="116" xr:uid="{3DB573D4-AC80-4035-A0E9-B026525D9C04}"/>
    <cellStyle name="Percent 2 3" xfId="85" xr:uid="{BBEB9795-4F83-45C7-ADDC-8FA4D3C4E582}"/>
    <cellStyle name="Percent 3" xfId="22" xr:uid="{00000000-0005-0000-0000-000026000000}"/>
    <cellStyle name="Percent 3 2" xfId="59" xr:uid="{7B582FAD-BDEA-46AE-B66F-8E0BB6FBBBF8}"/>
    <cellStyle name="Percent 3 2 2" xfId="123" xr:uid="{A2D34709-9747-4387-B277-932E9BDA9FDC}"/>
    <cellStyle name="Percent 3 3" xfId="92" xr:uid="{55C2502A-B935-4464-82DC-339B865EB934}"/>
    <cellStyle name="Percent 4" xfId="45" xr:uid="{275F352C-D8EB-43CD-845E-83323C94EA9E}"/>
    <cellStyle name="Percent 4 2" xfId="109" xr:uid="{33645E0C-0351-4D8A-BD31-43F1141575CF}"/>
    <cellStyle name="Percent 5" xfId="77" xr:uid="{9D8C5293-8D40-4572-B981-93DC911C7106}"/>
  </cellStyles>
  <dxfs count="1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95" formatCode="0.0"/>
    </dxf>
    <dxf>
      <numFmt numFmtId="1" formatCode="0"/>
    </dxf>
  </dxfs>
  <tableStyles count="0" defaultTableStyle="TableStyleMedium2" defaultPivotStyle="PivotStyleLight16"/>
  <colors>
    <mruColors>
      <color rgb="FF00FFFF"/>
      <color rgb="FFCCFF33"/>
      <color rgb="FF0000CC"/>
      <color rgb="FF3366CC"/>
      <color rgb="FFCC99FF"/>
      <color rgb="FF6666FF"/>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D353E-9A2D-4741-92A2-C62E7A56B96A}">
  <sheetPr codeName="Sheet27">
    <tabColor rgb="FF00FFFF"/>
  </sheetPr>
  <dimension ref="A1:T357"/>
  <sheetViews>
    <sheetView tabSelected="1" zoomScale="90" zoomScaleNormal="90" zoomScaleSheetLayoutView="80" workbookViewId="0">
      <selection activeCell="I20" sqref="I20"/>
    </sheetView>
  </sheetViews>
  <sheetFormatPr defaultColWidth="9.140625" defaultRowHeight="15.75"/>
  <cols>
    <col min="1" max="1" width="5.7109375" style="610" customWidth="1"/>
    <col min="2" max="2" width="47.5703125" style="610" customWidth="1"/>
    <col min="3" max="3" width="42.5703125" style="610" customWidth="1"/>
    <col min="4" max="4" width="16.140625" style="610" customWidth="1"/>
    <col min="5" max="5" width="5.7109375" style="610" customWidth="1"/>
    <col min="6" max="6" width="7.28515625" style="610" customWidth="1"/>
    <col min="7" max="7" width="16.42578125" style="610" bestFit="1" customWidth="1"/>
    <col min="8" max="8" width="4.85546875" style="610" customWidth="1"/>
    <col min="9" max="9" width="16.28515625" style="610" customWidth="1"/>
    <col min="10" max="10" width="2.5703125" style="610" customWidth="1"/>
    <col min="11" max="11" width="11.42578125" style="610" customWidth="1"/>
    <col min="12" max="12" width="19.85546875" style="610" customWidth="1"/>
    <col min="13" max="13" width="28.5703125" style="610" customWidth="1"/>
    <col min="14" max="14" width="9.140625" style="610"/>
    <col min="15" max="15" width="12.42578125" style="610" customWidth="1"/>
    <col min="16" max="16" width="13.5703125" style="610" customWidth="1"/>
    <col min="17" max="16384" width="9.140625" style="610"/>
  </cols>
  <sheetData>
    <row r="1" spans="1:17">
      <c r="K1" s="611" t="s">
        <v>0</v>
      </c>
      <c r="M1" s="612"/>
      <c r="N1" s="613"/>
      <c r="O1" s="613"/>
      <c r="P1" s="613"/>
      <c r="Q1" s="613"/>
    </row>
    <row r="2" spans="1:17">
      <c r="M2" s="614"/>
      <c r="N2" s="613"/>
      <c r="O2" s="613"/>
      <c r="P2" s="613"/>
      <c r="Q2" s="613"/>
    </row>
    <row r="3" spans="1:17">
      <c r="A3" s="615"/>
      <c r="B3" s="616" t="s">
        <v>1</v>
      </c>
      <c r="C3" s="616"/>
      <c r="D3" s="617" t="s">
        <v>2</v>
      </c>
      <c r="E3" s="616"/>
      <c r="F3" s="616"/>
      <c r="G3" s="618"/>
      <c r="H3" s="618"/>
      <c r="I3" s="619"/>
      <c r="J3" s="618"/>
      <c r="K3" s="620" t="s">
        <v>1282</v>
      </c>
      <c r="L3" s="616"/>
      <c r="M3" s="613"/>
      <c r="N3" s="613"/>
      <c r="O3" s="613"/>
      <c r="P3" s="613"/>
      <c r="Q3" s="613"/>
    </row>
    <row r="4" spans="1:17">
      <c r="A4" s="615"/>
      <c r="B4" s="616"/>
      <c r="C4" s="621" t="s">
        <v>3</v>
      </c>
      <c r="D4" s="621" t="s">
        <v>4</v>
      </c>
      <c r="E4" s="621"/>
      <c r="F4" s="621"/>
      <c r="G4" s="621"/>
      <c r="H4" s="616"/>
      <c r="I4" s="616"/>
      <c r="J4" s="616"/>
      <c r="K4" s="616"/>
      <c r="L4" s="616"/>
      <c r="M4" s="613"/>
      <c r="N4" s="613"/>
      <c r="O4" s="613"/>
      <c r="P4" s="613"/>
      <c r="Q4" s="613"/>
    </row>
    <row r="5" spans="1:17">
      <c r="A5" s="615"/>
      <c r="B5" s="616"/>
      <c r="C5" s="616"/>
      <c r="D5" s="616"/>
      <c r="E5" s="616"/>
      <c r="F5" s="616"/>
      <c r="G5" s="616"/>
      <c r="H5" s="616"/>
      <c r="I5" s="616"/>
      <c r="J5" s="616"/>
      <c r="K5" s="616"/>
      <c r="L5" s="616"/>
    </row>
    <row r="6" spans="1:17">
      <c r="A6" s="996" t="s">
        <v>5</v>
      </c>
      <c r="B6" s="996"/>
      <c r="C6" s="996"/>
      <c r="D6" s="996"/>
      <c r="E6" s="996"/>
      <c r="F6" s="996"/>
      <c r="G6" s="996"/>
      <c r="H6" s="996"/>
      <c r="I6" s="996"/>
      <c r="J6" s="996"/>
      <c r="K6" s="996"/>
      <c r="L6" s="616"/>
    </row>
    <row r="7" spans="1:17">
      <c r="A7" s="623"/>
      <c r="B7" s="624" t="s">
        <v>6</v>
      </c>
      <c r="C7" s="616"/>
      <c r="D7" s="622"/>
      <c r="E7" s="616"/>
      <c r="F7" s="616"/>
      <c r="G7" s="616"/>
      <c r="H7" s="616"/>
      <c r="I7" s="616"/>
      <c r="J7" s="616"/>
      <c r="K7" s="616"/>
      <c r="L7" s="616"/>
    </row>
    <row r="8" spans="1:17">
      <c r="A8" s="623"/>
      <c r="B8" s="624" t="s">
        <v>7</v>
      </c>
      <c r="C8" s="616"/>
      <c r="D8" s="625"/>
      <c r="E8" s="616"/>
      <c r="F8" s="616"/>
      <c r="G8" s="616"/>
      <c r="H8" s="616"/>
      <c r="I8" s="616"/>
      <c r="J8" s="616"/>
      <c r="K8" s="616"/>
      <c r="L8" s="616"/>
    </row>
    <row r="9" spans="1:17">
      <c r="A9" s="623" t="s">
        <v>8</v>
      </c>
      <c r="B9" s="616"/>
      <c r="C9" s="616"/>
      <c r="D9" s="625"/>
      <c r="E9" s="616"/>
      <c r="F9" s="616"/>
      <c r="G9" s="616"/>
      <c r="H9" s="616"/>
      <c r="I9" s="623" t="s">
        <v>9</v>
      </c>
      <c r="J9" s="616"/>
      <c r="K9" s="616"/>
      <c r="L9" s="616"/>
    </row>
    <row r="10" spans="1:17" ht="16.5" thickBot="1">
      <c r="A10" s="626" t="s">
        <v>10</v>
      </c>
      <c r="B10" s="616"/>
      <c r="C10" s="616"/>
      <c r="D10" s="616"/>
      <c r="E10" s="616"/>
      <c r="F10" s="616"/>
      <c r="G10" s="616"/>
      <c r="H10" s="616"/>
      <c r="I10" s="626" t="s">
        <v>11</v>
      </c>
      <c r="J10" s="616"/>
      <c r="K10" s="616"/>
      <c r="L10" s="616"/>
    </row>
    <row r="11" spans="1:17">
      <c r="A11" s="623">
        <v>1</v>
      </c>
      <c r="B11" s="616" t="s">
        <v>12</v>
      </c>
      <c r="C11" s="616"/>
      <c r="D11" s="621"/>
      <c r="E11" s="616"/>
      <c r="F11" s="616"/>
      <c r="G11" s="616"/>
      <c r="H11" s="616"/>
      <c r="I11" s="627">
        <f>+I221</f>
        <v>878403348.42945457</v>
      </c>
      <c r="J11" s="616"/>
      <c r="K11" s="616"/>
      <c r="L11" s="616"/>
    </row>
    <row r="12" spans="1:17">
      <c r="A12" s="623"/>
      <c r="B12" s="616"/>
      <c r="C12" s="616"/>
      <c r="D12" s="616"/>
      <c r="E12" s="616"/>
      <c r="F12" s="616"/>
      <c r="G12" s="616"/>
      <c r="H12" s="616"/>
      <c r="I12" s="621"/>
      <c r="J12" s="616"/>
      <c r="K12" s="616"/>
      <c r="L12" s="616"/>
    </row>
    <row r="13" spans="1:17" ht="16.5" thickBot="1">
      <c r="A13" s="623" t="s">
        <v>3</v>
      </c>
      <c r="B13" s="616" t="s">
        <v>13</v>
      </c>
      <c r="C13" s="621" t="s">
        <v>14</v>
      </c>
      <c r="D13" s="626" t="s">
        <v>15</v>
      </c>
      <c r="E13" s="621"/>
      <c r="F13" s="628" t="s">
        <v>16</v>
      </c>
      <c r="G13" s="628"/>
      <c r="H13" s="616"/>
      <c r="I13" s="621"/>
      <c r="J13" s="616"/>
      <c r="K13" s="616"/>
      <c r="L13" s="616"/>
    </row>
    <row r="14" spans="1:17">
      <c r="A14" s="623">
        <v>2</v>
      </c>
      <c r="B14" s="616" t="s">
        <v>17</v>
      </c>
      <c r="C14" s="621" t="s">
        <v>18</v>
      </c>
      <c r="D14" s="629">
        <f>I298</f>
        <v>1871321</v>
      </c>
      <c r="E14" s="621"/>
      <c r="F14" s="621" t="s">
        <v>19</v>
      </c>
      <c r="G14" s="630">
        <f>I241</f>
        <v>1</v>
      </c>
      <c r="H14" s="631"/>
      <c r="I14" s="632">
        <f>+G14*D14</f>
        <v>1871321</v>
      </c>
      <c r="J14" s="616"/>
      <c r="K14" s="616"/>
      <c r="L14" s="616"/>
    </row>
    <row r="15" spans="1:17">
      <c r="A15" s="623">
        <v>3</v>
      </c>
      <c r="B15" s="616" t="s">
        <v>20</v>
      </c>
      <c r="C15" s="621" t="s">
        <v>21</v>
      </c>
      <c r="D15" s="629">
        <f>I305</f>
        <v>10000000</v>
      </c>
      <c r="E15" s="621"/>
      <c r="F15" s="621" t="s">
        <v>19</v>
      </c>
      <c r="G15" s="630">
        <f>+G14</f>
        <v>1</v>
      </c>
      <c r="H15" s="631"/>
      <c r="I15" s="632">
        <f>+G15*D15</f>
        <v>10000000</v>
      </c>
      <c r="J15" s="616"/>
      <c r="K15" s="616"/>
      <c r="L15" s="616"/>
    </row>
    <row r="16" spans="1:17">
      <c r="A16" s="623">
        <v>4</v>
      </c>
      <c r="B16" s="621" t="s">
        <v>22</v>
      </c>
      <c r="C16" s="621"/>
      <c r="D16" s="633">
        <v>0</v>
      </c>
      <c r="E16" s="621"/>
      <c r="F16" s="621" t="s">
        <v>19</v>
      </c>
      <c r="G16" s="630">
        <f>+G15</f>
        <v>1</v>
      </c>
      <c r="H16" s="631"/>
      <c r="I16" s="632">
        <f>+G16*D16</f>
        <v>0</v>
      </c>
      <c r="J16" s="616"/>
      <c r="K16" s="616"/>
      <c r="L16" s="616"/>
    </row>
    <row r="17" spans="1:12" ht="16.5" thickBot="1">
      <c r="A17" s="623">
        <v>5</v>
      </c>
      <c r="B17" s="621" t="s">
        <v>23</v>
      </c>
      <c r="C17" s="621"/>
      <c r="D17" s="633">
        <v>0</v>
      </c>
      <c r="E17" s="621"/>
      <c r="F17" s="621" t="s">
        <v>19</v>
      </c>
      <c r="G17" s="630">
        <f>+G16</f>
        <v>1</v>
      </c>
      <c r="H17" s="631"/>
      <c r="I17" s="634">
        <f>+G17*D17</f>
        <v>0</v>
      </c>
      <c r="J17" s="616"/>
      <c r="K17" s="616"/>
      <c r="L17" s="616"/>
    </row>
    <row r="18" spans="1:12">
      <c r="A18" s="623">
        <v>6</v>
      </c>
      <c r="B18" s="616" t="s">
        <v>24</v>
      </c>
      <c r="C18" s="616"/>
      <c r="D18" s="635" t="s">
        <v>3</v>
      </c>
      <c r="E18" s="621"/>
      <c r="F18" s="621"/>
      <c r="G18" s="636"/>
      <c r="H18" s="631"/>
      <c r="I18" s="632">
        <f>SUM(I14:I17)</f>
        <v>11871321</v>
      </c>
      <c r="J18" s="616"/>
      <c r="K18" s="616"/>
      <c r="L18" s="616"/>
    </row>
    <row r="19" spans="1:12">
      <c r="A19" s="623"/>
      <c r="B19" s="615"/>
      <c r="C19" s="616"/>
      <c r="D19" s="621" t="s">
        <v>3</v>
      </c>
      <c r="E19" s="616"/>
      <c r="F19" s="616"/>
      <c r="G19" s="637"/>
      <c r="H19" s="616"/>
      <c r="I19" s="615"/>
      <c r="J19" s="616"/>
      <c r="K19" s="616"/>
      <c r="L19" s="616"/>
    </row>
    <row r="20" spans="1:12" ht="16.5" thickBot="1">
      <c r="A20" s="623">
        <v>7</v>
      </c>
      <c r="B20" s="616" t="s">
        <v>25</v>
      </c>
      <c r="C20" s="616" t="s">
        <v>26</v>
      </c>
      <c r="D20" s="635" t="s">
        <v>3</v>
      </c>
      <c r="E20" s="621"/>
      <c r="F20" s="621"/>
      <c r="G20" s="621"/>
      <c r="H20" s="621"/>
      <c r="I20" s="638">
        <f>I11-I18</f>
        <v>866532027.42945457</v>
      </c>
      <c r="J20" s="616"/>
      <c r="K20" s="616"/>
      <c r="L20" s="616"/>
    </row>
    <row r="21" spans="1:12" ht="16.5" thickTop="1">
      <c r="A21" s="623"/>
      <c r="B21" s="615"/>
      <c r="C21" s="616"/>
      <c r="D21" s="635"/>
      <c r="E21" s="621"/>
      <c r="F21" s="621"/>
      <c r="G21" s="621"/>
      <c r="H21" s="621"/>
      <c r="I21" s="615"/>
      <c r="J21" s="616"/>
      <c r="K21" s="616"/>
      <c r="L21" s="616"/>
    </row>
    <row r="22" spans="1:12">
      <c r="A22" s="623"/>
      <c r="B22" s="616" t="s">
        <v>27</v>
      </c>
      <c r="C22" s="616"/>
      <c r="D22" s="621"/>
      <c r="E22" s="616"/>
      <c r="F22" s="616"/>
      <c r="G22" s="616"/>
      <c r="H22" s="616"/>
      <c r="I22" s="621"/>
      <c r="J22" s="616"/>
      <c r="K22" s="616"/>
      <c r="L22" s="616"/>
    </row>
    <row r="23" spans="1:12">
      <c r="A23" s="623">
        <v>8</v>
      </c>
      <c r="B23" s="616" t="s">
        <v>28</v>
      </c>
      <c r="C23" s="615"/>
      <c r="D23" s="621"/>
      <c r="E23" s="616"/>
      <c r="F23" s="616"/>
      <c r="G23" s="616" t="s">
        <v>29</v>
      </c>
      <c r="H23" s="616"/>
      <c r="I23" s="633">
        <v>9813545.3723276481</v>
      </c>
      <c r="J23" s="616"/>
      <c r="K23" s="616"/>
      <c r="L23" s="615"/>
    </row>
    <row r="24" spans="1:12">
      <c r="A24" s="623">
        <v>9</v>
      </c>
      <c r="B24" s="616" t="s">
        <v>30</v>
      </c>
      <c r="C24" s="621"/>
      <c r="D24" s="621"/>
      <c r="E24" s="621"/>
      <c r="F24" s="621"/>
      <c r="G24" s="621" t="s">
        <v>31</v>
      </c>
      <c r="H24" s="621"/>
      <c r="I24" s="633">
        <v>0</v>
      </c>
      <c r="J24" s="616"/>
      <c r="K24" s="616"/>
      <c r="L24" s="615"/>
    </row>
    <row r="25" spans="1:12">
      <c r="A25" s="623">
        <v>10</v>
      </c>
      <c r="B25" s="621" t="s">
        <v>32</v>
      </c>
      <c r="C25" s="616"/>
      <c r="D25" s="616"/>
      <c r="E25" s="616"/>
      <c r="F25" s="615"/>
      <c r="G25" s="616" t="s">
        <v>33</v>
      </c>
      <c r="H25" s="616"/>
      <c r="I25" s="633">
        <v>0</v>
      </c>
      <c r="J25" s="616"/>
      <c r="K25" s="616"/>
      <c r="L25" s="615"/>
    </row>
    <row r="26" spans="1:12">
      <c r="A26" s="623">
        <v>11</v>
      </c>
      <c r="B26" s="616" t="s">
        <v>34</v>
      </c>
      <c r="C26" s="616"/>
      <c r="D26" s="616"/>
      <c r="E26" s="616"/>
      <c r="F26" s="615"/>
      <c r="G26" s="616" t="s">
        <v>35</v>
      </c>
      <c r="H26" s="616"/>
      <c r="I26" s="633">
        <v>0</v>
      </c>
      <c r="J26" s="616"/>
      <c r="K26" s="616"/>
      <c r="L26" s="615"/>
    </row>
    <row r="27" spans="1:12">
      <c r="A27" s="623">
        <v>12</v>
      </c>
      <c r="B27" s="621" t="s">
        <v>36</v>
      </c>
      <c r="C27" s="616"/>
      <c r="D27" s="616"/>
      <c r="E27" s="616"/>
      <c r="F27" s="616"/>
      <c r="G27" s="616"/>
      <c r="H27" s="616"/>
      <c r="I27" s="633">
        <v>0</v>
      </c>
      <c r="J27" s="616"/>
      <c r="K27" s="616"/>
      <c r="L27" s="615"/>
    </row>
    <row r="28" spans="1:12">
      <c r="A28" s="623">
        <v>13</v>
      </c>
      <c r="B28" s="621" t="s">
        <v>37</v>
      </c>
      <c r="C28" s="616"/>
      <c r="D28" s="616"/>
      <c r="E28" s="616"/>
      <c r="F28" s="616"/>
      <c r="G28" s="616"/>
      <c r="H28" s="616"/>
      <c r="I28" s="633">
        <v>0</v>
      </c>
      <c r="J28" s="616"/>
      <c r="K28" s="616"/>
      <c r="L28" s="615"/>
    </row>
    <row r="29" spans="1:12" ht="16.5" thickBot="1">
      <c r="A29" s="623">
        <v>14</v>
      </c>
      <c r="B29" s="621" t="s">
        <v>38</v>
      </c>
      <c r="C29" s="616"/>
      <c r="D29" s="616"/>
      <c r="E29" s="616"/>
      <c r="F29" s="616"/>
      <c r="G29" s="616"/>
      <c r="H29" s="616"/>
      <c r="I29" s="639">
        <v>0</v>
      </c>
      <c r="J29" s="616"/>
      <c r="K29" s="616"/>
      <c r="L29" s="615"/>
    </row>
    <row r="30" spans="1:12">
      <c r="A30" s="623">
        <v>15</v>
      </c>
      <c r="B30" s="616" t="s">
        <v>39</v>
      </c>
      <c r="C30" s="616"/>
      <c r="D30" s="616"/>
      <c r="E30" s="616"/>
      <c r="F30" s="616"/>
      <c r="G30" s="616"/>
      <c r="H30" s="616"/>
      <c r="I30" s="629">
        <f>SUM(I23:I29)</f>
        <v>9813545.3723276481</v>
      </c>
      <c r="J30" s="616"/>
      <c r="K30" s="616"/>
      <c r="L30" s="616"/>
    </row>
    <row r="31" spans="1:12">
      <c r="A31" s="623"/>
      <c r="B31" s="616"/>
      <c r="C31" s="616"/>
      <c r="D31" s="616"/>
      <c r="E31" s="616"/>
      <c r="F31" s="616"/>
      <c r="G31" s="616"/>
      <c r="H31" s="616"/>
      <c r="I31" s="621"/>
      <c r="J31" s="616"/>
      <c r="K31" s="616"/>
      <c r="L31" s="616"/>
    </row>
    <row r="32" spans="1:12">
      <c r="A32" s="623">
        <v>16</v>
      </c>
      <c r="B32" s="616" t="s">
        <v>40</v>
      </c>
      <c r="C32" s="616" t="s">
        <v>41</v>
      </c>
      <c r="D32" s="640">
        <f>IF(I30&gt;0,I20/I30,0)</f>
        <v>88.299589450405136</v>
      </c>
      <c r="E32" s="616"/>
      <c r="F32" s="616"/>
      <c r="G32" s="616"/>
      <c r="H32" s="616"/>
      <c r="I32" s="615"/>
      <c r="J32" s="616"/>
      <c r="K32" s="616"/>
      <c r="L32" s="616"/>
    </row>
    <row r="33" spans="1:12">
      <c r="A33" s="623">
        <v>17</v>
      </c>
      <c r="B33" s="616" t="s">
        <v>42</v>
      </c>
      <c r="C33" s="616" t="s">
        <v>43</v>
      </c>
      <c r="D33" s="640">
        <f>+D32/12</f>
        <v>7.3582991208670947</v>
      </c>
      <c r="E33" s="616"/>
      <c r="F33" s="616"/>
      <c r="G33" s="616"/>
      <c r="H33" s="616"/>
      <c r="I33" s="615"/>
      <c r="J33" s="616"/>
      <c r="K33" s="616"/>
      <c r="L33" s="616"/>
    </row>
    <row r="34" spans="1:12">
      <c r="A34" s="623"/>
      <c r="B34" s="616"/>
      <c r="C34" s="616"/>
      <c r="D34" s="641"/>
      <c r="E34" s="616"/>
      <c r="F34" s="616"/>
      <c r="G34" s="616"/>
      <c r="H34" s="616"/>
      <c r="I34" s="615"/>
      <c r="J34" s="616"/>
      <c r="K34" s="616"/>
      <c r="L34" s="616"/>
    </row>
    <row r="35" spans="1:12">
      <c r="A35" s="623"/>
      <c r="B35" s="616"/>
      <c r="C35" s="616"/>
      <c r="D35" s="642" t="s">
        <v>44</v>
      </c>
      <c r="E35" s="616"/>
      <c r="F35" s="616"/>
      <c r="G35" s="616"/>
      <c r="H35" s="616"/>
      <c r="I35" s="643" t="s">
        <v>45</v>
      </c>
      <c r="J35" s="616"/>
      <c r="K35" s="616"/>
      <c r="L35" s="616"/>
    </row>
    <row r="36" spans="1:12">
      <c r="A36" s="623">
        <v>18</v>
      </c>
      <c r="B36" s="616" t="s">
        <v>46</v>
      </c>
      <c r="C36" s="617" t="s">
        <v>47</v>
      </c>
      <c r="D36" s="640">
        <f>+D32/52</f>
        <v>1.6980690278924064</v>
      </c>
      <c r="E36" s="616"/>
      <c r="F36" s="616"/>
      <c r="G36" s="616"/>
      <c r="H36" s="616"/>
      <c r="I36" s="644">
        <f>+D32/52</f>
        <v>1.6980690278924064</v>
      </c>
      <c r="J36" s="616"/>
      <c r="K36" s="616"/>
      <c r="L36" s="616"/>
    </row>
    <row r="37" spans="1:12">
      <c r="A37" s="623">
        <v>19</v>
      </c>
      <c r="B37" s="616" t="s">
        <v>48</v>
      </c>
      <c r="C37" s="617" t="s">
        <v>49</v>
      </c>
      <c r="D37" s="640">
        <f>+D36/5</f>
        <v>0.33961380557848131</v>
      </c>
      <c r="E37" s="616" t="s">
        <v>50</v>
      </c>
      <c r="F37" s="615"/>
      <c r="G37" s="616"/>
      <c r="H37" s="616"/>
      <c r="I37" s="644">
        <f>+D32/365</f>
        <v>0.2419166834257675</v>
      </c>
      <c r="J37" s="616"/>
      <c r="K37" s="616"/>
      <c r="L37" s="616"/>
    </row>
    <row r="38" spans="1:12">
      <c r="A38" s="623">
        <v>20</v>
      </c>
      <c r="B38" s="616" t="s">
        <v>51</v>
      </c>
      <c r="C38" s="617" t="s">
        <v>52</v>
      </c>
      <c r="D38" s="640">
        <f>+D37/16*1000</f>
        <v>21.225862848655083</v>
      </c>
      <c r="E38" s="616" t="s">
        <v>53</v>
      </c>
      <c r="F38" s="615"/>
      <c r="G38" s="616"/>
      <c r="H38" s="616"/>
      <c r="I38" s="644">
        <f>+I37/24*1000</f>
        <v>10.07986180940698</v>
      </c>
      <c r="J38" s="616"/>
      <c r="K38" s="616" t="s">
        <v>3</v>
      </c>
      <c r="L38" s="616"/>
    </row>
    <row r="39" spans="1:12">
      <c r="A39" s="623"/>
      <c r="B39" s="616"/>
      <c r="C39" s="616" t="s">
        <v>54</v>
      </c>
      <c r="D39" s="616"/>
      <c r="E39" s="616" t="s">
        <v>55</v>
      </c>
      <c r="F39" s="615"/>
      <c r="G39" s="616"/>
      <c r="H39" s="616"/>
      <c r="I39" s="615"/>
      <c r="J39" s="616"/>
      <c r="K39" s="616" t="s">
        <v>3</v>
      </c>
      <c r="L39" s="616"/>
    </row>
    <row r="40" spans="1:12">
      <c r="A40" s="623"/>
      <c r="B40" s="616"/>
      <c r="C40" s="616"/>
      <c r="D40" s="616"/>
      <c r="E40" s="616"/>
      <c r="F40" s="615"/>
      <c r="G40" s="616"/>
      <c r="H40" s="616"/>
      <c r="I40" s="615"/>
      <c r="J40" s="616"/>
      <c r="K40" s="616" t="s">
        <v>3</v>
      </c>
      <c r="L40" s="616"/>
    </row>
    <row r="41" spans="1:12">
      <c r="A41" s="623">
        <v>21</v>
      </c>
      <c r="B41" s="616" t="s">
        <v>56</v>
      </c>
      <c r="C41" s="616" t="s">
        <v>57</v>
      </c>
      <c r="D41" s="645">
        <v>0</v>
      </c>
      <c r="E41" s="646" t="s">
        <v>58</v>
      </c>
      <c r="F41" s="646"/>
      <c r="G41" s="646"/>
      <c r="H41" s="646"/>
      <c r="I41" s="646">
        <v>0</v>
      </c>
      <c r="J41" s="646" t="s">
        <v>58</v>
      </c>
      <c r="K41" s="616"/>
      <c r="L41" s="616"/>
    </row>
    <row r="42" spans="1:12">
      <c r="A42" s="623">
        <v>22</v>
      </c>
      <c r="B42" s="616"/>
      <c r="C42" s="616"/>
      <c r="D42" s="645">
        <v>0</v>
      </c>
      <c r="E42" s="646" t="s">
        <v>59</v>
      </c>
      <c r="F42" s="646"/>
      <c r="G42" s="646"/>
      <c r="H42" s="646"/>
      <c r="I42" s="646">
        <v>0</v>
      </c>
      <c r="J42" s="646" t="s">
        <v>59</v>
      </c>
      <c r="K42" s="616"/>
      <c r="L42" s="616"/>
    </row>
    <row r="43" spans="1:12">
      <c r="A43" s="623"/>
      <c r="B43" s="616"/>
      <c r="C43" s="616"/>
      <c r="D43" s="646"/>
      <c r="E43" s="646"/>
      <c r="F43" s="646"/>
      <c r="G43" s="646"/>
      <c r="H43" s="646"/>
      <c r="I43" s="646"/>
      <c r="J43" s="646"/>
      <c r="K43" s="616"/>
      <c r="L43" s="616"/>
    </row>
    <row r="44" spans="1:12">
      <c r="A44" s="623"/>
      <c r="B44" s="616"/>
      <c r="C44" s="616"/>
      <c r="D44" s="646"/>
      <c r="E44" s="646"/>
      <c r="F44" s="646"/>
      <c r="G44" s="646"/>
      <c r="H44" s="646"/>
      <c r="I44" s="646"/>
      <c r="J44" s="646"/>
      <c r="K44" s="616"/>
      <c r="L44" s="616"/>
    </row>
    <row r="45" spans="1:12">
      <c r="A45" s="623"/>
      <c r="B45" s="616"/>
      <c r="C45" s="616"/>
      <c r="D45" s="646"/>
      <c r="E45" s="646"/>
      <c r="F45" s="646"/>
      <c r="G45" s="646"/>
      <c r="H45" s="646"/>
      <c r="I45" s="646"/>
      <c r="J45" s="646"/>
      <c r="K45" s="616"/>
      <c r="L45" s="616"/>
    </row>
    <row r="46" spans="1:12">
      <c r="A46" s="623"/>
      <c r="B46" s="616"/>
      <c r="C46" s="616"/>
      <c r="D46" s="646"/>
      <c r="E46" s="646"/>
      <c r="F46" s="646"/>
      <c r="G46" s="646"/>
      <c r="H46" s="646"/>
      <c r="I46" s="646"/>
      <c r="J46" s="646"/>
      <c r="K46" s="616"/>
      <c r="L46" s="616"/>
    </row>
    <row r="47" spans="1:12">
      <c r="A47" s="623"/>
      <c r="B47" s="616"/>
      <c r="C47" s="616"/>
      <c r="D47" s="646"/>
      <c r="E47" s="646"/>
      <c r="F47" s="646"/>
      <c r="G47" s="646"/>
      <c r="H47" s="646"/>
      <c r="I47" s="646"/>
      <c r="J47" s="646"/>
      <c r="K47" s="616"/>
      <c r="L47" s="616"/>
    </row>
    <row r="48" spans="1:12">
      <c r="A48" s="623"/>
      <c r="B48" s="616"/>
      <c r="C48" s="616"/>
      <c r="D48" s="646"/>
      <c r="E48" s="646"/>
      <c r="F48" s="646"/>
      <c r="G48" s="646"/>
      <c r="H48" s="646"/>
      <c r="I48" s="646"/>
      <c r="J48" s="646"/>
      <c r="K48" s="616"/>
      <c r="L48" s="616"/>
    </row>
    <row r="49" spans="1:12">
      <c r="A49" s="623"/>
      <c r="B49" s="616"/>
      <c r="C49" s="616"/>
      <c r="D49" s="646"/>
      <c r="E49" s="646"/>
      <c r="F49" s="646"/>
      <c r="G49" s="646"/>
      <c r="H49" s="646"/>
      <c r="I49" s="646"/>
      <c r="J49" s="646"/>
      <c r="K49" s="616"/>
      <c r="L49" s="616"/>
    </row>
    <row r="50" spans="1:12">
      <c r="A50" s="623"/>
      <c r="B50" s="616"/>
      <c r="C50" s="616"/>
      <c r="D50" s="646"/>
      <c r="E50" s="646"/>
      <c r="F50" s="646"/>
      <c r="G50" s="646"/>
      <c r="H50" s="646"/>
      <c r="I50" s="646"/>
      <c r="J50" s="646"/>
      <c r="K50" s="616"/>
      <c r="L50" s="616"/>
    </row>
    <row r="51" spans="1:12">
      <c r="A51" s="623"/>
      <c r="B51" s="616"/>
      <c r="C51" s="616"/>
      <c r="D51" s="646"/>
      <c r="E51" s="646"/>
      <c r="F51" s="646"/>
      <c r="G51" s="646"/>
      <c r="H51" s="646"/>
      <c r="I51" s="646"/>
      <c r="J51" s="646"/>
      <c r="K51" s="616"/>
      <c r="L51" s="616"/>
    </row>
    <row r="52" spans="1:12">
      <c r="A52" s="623"/>
      <c r="B52" s="616"/>
      <c r="C52" s="616"/>
      <c r="D52" s="646"/>
      <c r="E52" s="646"/>
      <c r="F52" s="646"/>
      <c r="G52" s="646"/>
      <c r="H52" s="646"/>
      <c r="I52" s="646"/>
      <c r="J52" s="646"/>
      <c r="K52" s="616"/>
      <c r="L52" s="616"/>
    </row>
    <row r="53" spans="1:12">
      <c r="A53" s="623"/>
      <c r="B53" s="616"/>
      <c r="C53" s="616"/>
      <c r="D53" s="646"/>
      <c r="E53" s="646"/>
      <c r="F53" s="646"/>
      <c r="G53" s="646"/>
      <c r="H53" s="646"/>
      <c r="I53" s="646"/>
      <c r="J53" s="646"/>
      <c r="K53" s="616"/>
      <c r="L53" s="616"/>
    </row>
    <row r="54" spans="1:12">
      <c r="A54" s="623"/>
      <c r="B54" s="616"/>
      <c r="C54" s="616"/>
      <c r="D54" s="646"/>
      <c r="E54" s="646"/>
      <c r="F54" s="646"/>
      <c r="G54" s="646"/>
      <c r="H54" s="646"/>
      <c r="I54" s="646"/>
      <c r="J54" s="646"/>
      <c r="K54" s="616"/>
      <c r="L54" s="616"/>
    </row>
    <row r="55" spans="1:12">
      <c r="A55" s="623"/>
      <c r="B55" s="616"/>
      <c r="C55" s="616"/>
      <c r="D55" s="646"/>
      <c r="E55" s="646"/>
      <c r="F55" s="646"/>
      <c r="G55" s="646"/>
      <c r="H55" s="646"/>
      <c r="I55" s="646"/>
      <c r="J55" s="646"/>
      <c r="K55" s="616"/>
      <c r="L55" s="616"/>
    </row>
    <row r="56" spans="1:12">
      <c r="A56" s="623"/>
      <c r="B56" s="616"/>
      <c r="C56" s="616"/>
      <c r="D56" s="646"/>
      <c r="E56" s="646"/>
      <c r="F56" s="646"/>
      <c r="G56" s="646"/>
      <c r="H56" s="646"/>
      <c r="I56" s="646"/>
      <c r="J56" s="646"/>
      <c r="K56" s="616"/>
      <c r="L56" s="616"/>
    </row>
    <row r="57" spans="1:12">
      <c r="A57" s="623"/>
      <c r="B57" s="616"/>
      <c r="C57" s="616"/>
      <c r="D57" s="646"/>
      <c r="E57" s="646"/>
      <c r="F57" s="646"/>
      <c r="G57" s="646"/>
      <c r="H57" s="646"/>
      <c r="I57" s="646"/>
      <c r="J57" s="646"/>
      <c r="K57" s="616"/>
      <c r="L57" s="616"/>
    </row>
    <row r="58" spans="1:12">
      <c r="A58" s="623"/>
      <c r="B58" s="616"/>
      <c r="C58" s="616"/>
      <c r="D58" s="646"/>
      <c r="E58" s="646"/>
      <c r="F58" s="646"/>
      <c r="G58" s="646"/>
      <c r="H58" s="646"/>
      <c r="I58" s="646"/>
      <c r="J58" s="646"/>
      <c r="K58" s="616"/>
      <c r="L58" s="616"/>
    </row>
    <row r="59" spans="1:12">
      <c r="A59" s="623"/>
      <c r="B59" s="616"/>
      <c r="C59" s="616"/>
      <c r="D59" s="646"/>
      <c r="E59" s="646"/>
      <c r="F59" s="646"/>
      <c r="G59" s="646"/>
      <c r="H59" s="646"/>
      <c r="I59" s="646"/>
      <c r="J59" s="646"/>
      <c r="K59" s="616"/>
      <c r="L59" s="616"/>
    </row>
    <row r="60" spans="1:12">
      <c r="A60" s="623"/>
      <c r="B60" s="616"/>
      <c r="C60" s="616"/>
      <c r="D60" s="646"/>
      <c r="E60" s="646"/>
      <c r="F60" s="646"/>
      <c r="G60" s="646"/>
      <c r="H60" s="646"/>
      <c r="I60" s="646"/>
      <c r="J60" s="646"/>
      <c r="K60" s="616"/>
      <c r="L60" s="616"/>
    </row>
    <row r="61" spans="1:12">
      <c r="A61" s="623"/>
      <c r="B61" s="616"/>
      <c r="C61" s="616"/>
      <c r="D61" s="646"/>
      <c r="E61" s="646"/>
      <c r="F61" s="646"/>
      <c r="G61" s="646"/>
      <c r="H61" s="646"/>
      <c r="I61" s="646"/>
      <c r="J61" s="646"/>
      <c r="K61" s="616"/>
      <c r="L61" s="616"/>
    </row>
    <row r="62" spans="1:12">
      <c r="A62" s="623"/>
      <c r="B62" s="616"/>
      <c r="C62" s="616"/>
      <c r="D62" s="646"/>
      <c r="E62" s="646"/>
      <c r="F62" s="646"/>
      <c r="G62" s="646"/>
      <c r="H62" s="646"/>
      <c r="I62" s="646"/>
      <c r="J62" s="646"/>
      <c r="K62" s="616"/>
      <c r="L62" s="616"/>
    </row>
    <row r="63" spans="1:12">
      <c r="A63" s="623"/>
      <c r="B63" s="616"/>
      <c r="C63" s="616"/>
      <c r="D63" s="646"/>
      <c r="E63" s="646"/>
      <c r="F63" s="646"/>
      <c r="G63" s="646"/>
      <c r="H63" s="646"/>
      <c r="I63" s="646"/>
      <c r="J63" s="646"/>
      <c r="K63" s="616"/>
      <c r="L63" s="616"/>
    </row>
    <row r="64" spans="1:12">
      <c r="A64" s="623"/>
      <c r="B64" s="616"/>
      <c r="C64" s="616"/>
      <c r="D64" s="646"/>
      <c r="E64" s="646"/>
      <c r="F64" s="646"/>
      <c r="G64" s="646"/>
      <c r="H64" s="646"/>
      <c r="I64" s="646"/>
      <c r="J64" s="646"/>
      <c r="K64" s="616"/>
      <c r="L64" s="616"/>
    </row>
    <row r="65" spans="1:12">
      <c r="A65" s="623"/>
      <c r="B65" s="616"/>
      <c r="C65" s="616"/>
      <c r="D65" s="646"/>
      <c r="E65" s="646"/>
      <c r="F65" s="646"/>
      <c r="G65" s="646"/>
      <c r="H65" s="646"/>
      <c r="I65" s="646"/>
      <c r="J65" s="646"/>
      <c r="K65" s="616"/>
      <c r="L65" s="616"/>
    </row>
    <row r="66" spans="1:12">
      <c r="A66" s="623"/>
      <c r="B66" s="616"/>
      <c r="C66" s="616"/>
      <c r="D66" s="646"/>
      <c r="E66" s="646"/>
      <c r="F66" s="646"/>
      <c r="G66" s="646"/>
      <c r="H66" s="646"/>
      <c r="I66" s="646"/>
      <c r="J66" s="646"/>
      <c r="K66" s="616"/>
      <c r="L66" s="616"/>
    </row>
    <row r="67" spans="1:12">
      <c r="A67" s="623"/>
      <c r="B67" s="616"/>
      <c r="C67" s="616"/>
      <c r="D67" s="646"/>
      <c r="E67" s="646"/>
      <c r="F67" s="646"/>
      <c r="G67" s="646"/>
      <c r="H67" s="646"/>
      <c r="I67" s="646"/>
      <c r="J67" s="646"/>
      <c r="K67" s="616"/>
      <c r="L67" s="616"/>
    </row>
    <row r="68" spans="1:12">
      <c r="A68" s="623"/>
      <c r="B68" s="616"/>
      <c r="C68" s="616"/>
      <c r="D68" s="646"/>
      <c r="E68" s="646"/>
      <c r="F68" s="646"/>
      <c r="G68" s="646"/>
      <c r="H68" s="646"/>
      <c r="I68" s="646"/>
      <c r="J68" s="646"/>
      <c r="K68" s="616"/>
      <c r="L68" s="616"/>
    </row>
    <row r="69" spans="1:12">
      <c r="A69" s="623"/>
      <c r="B69" s="616"/>
      <c r="C69" s="616"/>
      <c r="D69" s="646"/>
      <c r="E69" s="646"/>
      <c r="F69" s="646"/>
      <c r="G69" s="646"/>
      <c r="H69" s="646"/>
      <c r="I69" s="646"/>
      <c r="J69" s="646"/>
      <c r="K69" s="616"/>
      <c r="L69" s="616"/>
    </row>
    <row r="70" spans="1:12">
      <c r="A70" s="623"/>
      <c r="B70" s="616"/>
      <c r="C70" s="616"/>
      <c r="D70" s="646"/>
      <c r="E70" s="646"/>
      <c r="F70" s="646"/>
      <c r="G70" s="646"/>
      <c r="H70" s="646"/>
      <c r="I70" s="646"/>
      <c r="J70" s="646"/>
      <c r="K70" s="616"/>
      <c r="L70" s="616"/>
    </row>
    <row r="71" spans="1:12">
      <c r="A71" s="623"/>
      <c r="B71" s="616"/>
      <c r="C71" s="616"/>
      <c r="D71" s="646"/>
      <c r="E71" s="646"/>
      <c r="F71" s="646"/>
      <c r="G71" s="646"/>
      <c r="H71" s="646"/>
      <c r="I71" s="646"/>
      <c r="J71" s="646"/>
      <c r="K71" s="616"/>
      <c r="L71" s="616"/>
    </row>
    <row r="72" spans="1:12">
      <c r="A72" s="623"/>
      <c r="B72" s="616"/>
      <c r="C72" s="616"/>
      <c r="D72" s="646"/>
      <c r="E72" s="646"/>
      <c r="F72" s="646"/>
      <c r="G72" s="646"/>
      <c r="H72" s="646"/>
      <c r="I72" s="646"/>
      <c r="J72" s="646"/>
      <c r="K72" s="616"/>
      <c r="L72" s="616"/>
    </row>
    <row r="73" spans="1:12">
      <c r="A73" s="623"/>
      <c r="B73" s="616"/>
      <c r="C73" s="616"/>
      <c r="D73" s="646"/>
      <c r="E73" s="646"/>
      <c r="F73" s="646"/>
      <c r="G73" s="646"/>
      <c r="H73" s="646"/>
      <c r="I73" s="646"/>
      <c r="J73" s="646"/>
      <c r="K73" s="616"/>
      <c r="L73" s="616"/>
    </row>
    <row r="74" spans="1:12">
      <c r="A74" s="623"/>
      <c r="B74" s="616"/>
      <c r="C74" s="616"/>
      <c r="D74" s="646"/>
      <c r="E74" s="646"/>
      <c r="F74" s="646"/>
      <c r="G74" s="646"/>
      <c r="H74" s="646"/>
      <c r="I74" s="646"/>
      <c r="J74" s="646"/>
      <c r="K74" s="616"/>
      <c r="L74" s="616"/>
    </row>
    <row r="75" spans="1:12">
      <c r="A75" s="615"/>
      <c r="B75" s="616"/>
      <c r="C75" s="616"/>
      <c r="D75" s="616"/>
      <c r="E75" s="616"/>
      <c r="F75" s="616"/>
      <c r="G75" s="616"/>
      <c r="H75" s="616"/>
      <c r="I75" s="647"/>
      <c r="J75" s="616"/>
      <c r="K75" s="648" t="s">
        <v>60</v>
      </c>
      <c r="L75" s="616"/>
    </row>
    <row r="76" spans="1:12">
      <c r="A76" s="615"/>
      <c r="B76" s="616"/>
      <c r="C76" s="616"/>
      <c r="D76" s="616"/>
      <c r="E76" s="616"/>
      <c r="F76" s="616"/>
      <c r="G76" s="616"/>
      <c r="H76" s="616"/>
      <c r="I76" s="616"/>
      <c r="J76" s="616"/>
      <c r="K76" s="616"/>
      <c r="L76" s="616"/>
    </row>
    <row r="77" spans="1:12">
      <c r="A77" s="615"/>
      <c r="B77" s="616" t="s">
        <v>1</v>
      </c>
      <c r="C77" s="616"/>
      <c r="D77" s="617" t="s">
        <v>2</v>
      </c>
      <c r="E77" s="616"/>
      <c r="F77" s="616"/>
      <c r="G77" s="616"/>
      <c r="H77" s="616"/>
      <c r="J77" s="616"/>
      <c r="K77" s="649" t="str">
        <f>K3</f>
        <v>For the 12 months ended 12/31/26</v>
      </c>
      <c r="L77" s="616"/>
    </row>
    <row r="78" spans="1:12">
      <c r="A78" s="615"/>
      <c r="B78" s="616" t="s">
        <v>61</v>
      </c>
      <c r="C78" s="621"/>
      <c r="D78" s="621" t="s">
        <v>4</v>
      </c>
      <c r="E78" s="621"/>
      <c r="F78" s="621"/>
      <c r="G78" s="621"/>
      <c r="H78" s="621"/>
      <c r="I78" s="621"/>
      <c r="J78" s="621"/>
      <c r="K78" s="621"/>
      <c r="L78" s="616"/>
    </row>
    <row r="79" spans="1:12">
      <c r="A79" s="615"/>
      <c r="B79" s="616"/>
      <c r="C79" s="621" t="s">
        <v>3</v>
      </c>
      <c r="D79" s="621" t="s">
        <v>3</v>
      </c>
      <c r="E79" s="621"/>
      <c r="F79" s="621"/>
      <c r="G79" s="621" t="s">
        <v>3</v>
      </c>
      <c r="H79" s="621"/>
      <c r="I79" s="621"/>
      <c r="J79" s="621"/>
      <c r="K79" s="621"/>
      <c r="L79" s="621"/>
    </row>
    <row r="80" spans="1:12">
      <c r="A80" s="997" t="str">
        <f>A6</f>
        <v>American Transmission Company LLC</v>
      </c>
      <c r="B80" s="997"/>
      <c r="C80" s="997"/>
      <c r="D80" s="997"/>
      <c r="E80" s="997"/>
      <c r="F80" s="997"/>
      <c r="G80" s="997"/>
      <c r="H80" s="997"/>
      <c r="I80" s="997"/>
      <c r="J80" s="997"/>
      <c r="K80" s="997"/>
      <c r="L80" s="621"/>
    </row>
    <row r="81" spans="1:12">
      <c r="A81" s="615"/>
      <c r="B81" s="623" t="s">
        <v>62</v>
      </c>
      <c r="C81" s="623" t="s">
        <v>63</v>
      </c>
      <c r="D81" s="623" t="s">
        <v>64</v>
      </c>
      <c r="E81" s="621" t="s">
        <v>3</v>
      </c>
      <c r="F81" s="621"/>
      <c r="G81" s="650" t="s">
        <v>65</v>
      </c>
      <c r="H81" s="621"/>
      <c r="I81" s="622" t="s">
        <v>66</v>
      </c>
      <c r="J81" s="621"/>
      <c r="K81" s="623"/>
      <c r="L81" s="623"/>
    </row>
    <row r="82" spans="1:12">
      <c r="A82" s="615"/>
      <c r="B82" s="616"/>
      <c r="C82" s="651" t="s">
        <v>67</v>
      </c>
      <c r="D82" s="621"/>
      <c r="E82" s="621"/>
      <c r="F82" s="621"/>
      <c r="G82" s="623"/>
      <c r="H82" s="621"/>
      <c r="I82" s="652" t="s">
        <v>68</v>
      </c>
      <c r="J82" s="621"/>
      <c r="K82" s="623"/>
      <c r="L82" s="623"/>
    </row>
    <row r="83" spans="1:12">
      <c r="A83" s="623" t="s">
        <v>8</v>
      </c>
      <c r="B83" s="616"/>
      <c r="C83" s="653" t="s">
        <v>69</v>
      </c>
      <c r="D83" s="652" t="s">
        <v>70</v>
      </c>
      <c r="E83" s="654"/>
      <c r="F83" s="652" t="s">
        <v>71</v>
      </c>
      <c r="G83" s="615"/>
      <c r="H83" s="654"/>
      <c r="I83" s="623" t="s">
        <v>72</v>
      </c>
      <c r="J83" s="621"/>
      <c r="K83" s="623"/>
      <c r="L83" s="623"/>
    </row>
    <row r="84" spans="1:12" ht="16.5" thickBot="1">
      <c r="A84" s="626" t="s">
        <v>10</v>
      </c>
      <c r="B84" s="655" t="s">
        <v>73</v>
      </c>
      <c r="C84" s="621"/>
      <c r="D84" s="621"/>
      <c r="E84" s="621"/>
      <c r="F84" s="621"/>
      <c r="G84" s="621"/>
      <c r="H84" s="621"/>
      <c r="I84" s="621"/>
      <c r="J84" s="621"/>
      <c r="K84" s="621"/>
      <c r="L84" s="623"/>
    </row>
    <row r="85" spans="1:12">
      <c r="A85" s="623"/>
      <c r="B85" s="616" t="s">
        <v>74</v>
      </c>
      <c r="C85" s="621"/>
      <c r="D85" s="621"/>
      <c r="E85" s="621"/>
      <c r="F85" s="621"/>
      <c r="G85" s="621"/>
      <c r="H85" s="621"/>
      <c r="I85" s="621"/>
      <c r="J85" s="621"/>
      <c r="K85" s="621"/>
      <c r="L85" s="623"/>
    </row>
    <row r="86" spans="1:12">
      <c r="A86" s="623">
        <v>1</v>
      </c>
      <c r="B86" s="616" t="s">
        <v>75</v>
      </c>
      <c r="C86" s="631" t="s">
        <v>76</v>
      </c>
      <c r="D86" s="633">
        <v>0</v>
      </c>
      <c r="E86" s="621"/>
      <c r="F86" s="621" t="s">
        <v>77</v>
      </c>
      <c r="G86" s="656" t="s">
        <v>3</v>
      </c>
      <c r="H86" s="621"/>
      <c r="I86" s="621">
        <v>0</v>
      </c>
      <c r="J86" s="621"/>
      <c r="K86" s="621"/>
      <c r="L86" s="623"/>
    </row>
    <row r="87" spans="1:12">
      <c r="A87" s="623" t="s">
        <v>78</v>
      </c>
      <c r="B87" s="616" t="s">
        <v>79</v>
      </c>
      <c r="C87" s="631" t="s">
        <v>80</v>
      </c>
      <c r="D87" s="633">
        <f>ROUND('Plant Balances (pg. 2) '!E23,0)</f>
        <v>8745872764</v>
      </c>
      <c r="E87" s="621"/>
      <c r="F87" s="621" t="s">
        <v>19</v>
      </c>
      <c r="G87" s="657">
        <f>I241</f>
        <v>1</v>
      </c>
      <c r="H87" s="631"/>
      <c r="I87" s="632">
        <f>+G87*D87</f>
        <v>8745872764</v>
      </c>
      <c r="J87" s="621"/>
      <c r="K87" s="621"/>
      <c r="L87" s="623"/>
    </row>
    <row r="88" spans="1:12">
      <c r="A88" s="623" t="s">
        <v>81</v>
      </c>
      <c r="B88" s="617" t="s">
        <v>82</v>
      </c>
      <c r="C88" s="621"/>
      <c r="D88" s="633">
        <f>ROUND('Plant Balances (pg. 2) '!F23,0)</f>
        <v>741547959</v>
      </c>
      <c r="E88" s="621"/>
      <c r="F88" s="621" t="s">
        <v>19</v>
      </c>
      <c r="G88" s="657">
        <f>G87</f>
        <v>1</v>
      </c>
      <c r="H88" s="631"/>
      <c r="I88" s="632">
        <f>+G88*D88</f>
        <v>741547959</v>
      </c>
      <c r="J88" s="621"/>
      <c r="K88" s="621"/>
      <c r="L88" s="623"/>
    </row>
    <row r="89" spans="1:12">
      <c r="A89" s="623">
        <v>3</v>
      </c>
      <c r="B89" s="616" t="s">
        <v>83</v>
      </c>
      <c r="C89" s="631" t="s">
        <v>84</v>
      </c>
      <c r="D89" s="633">
        <v>0</v>
      </c>
      <c r="E89" s="621"/>
      <c r="F89" s="621" t="s">
        <v>77</v>
      </c>
      <c r="G89" s="658" t="s">
        <v>3</v>
      </c>
      <c r="H89" s="631"/>
      <c r="I89" s="631">
        <v>0</v>
      </c>
      <c r="J89" s="621"/>
      <c r="K89" s="621"/>
      <c r="L89" s="623"/>
    </row>
    <row r="90" spans="1:12">
      <c r="A90" s="623" t="s">
        <v>527</v>
      </c>
      <c r="B90" s="616" t="s">
        <v>1087</v>
      </c>
      <c r="C90" s="905" t="s">
        <v>1088</v>
      </c>
      <c r="D90" s="633">
        <f>'Plant Balances (pg. 2) '!G23</f>
        <v>0</v>
      </c>
      <c r="E90" s="621"/>
      <c r="F90" s="621" t="s">
        <v>1089</v>
      </c>
      <c r="G90" s="906">
        <f>I248</f>
        <v>0</v>
      </c>
      <c r="H90" s="905"/>
      <c r="I90" s="905">
        <f>+G90*D90</f>
        <v>0</v>
      </c>
      <c r="J90" s="621"/>
      <c r="K90" s="621"/>
      <c r="L90" s="623"/>
    </row>
    <row r="91" spans="1:12">
      <c r="A91" s="623">
        <v>4</v>
      </c>
      <c r="B91" s="616" t="s">
        <v>85</v>
      </c>
      <c r="C91" s="631" t="s">
        <v>86</v>
      </c>
      <c r="D91" s="633">
        <f>ROUND('Plant Balances (pg. 2) '!H23,0)</f>
        <v>398423913</v>
      </c>
      <c r="E91" s="621"/>
      <c r="F91" s="621" t="s">
        <v>87</v>
      </c>
      <c r="G91" s="657">
        <f>I266</f>
        <v>1</v>
      </c>
      <c r="H91" s="631"/>
      <c r="I91" s="632">
        <f>+G91*D91</f>
        <v>398423913</v>
      </c>
      <c r="J91" s="621"/>
      <c r="K91" s="621"/>
      <c r="L91" s="623"/>
    </row>
    <row r="92" spans="1:12" ht="16.5" thickBot="1">
      <c r="A92" s="623">
        <v>5</v>
      </c>
      <c r="B92" s="616" t="s">
        <v>88</v>
      </c>
      <c r="C92" s="621" t="s">
        <v>89</v>
      </c>
      <c r="D92" s="639">
        <v>0</v>
      </c>
      <c r="E92" s="621"/>
      <c r="F92" s="621" t="s">
        <v>90</v>
      </c>
      <c r="G92" s="657">
        <f>K270</f>
        <v>1</v>
      </c>
      <c r="H92" s="631"/>
      <c r="I92" s="634">
        <f>+G92*D92</f>
        <v>0</v>
      </c>
      <c r="J92" s="621"/>
      <c r="K92" s="621"/>
      <c r="L92" s="623"/>
    </row>
    <row r="93" spans="1:12">
      <c r="A93" s="623">
        <v>6</v>
      </c>
      <c r="B93" s="616" t="s">
        <v>91</v>
      </c>
      <c r="C93" s="621"/>
      <c r="D93" s="629">
        <f>SUM(D86:D92)</f>
        <v>9885844636</v>
      </c>
      <c r="E93" s="621"/>
      <c r="F93" s="621" t="s">
        <v>92</v>
      </c>
      <c r="G93" s="659">
        <f>IF(I93&gt;0,I93/D93,0)</f>
        <v>1</v>
      </c>
      <c r="H93" s="631"/>
      <c r="I93" s="632">
        <f>SUM(I86:I92)</f>
        <v>9885844636</v>
      </c>
      <c r="J93" s="621"/>
      <c r="K93" s="660"/>
      <c r="L93" s="623"/>
    </row>
    <row r="94" spans="1:12">
      <c r="A94" s="615"/>
      <c r="B94" s="616"/>
      <c r="C94" s="621"/>
      <c r="D94" s="621"/>
      <c r="E94" s="621"/>
      <c r="F94" s="621"/>
      <c r="G94" s="660"/>
      <c r="H94" s="621"/>
      <c r="I94" s="621"/>
      <c r="J94" s="621"/>
      <c r="K94" s="660"/>
      <c r="L94" s="623"/>
    </row>
    <row r="95" spans="1:12">
      <c r="A95" s="615"/>
      <c r="B95" s="616" t="s">
        <v>93</v>
      </c>
      <c r="C95" s="621"/>
      <c r="D95" s="621"/>
      <c r="E95" s="621"/>
      <c r="F95" s="621"/>
      <c r="G95" s="621"/>
      <c r="H95" s="621"/>
      <c r="I95" s="621"/>
      <c r="J95" s="621"/>
      <c r="K95" s="621"/>
      <c r="L95" s="623"/>
    </row>
    <row r="96" spans="1:12">
      <c r="A96" s="623">
        <v>7</v>
      </c>
      <c r="B96" s="616" t="s">
        <v>75</v>
      </c>
      <c r="C96" s="621" t="s">
        <v>94</v>
      </c>
      <c r="D96" s="633">
        <v>0</v>
      </c>
      <c r="E96" s="621"/>
      <c r="F96" s="621" t="s">
        <v>77</v>
      </c>
      <c r="G96" s="656" t="s">
        <v>3</v>
      </c>
      <c r="H96" s="621"/>
      <c r="I96" s="621">
        <v>0</v>
      </c>
      <c r="J96" s="621"/>
      <c r="K96" s="621"/>
      <c r="L96" s="623"/>
    </row>
    <row r="97" spans="1:12">
      <c r="A97" s="623" t="s">
        <v>95</v>
      </c>
      <c r="B97" s="616" t="s">
        <v>79</v>
      </c>
      <c r="C97" s="621" t="s">
        <v>96</v>
      </c>
      <c r="D97" s="661">
        <f>ROUND(-'Plant Balances (pg. 2) '!E43,0)</f>
        <v>2657739125</v>
      </c>
      <c r="E97" s="621"/>
      <c r="F97" s="621" t="s">
        <v>19</v>
      </c>
      <c r="G97" s="657">
        <f>+G87</f>
        <v>1</v>
      </c>
      <c r="H97" s="631"/>
      <c r="I97" s="632">
        <f>+G97*D97</f>
        <v>2657739125</v>
      </c>
      <c r="J97" s="621"/>
      <c r="K97" s="621"/>
      <c r="L97" s="623"/>
    </row>
    <row r="98" spans="1:12">
      <c r="A98" s="623" t="s">
        <v>97</v>
      </c>
      <c r="B98" s="617" t="s">
        <v>82</v>
      </c>
      <c r="C98" s="621"/>
      <c r="D98" s="661">
        <v>0</v>
      </c>
      <c r="E98" s="621"/>
      <c r="F98" s="621" t="s">
        <v>19</v>
      </c>
      <c r="G98" s="657">
        <f>G97</f>
        <v>1</v>
      </c>
      <c r="H98" s="631"/>
      <c r="I98" s="632">
        <f>+G98*D98</f>
        <v>0</v>
      </c>
      <c r="J98" s="621"/>
      <c r="K98" s="621"/>
      <c r="L98" s="623"/>
    </row>
    <row r="99" spans="1:12">
      <c r="A99" s="623">
        <v>9</v>
      </c>
      <c r="B99" s="616" t="s">
        <v>83</v>
      </c>
      <c r="C99" s="621" t="s">
        <v>98</v>
      </c>
      <c r="D99" s="633">
        <v>0</v>
      </c>
      <c r="E99" s="621"/>
      <c r="F99" s="621" t="s">
        <v>77</v>
      </c>
      <c r="G99" s="657" t="str">
        <f>+G89</f>
        <v xml:space="preserve"> </v>
      </c>
      <c r="H99" s="631"/>
      <c r="I99" s="631">
        <v>0</v>
      </c>
      <c r="J99" s="621"/>
      <c r="K99" s="621"/>
      <c r="L99" s="621"/>
    </row>
    <row r="100" spans="1:12">
      <c r="A100" s="623" t="s">
        <v>944</v>
      </c>
      <c r="B100" s="616" t="s">
        <v>1087</v>
      </c>
      <c r="C100" s="621" t="s">
        <v>1090</v>
      </c>
      <c r="D100" s="633">
        <f>'Plant Balances (pg. 2) '!K23</f>
        <v>0</v>
      </c>
      <c r="E100" s="621"/>
      <c r="F100" s="621" t="s">
        <v>1089</v>
      </c>
      <c r="G100" s="904">
        <f>+G90</f>
        <v>0</v>
      </c>
      <c r="H100" s="631"/>
      <c r="I100" s="632">
        <f>+G100*D100</f>
        <v>0</v>
      </c>
      <c r="J100" s="621"/>
      <c r="K100" s="621"/>
      <c r="L100" s="621"/>
    </row>
    <row r="101" spans="1:12">
      <c r="A101" s="623">
        <v>10</v>
      </c>
      <c r="B101" s="616" t="s">
        <v>85</v>
      </c>
      <c r="C101" s="621" t="s">
        <v>99</v>
      </c>
      <c r="D101" s="633">
        <f>ROUND(-'Plant Balances (pg. 2) '!H43,0)</f>
        <v>88809438</v>
      </c>
      <c r="E101" s="621"/>
      <c r="F101" s="621" t="s">
        <v>87</v>
      </c>
      <c r="G101" s="657">
        <f>+G91</f>
        <v>1</v>
      </c>
      <c r="H101" s="631"/>
      <c r="I101" s="632">
        <f>+G101*D101</f>
        <v>88809438</v>
      </c>
      <c r="J101" s="621"/>
      <c r="K101" s="621"/>
      <c r="L101" s="621"/>
    </row>
    <row r="102" spans="1:12" ht="16.5" thickBot="1">
      <c r="A102" s="623">
        <v>11</v>
      </c>
      <c r="B102" s="616" t="s">
        <v>88</v>
      </c>
      <c r="C102" s="621" t="s">
        <v>89</v>
      </c>
      <c r="D102" s="639">
        <v>0</v>
      </c>
      <c r="E102" s="621"/>
      <c r="F102" s="621" t="s">
        <v>90</v>
      </c>
      <c r="G102" s="657">
        <f>+G92</f>
        <v>1</v>
      </c>
      <c r="H102" s="631"/>
      <c r="I102" s="634">
        <f>+G102*D102</f>
        <v>0</v>
      </c>
      <c r="J102" s="621"/>
      <c r="K102" s="621"/>
      <c r="L102" s="621"/>
    </row>
    <row r="103" spans="1:12" ht="16.5" customHeight="1">
      <c r="A103" s="623">
        <v>12</v>
      </c>
      <c r="B103" s="616" t="s">
        <v>100</v>
      </c>
      <c r="C103" s="621"/>
      <c r="D103" s="662">
        <f>SUM(D96:D102)</f>
        <v>2746548563</v>
      </c>
      <c r="E103" s="621"/>
      <c r="F103" s="621"/>
      <c r="G103" s="631"/>
      <c r="H103" s="631"/>
      <c r="I103" s="632">
        <f>SUM(I96:I102)</f>
        <v>2746548563</v>
      </c>
      <c r="J103" s="621"/>
      <c r="K103" s="621"/>
      <c r="L103" s="663"/>
    </row>
    <row r="104" spans="1:12" ht="16.5" customHeight="1">
      <c r="A104" s="623"/>
      <c r="B104" s="616"/>
      <c r="C104" s="621"/>
      <c r="D104" s="664"/>
      <c r="E104" s="621"/>
      <c r="F104" s="621"/>
      <c r="G104" s="631"/>
      <c r="H104" s="631"/>
      <c r="I104" s="631"/>
      <c r="J104" s="621"/>
      <c r="K104" s="621"/>
      <c r="L104" s="663"/>
    </row>
    <row r="105" spans="1:12">
      <c r="A105" s="623"/>
      <c r="B105" s="616" t="s">
        <v>950</v>
      </c>
      <c r="C105" s="621"/>
      <c r="D105" s="664"/>
      <c r="E105" s="621"/>
      <c r="F105" s="621"/>
      <c r="G105" s="631"/>
      <c r="H105" s="631"/>
      <c r="I105" s="631"/>
      <c r="J105" s="621"/>
      <c r="K105" s="621"/>
      <c r="L105" s="663"/>
    </row>
    <row r="106" spans="1:12">
      <c r="A106" s="623" t="s">
        <v>949</v>
      </c>
      <c r="B106" s="616" t="s">
        <v>948</v>
      </c>
      <c r="C106" s="621" t="s">
        <v>947</v>
      </c>
      <c r="D106" s="661">
        <f>ROUND('Plant Balances (pg. 2) '!I43,0)</f>
        <v>-22350834</v>
      </c>
      <c r="E106" s="621"/>
      <c r="F106" s="621" t="s">
        <v>19</v>
      </c>
      <c r="G106" s="665">
        <f>G98</f>
        <v>1</v>
      </c>
      <c r="H106" s="631"/>
      <c r="I106" s="632">
        <f>+G106*D106</f>
        <v>-22350834</v>
      </c>
      <c r="J106" s="621"/>
      <c r="K106" s="621"/>
      <c r="L106" s="663"/>
    </row>
    <row r="107" spans="1:12">
      <c r="A107" s="623"/>
      <c r="B107" s="615"/>
      <c r="C107" s="621" t="s">
        <v>3</v>
      </c>
      <c r="D107" s="615"/>
      <c r="E107" s="621"/>
      <c r="F107" s="621"/>
      <c r="G107" s="660"/>
      <c r="H107" s="621"/>
      <c r="I107" s="615"/>
      <c r="J107" s="621"/>
      <c r="K107" s="660"/>
      <c r="L107" s="663"/>
    </row>
    <row r="108" spans="1:12">
      <c r="A108" s="623"/>
      <c r="B108" s="616" t="s">
        <v>101</v>
      </c>
      <c r="C108" s="621"/>
      <c r="D108" s="621"/>
      <c r="E108" s="621"/>
      <c r="F108" s="621"/>
      <c r="G108" s="621"/>
      <c r="H108" s="621"/>
      <c r="I108" s="621"/>
      <c r="J108" s="621"/>
      <c r="K108" s="621"/>
      <c r="L108" s="663"/>
    </row>
    <row r="109" spans="1:12">
      <c r="A109" s="623">
        <v>13</v>
      </c>
      <c r="B109" s="616" t="s">
        <v>75</v>
      </c>
      <c r="C109" s="621" t="s">
        <v>102</v>
      </c>
      <c r="D109" s="632">
        <f>D86-D96</f>
        <v>0</v>
      </c>
      <c r="E109" s="631"/>
      <c r="F109" s="631"/>
      <c r="G109" s="666"/>
      <c r="H109" s="631"/>
      <c r="I109" s="631" t="s">
        <v>3</v>
      </c>
      <c r="J109" s="621"/>
      <c r="K109" s="660"/>
      <c r="L109" s="663"/>
    </row>
    <row r="110" spans="1:12">
      <c r="A110" s="623" t="s">
        <v>103</v>
      </c>
      <c r="B110" s="616" t="s">
        <v>79</v>
      </c>
      <c r="C110" s="621" t="s">
        <v>946</v>
      </c>
      <c r="D110" s="632">
        <f>D87-D97+D106</f>
        <v>6065782805</v>
      </c>
      <c r="E110" s="631"/>
      <c r="F110" s="631"/>
      <c r="G110" s="658"/>
      <c r="H110" s="631"/>
      <c r="I110" s="632">
        <f>I87-I97+I106</f>
        <v>6065782805</v>
      </c>
      <c r="J110" s="621"/>
      <c r="K110" s="660"/>
      <c r="L110" s="663"/>
    </row>
    <row r="111" spans="1:12">
      <c r="A111" s="623" t="s">
        <v>104</v>
      </c>
      <c r="B111" s="617" t="s">
        <v>82</v>
      </c>
      <c r="C111" s="621"/>
      <c r="D111" s="632">
        <f>D88-D98</f>
        <v>741547959</v>
      </c>
      <c r="E111" s="631"/>
      <c r="F111" s="631"/>
      <c r="G111" s="658"/>
      <c r="H111" s="631"/>
      <c r="I111" s="632">
        <f>I88-I98</f>
        <v>741547959</v>
      </c>
      <c r="J111" s="621"/>
      <c r="K111" s="660"/>
      <c r="L111" s="663"/>
    </row>
    <row r="112" spans="1:12">
      <c r="A112" s="623">
        <v>15</v>
      </c>
      <c r="B112" s="616" t="s">
        <v>83</v>
      </c>
      <c r="C112" s="621" t="s">
        <v>105</v>
      </c>
      <c r="D112" s="632">
        <f>D89-D99</f>
        <v>0</v>
      </c>
      <c r="E112" s="631"/>
      <c r="F112" s="631"/>
      <c r="G112" s="666"/>
      <c r="H112" s="631"/>
      <c r="I112" s="631" t="s">
        <v>3</v>
      </c>
      <c r="J112" s="621"/>
      <c r="K112" s="660"/>
      <c r="L112" s="663"/>
    </row>
    <row r="113" spans="1:12">
      <c r="A113" s="623" t="s">
        <v>1091</v>
      </c>
      <c r="B113" s="616" t="s">
        <v>1087</v>
      </c>
      <c r="C113" s="621" t="s">
        <v>1092</v>
      </c>
      <c r="D113" s="902">
        <f>D90-D100</f>
        <v>0</v>
      </c>
      <c r="E113" s="905"/>
      <c r="F113" s="905"/>
      <c r="G113" s="907"/>
      <c r="H113" s="905"/>
      <c r="I113" s="902">
        <f>I90-I100</f>
        <v>0</v>
      </c>
      <c r="J113" s="621"/>
      <c r="K113" s="660"/>
      <c r="L113" s="621"/>
    </row>
    <row r="114" spans="1:12">
      <c r="A114" s="623">
        <v>16</v>
      </c>
      <c r="B114" s="616" t="s">
        <v>106</v>
      </c>
      <c r="C114" s="621" t="s">
        <v>107</v>
      </c>
      <c r="D114" s="632">
        <f>D91-D101</f>
        <v>309614475</v>
      </c>
      <c r="E114" s="631"/>
      <c r="F114" s="631"/>
      <c r="G114" s="666"/>
      <c r="H114" s="631"/>
      <c r="I114" s="632">
        <f>I91-I101</f>
        <v>309614475</v>
      </c>
      <c r="J114" s="621"/>
      <c r="K114" s="660"/>
      <c r="L114" s="621"/>
    </row>
    <row r="115" spans="1:12" ht="16.5" thickBot="1">
      <c r="A115" s="623">
        <v>17</v>
      </c>
      <c r="B115" s="616" t="s">
        <v>88</v>
      </c>
      <c r="C115" s="621" t="s">
        <v>108</v>
      </c>
      <c r="D115" s="634">
        <f>D92-D102</f>
        <v>0</v>
      </c>
      <c r="E115" s="631"/>
      <c r="F115" s="631"/>
      <c r="G115" s="666"/>
      <c r="H115" s="631"/>
      <c r="I115" s="634">
        <f>I92-I102</f>
        <v>0</v>
      </c>
      <c r="J115" s="621"/>
      <c r="K115" s="660"/>
      <c r="L115" s="621"/>
    </row>
    <row r="116" spans="1:12">
      <c r="A116" s="623">
        <v>18</v>
      </c>
      <c r="B116" s="616" t="s">
        <v>109</v>
      </c>
      <c r="C116" s="621"/>
      <c r="D116" s="632">
        <f>SUM(D109:D115)</f>
        <v>7116945239</v>
      </c>
      <c r="E116" s="631"/>
      <c r="F116" s="631" t="s">
        <v>110</v>
      </c>
      <c r="G116" s="659">
        <f>IF(I116&gt;0,I116/D116,0)</f>
        <v>1</v>
      </c>
      <c r="H116" s="631"/>
      <c r="I116" s="632">
        <f>SUM(I109:I115)</f>
        <v>7116945239</v>
      </c>
      <c r="J116" s="621"/>
      <c r="K116" s="621"/>
      <c r="L116" s="635"/>
    </row>
    <row r="117" spans="1:12">
      <c r="A117" s="623"/>
      <c r="B117" s="615"/>
      <c r="C117" s="621"/>
      <c r="D117" s="615"/>
      <c r="E117" s="621"/>
      <c r="F117" s="615"/>
      <c r="G117" s="615"/>
      <c r="H117" s="621"/>
      <c r="I117" s="615"/>
      <c r="J117" s="621"/>
      <c r="K117" s="660"/>
      <c r="L117" s="621"/>
    </row>
    <row r="118" spans="1:12">
      <c r="A118" s="623"/>
      <c r="B118" s="616" t="s">
        <v>111</v>
      </c>
      <c r="C118" s="621"/>
      <c r="D118" s="621"/>
      <c r="E118" s="621"/>
      <c r="F118" s="621"/>
      <c r="G118" s="621"/>
      <c r="H118" s="621"/>
      <c r="I118" s="621"/>
      <c r="J118" s="621"/>
      <c r="K118" s="621"/>
      <c r="L118" s="621"/>
    </row>
    <row r="119" spans="1:12">
      <c r="A119" s="623">
        <v>19</v>
      </c>
      <c r="B119" s="616" t="s">
        <v>112</v>
      </c>
      <c r="C119" s="621" t="s">
        <v>113</v>
      </c>
      <c r="D119" s="633">
        <v>0</v>
      </c>
      <c r="E119" s="621"/>
      <c r="F119" s="621" t="s">
        <v>77</v>
      </c>
      <c r="G119" s="667" t="s">
        <v>114</v>
      </c>
      <c r="H119" s="631"/>
      <c r="I119" s="631">
        <v>0</v>
      </c>
      <c r="J119" s="621"/>
      <c r="K119" s="660"/>
      <c r="L119" s="660"/>
    </row>
    <row r="120" spans="1:12">
      <c r="A120" s="623">
        <v>20</v>
      </c>
      <c r="B120" s="616" t="s">
        <v>115</v>
      </c>
      <c r="C120" s="621" t="s">
        <v>116</v>
      </c>
      <c r="D120" s="668">
        <f>-ROUND('Deferred Taxes (pg. 2)'!I17,0)</f>
        <v>-1086825099</v>
      </c>
      <c r="E120" s="621"/>
      <c r="F120" s="621" t="s">
        <v>117</v>
      </c>
      <c r="G120" s="657">
        <f>+G116</f>
        <v>1</v>
      </c>
      <c r="H120" s="631"/>
      <c r="I120" s="632">
        <f>D120*G120</f>
        <v>-1086825099</v>
      </c>
      <c r="J120" s="621"/>
      <c r="K120" s="660"/>
      <c r="L120" s="660"/>
    </row>
    <row r="121" spans="1:12">
      <c r="A121" s="623">
        <v>21</v>
      </c>
      <c r="B121" s="616" t="s">
        <v>118</v>
      </c>
      <c r="C121" s="621" t="s">
        <v>119</v>
      </c>
      <c r="D121" s="668">
        <v>0</v>
      </c>
      <c r="E121" s="621"/>
      <c r="F121" s="621" t="s">
        <v>117</v>
      </c>
      <c r="G121" s="657">
        <f>+G120</f>
        <v>1</v>
      </c>
      <c r="H121" s="631"/>
      <c r="I121" s="632">
        <f>D121*G121</f>
        <v>0</v>
      </c>
      <c r="J121" s="621"/>
      <c r="K121" s="660"/>
      <c r="L121" s="660"/>
    </row>
    <row r="122" spans="1:12">
      <c r="A122" s="623">
        <v>22</v>
      </c>
      <c r="B122" s="616" t="s">
        <v>120</v>
      </c>
      <c r="C122" s="621" t="s">
        <v>121</v>
      </c>
      <c r="D122" s="633">
        <v>0</v>
      </c>
      <c r="E122" s="621"/>
      <c r="F122" s="621" t="s">
        <v>117</v>
      </c>
      <c r="G122" s="657">
        <f>+G121</f>
        <v>1</v>
      </c>
      <c r="H122" s="631"/>
      <c r="I122" s="632">
        <f>D122*G122</f>
        <v>0</v>
      </c>
      <c r="J122" s="621"/>
      <c r="K122" s="660"/>
      <c r="L122" s="660"/>
    </row>
    <row r="123" spans="1:12" ht="16.5" thickBot="1">
      <c r="A123" s="623">
        <v>23</v>
      </c>
      <c r="B123" s="615" t="s">
        <v>122</v>
      </c>
      <c r="C123" s="615" t="s">
        <v>123</v>
      </c>
      <c r="D123" s="639">
        <v>0</v>
      </c>
      <c r="E123" s="621"/>
      <c r="F123" s="621" t="s">
        <v>117</v>
      </c>
      <c r="G123" s="657">
        <f>+G121</f>
        <v>1</v>
      </c>
      <c r="H123" s="631"/>
      <c r="I123" s="634">
        <f>D123*G123</f>
        <v>0</v>
      </c>
      <c r="J123" s="621"/>
      <c r="K123" s="660"/>
      <c r="L123" s="660"/>
    </row>
    <row r="124" spans="1:12">
      <c r="A124" s="623">
        <v>24</v>
      </c>
      <c r="B124" s="616" t="s">
        <v>124</v>
      </c>
      <c r="C124" s="621"/>
      <c r="D124" s="669">
        <f>SUM(D119:D123)</f>
        <v>-1086825099</v>
      </c>
      <c r="E124" s="621"/>
      <c r="F124" s="621"/>
      <c r="G124" s="631"/>
      <c r="H124" s="631"/>
      <c r="I124" s="632">
        <f>SUM(I119:I123)</f>
        <v>-1086825099</v>
      </c>
      <c r="J124" s="621"/>
      <c r="K124" s="621"/>
      <c r="L124" s="663"/>
    </row>
    <row r="125" spans="1:12">
      <c r="A125" s="623"/>
      <c r="B125" s="615"/>
      <c r="C125" s="621"/>
      <c r="D125" s="615"/>
      <c r="E125" s="621"/>
      <c r="F125" s="621"/>
      <c r="G125" s="660"/>
      <c r="H125" s="621"/>
      <c r="I125" s="615"/>
      <c r="J125" s="621"/>
      <c r="K125" s="660"/>
      <c r="L125" s="621"/>
    </row>
    <row r="126" spans="1:12">
      <c r="A126" s="623">
        <v>25</v>
      </c>
      <c r="B126" s="616" t="s">
        <v>125</v>
      </c>
      <c r="C126" s="670" t="s">
        <v>126</v>
      </c>
      <c r="D126" s="633">
        <f>ROUND('Plant Balances (pg. 2) '!I23,0)</f>
        <v>13845122</v>
      </c>
      <c r="E126" s="621"/>
      <c r="F126" s="621" t="s">
        <v>19</v>
      </c>
      <c r="G126" s="657">
        <f>+G97</f>
        <v>1</v>
      </c>
      <c r="H126" s="631"/>
      <c r="I126" s="632">
        <f>+G126*D126</f>
        <v>13845122</v>
      </c>
      <c r="J126" s="621"/>
      <c r="K126" s="621"/>
      <c r="L126" s="621"/>
    </row>
    <row r="127" spans="1:12">
      <c r="A127" s="623"/>
      <c r="B127" s="616"/>
      <c r="C127" s="621"/>
      <c r="D127" s="621"/>
      <c r="E127" s="621"/>
      <c r="F127" s="621"/>
      <c r="G127" s="631"/>
      <c r="H127" s="631"/>
      <c r="I127" s="631"/>
      <c r="J127" s="621"/>
      <c r="K127" s="621"/>
      <c r="L127" s="621"/>
    </row>
    <row r="128" spans="1:12">
      <c r="A128" s="623"/>
      <c r="B128" s="616" t="s">
        <v>127</v>
      </c>
      <c r="C128" s="621" t="s">
        <v>3</v>
      </c>
      <c r="D128" s="621"/>
      <c r="E128" s="621"/>
      <c r="F128" s="621"/>
      <c r="G128" s="631"/>
      <c r="H128" s="631"/>
      <c r="I128" s="631"/>
      <c r="J128" s="621"/>
      <c r="K128" s="621"/>
      <c r="L128" s="621"/>
    </row>
    <row r="129" spans="1:12">
      <c r="A129" s="623">
        <v>26</v>
      </c>
      <c r="B129" s="616" t="s">
        <v>128</v>
      </c>
      <c r="C129" s="615" t="s">
        <v>129</v>
      </c>
      <c r="D129" s="629">
        <f>+D173/8</f>
        <v>26436775.625</v>
      </c>
      <c r="E129" s="621"/>
      <c r="F129" s="621"/>
      <c r="G129" s="658"/>
      <c r="H129" s="631"/>
      <c r="I129" s="632">
        <f>+I173/8</f>
        <v>24141418.23821317</v>
      </c>
      <c r="J129" s="616"/>
      <c r="K129" s="660"/>
      <c r="L129" s="671"/>
    </row>
    <row r="130" spans="1:12">
      <c r="A130" s="623">
        <v>27</v>
      </c>
      <c r="B130" s="616" t="s">
        <v>1155</v>
      </c>
      <c r="C130" s="670" t="s">
        <v>130</v>
      </c>
      <c r="D130" s="633">
        <f>ROUND('Plant Balances (pg. 2) '!J23,0)</f>
        <v>34159254</v>
      </c>
      <c r="E130" s="621"/>
      <c r="F130" s="621" t="s">
        <v>131</v>
      </c>
      <c r="G130" s="657">
        <f>I257</f>
        <v>0.88501353348248912</v>
      </c>
      <c r="H130" s="631"/>
      <c r="I130" s="632">
        <f>+G130*D130</f>
        <v>30231402.083665852</v>
      </c>
      <c r="J130" s="621" t="s">
        <v>3</v>
      </c>
      <c r="K130" s="660"/>
      <c r="L130" s="672"/>
    </row>
    <row r="131" spans="1:12">
      <c r="A131" s="623" t="s">
        <v>1093</v>
      </c>
      <c r="B131" s="616" t="s">
        <v>1094</v>
      </c>
      <c r="C131" s="670" t="s">
        <v>1095</v>
      </c>
      <c r="D131" s="633">
        <f>'Plant Balances (pg. 2) '!K23</f>
        <v>0</v>
      </c>
      <c r="E131" s="621"/>
      <c r="F131" s="621" t="s">
        <v>1089</v>
      </c>
      <c r="G131" s="904">
        <f>+G100</f>
        <v>0</v>
      </c>
      <c r="H131" s="905"/>
      <c r="I131" s="902">
        <f>+G131*D131</f>
        <v>0</v>
      </c>
      <c r="J131" s="621"/>
      <c r="K131" s="660"/>
      <c r="L131" s="672"/>
    </row>
    <row r="132" spans="1:12" ht="16.5" thickBot="1">
      <c r="A132" s="623">
        <v>28</v>
      </c>
      <c r="B132" s="616" t="s">
        <v>132</v>
      </c>
      <c r="C132" s="631" t="s">
        <v>133</v>
      </c>
      <c r="D132" s="639">
        <f>ROUND('Plant Balances (pg. 2) '!L23,0)</f>
        <v>24926367</v>
      </c>
      <c r="E132" s="621"/>
      <c r="F132" s="621" t="s">
        <v>134</v>
      </c>
      <c r="G132" s="657">
        <f>+G93</f>
        <v>1</v>
      </c>
      <c r="H132" s="631"/>
      <c r="I132" s="634">
        <f>+G132*D132</f>
        <v>24926367</v>
      </c>
      <c r="J132" s="621"/>
      <c r="K132" s="660"/>
      <c r="L132" s="671"/>
    </row>
    <row r="133" spans="1:12">
      <c r="A133" s="623">
        <v>29</v>
      </c>
      <c r="B133" s="616" t="s">
        <v>135</v>
      </c>
      <c r="C133" s="616"/>
      <c r="D133" s="629">
        <f>SUM(D129:D132)</f>
        <v>85522396.625</v>
      </c>
      <c r="E133" s="616"/>
      <c r="F133" s="616"/>
      <c r="I133" s="632">
        <f>SUM(I129:I132)</f>
        <v>79299187.321879029</v>
      </c>
      <c r="J133" s="616"/>
      <c r="K133" s="616"/>
      <c r="L133" s="663"/>
    </row>
    <row r="134" spans="1:12" ht="16.5" thickBot="1">
      <c r="A134" s="615"/>
      <c r="B134" s="615"/>
      <c r="C134" s="621"/>
      <c r="D134" s="673"/>
      <c r="E134" s="621"/>
      <c r="F134" s="621"/>
      <c r="G134" s="621"/>
      <c r="H134" s="621"/>
      <c r="I134" s="673"/>
      <c r="J134" s="621"/>
      <c r="K134" s="621"/>
      <c r="L134" s="621"/>
    </row>
    <row r="135" spans="1:12" ht="16.5" thickBot="1">
      <c r="A135" s="623">
        <v>30</v>
      </c>
      <c r="B135" s="616" t="s">
        <v>136</v>
      </c>
      <c r="C135" s="621"/>
      <c r="D135" s="674">
        <f>+D133+D126+D124+D116</f>
        <v>6129487658.625</v>
      </c>
      <c r="E135" s="631"/>
      <c r="F135" s="631"/>
      <c r="G135" s="666"/>
      <c r="H135" s="631"/>
      <c r="I135" s="674">
        <f>+I133+I126+I124+I116</f>
        <v>6123264449.3218794</v>
      </c>
      <c r="J135" s="621"/>
      <c r="K135" s="660"/>
      <c r="L135" s="621"/>
    </row>
    <row r="136" spans="1:12" ht="16.5" thickTop="1">
      <c r="A136" s="623"/>
      <c r="B136" s="616"/>
      <c r="C136" s="621"/>
      <c r="D136" s="631"/>
      <c r="E136" s="631"/>
      <c r="F136" s="631"/>
      <c r="G136" s="666"/>
      <c r="H136" s="631"/>
      <c r="I136" s="631"/>
      <c r="J136" s="621"/>
      <c r="K136" s="660"/>
      <c r="L136" s="621"/>
    </row>
    <row r="137" spans="1:12">
      <c r="A137" s="623"/>
      <c r="B137" s="616"/>
      <c r="C137" s="621"/>
      <c r="D137" s="631"/>
      <c r="E137" s="631"/>
      <c r="F137" s="631"/>
      <c r="G137" s="666"/>
      <c r="H137" s="631"/>
      <c r="I137" s="631"/>
      <c r="J137" s="621"/>
      <c r="K137" s="660"/>
      <c r="L137" s="621"/>
    </row>
    <row r="138" spans="1:12">
      <c r="A138" s="623"/>
      <c r="B138" s="616"/>
      <c r="C138" s="621"/>
      <c r="D138" s="631"/>
      <c r="E138" s="631"/>
      <c r="F138" s="631"/>
      <c r="G138" s="666"/>
      <c r="H138" s="631"/>
      <c r="I138" s="631"/>
      <c r="J138" s="621"/>
      <c r="K138" s="660"/>
      <c r="L138" s="621"/>
    </row>
    <row r="139" spans="1:12">
      <c r="A139" s="623"/>
      <c r="B139" s="616"/>
      <c r="C139" s="621"/>
      <c r="D139" s="631"/>
      <c r="E139" s="631"/>
      <c r="F139" s="631"/>
      <c r="G139" s="666"/>
      <c r="H139" s="631"/>
      <c r="I139" s="631"/>
      <c r="J139" s="621"/>
      <c r="K139" s="660"/>
      <c r="L139" s="621"/>
    </row>
    <row r="140" spans="1:12">
      <c r="A140" s="623"/>
      <c r="B140" s="616"/>
      <c r="C140" s="621"/>
      <c r="D140" s="631"/>
      <c r="E140" s="631"/>
      <c r="F140" s="631"/>
      <c r="G140" s="666"/>
      <c r="H140" s="631"/>
      <c r="I140" s="631"/>
      <c r="J140" s="621"/>
      <c r="K140" s="660"/>
      <c r="L140" s="621"/>
    </row>
    <row r="141" spans="1:12">
      <c r="A141" s="623"/>
      <c r="B141" s="616"/>
      <c r="C141" s="621"/>
      <c r="D141" s="631"/>
      <c r="E141" s="631"/>
      <c r="F141" s="631"/>
      <c r="G141" s="666"/>
      <c r="H141" s="631"/>
      <c r="I141" s="631"/>
      <c r="J141" s="621"/>
      <c r="K141" s="660"/>
      <c r="L141" s="621"/>
    </row>
    <row r="142" spans="1:12">
      <c r="A142" s="623"/>
      <c r="B142" s="616"/>
      <c r="C142" s="621"/>
      <c r="D142" s="631"/>
      <c r="E142" s="631"/>
      <c r="F142" s="631"/>
      <c r="G142" s="666"/>
      <c r="H142" s="631"/>
      <c r="I142" s="631"/>
      <c r="J142" s="621"/>
      <c r="K142" s="660"/>
      <c r="L142" s="621"/>
    </row>
    <row r="143" spans="1:12">
      <c r="A143" s="623"/>
      <c r="B143" s="616"/>
      <c r="C143" s="621"/>
      <c r="D143" s="631"/>
      <c r="E143" s="631"/>
      <c r="F143" s="631"/>
      <c r="G143" s="666"/>
      <c r="H143" s="631"/>
      <c r="I143" s="631"/>
      <c r="J143" s="621"/>
      <c r="K143" s="660"/>
      <c r="L143" s="621"/>
    </row>
    <row r="144" spans="1:12">
      <c r="A144" s="623"/>
      <c r="B144" s="616"/>
      <c r="C144" s="621"/>
      <c r="D144" s="631"/>
      <c r="E144" s="631"/>
      <c r="F144" s="631"/>
      <c r="G144" s="666"/>
      <c r="H144" s="631"/>
      <c r="I144" s="631"/>
      <c r="J144" s="621"/>
      <c r="K144" s="660"/>
      <c r="L144" s="621"/>
    </row>
    <row r="145" spans="1:12">
      <c r="A145" s="623"/>
      <c r="B145" s="616"/>
      <c r="C145" s="621"/>
      <c r="D145" s="631"/>
      <c r="E145" s="631"/>
      <c r="F145" s="631"/>
      <c r="G145" s="666"/>
      <c r="H145" s="631"/>
      <c r="I145" s="631"/>
      <c r="J145" s="621"/>
      <c r="K145" s="660"/>
      <c r="L145" s="621"/>
    </row>
    <row r="146" spans="1:12">
      <c r="A146" s="623"/>
      <c r="B146" s="616"/>
      <c r="C146" s="621"/>
      <c r="D146" s="631"/>
      <c r="E146" s="631"/>
      <c r="F146" s="631"/>
      <c r="G146" s="666"/>
      <c r="H146" s="631"/>
      <c r="I146" s="631"/>
      <c r="J146" s="621"/>
      <c r="K146" s="660"/>
      <c r="L146" s="621"/>
    </row>
    <row r="147" spans="1:12">
      <c r="A147" s="623"/>
      <c r="B147" s="616"/>
      <c r="C147" s="621"/>
      <c r="D147" s="631"/>
      <c r="E147" s="631"/>
      <c r="F147" s="631"/>
      <c r="G147" s="666"/>
      <c r="H147" s="631"/>
      <c r="I147" s="631"/>
      <c r="J147" s="621"/>
      <c r="K147" s="660"/>
      <c r="L147" s="621"/>
    </row>
    <row r="148" spans="1:12">
      <c r="A148" s="623"/>
      <c r="B148" s="616"/>
      <c r="C148" s="621"/>
      <c r="D148" s="631"/>
      <c r="E148" s="631"/>
      <c r="F148" s="631"/>
      <c r="G148" s="666"/>
      <c r="H148" s="631"/>
      <c r="I148" s="631"/>
      <c r="J148" s="621"/>
      <c r="K148" s="660"/>
      <c r="L148" s="621"/>
    </row>
    <row r="149" spans="1:12">
      <c r="A149" s="623"/>
      <c r="B149" s="616"/>
      <c r="C149" s="621"/>
      <c r="D149" s="631"/>
      <c r="E149" s="631"/>
      <c r="F149" s="631"/>
      <c r="G149" s="666"/>
      <c r="H149" s="631"/>
      <c r="I149" s="631"/>
      <c r="J149" s="621"/>
      <c r="K149" s="660"/>
      <c r="L149" s="621"/>
    </row>
    <row r="150" spans="1:12">
      <c r="A150" s="623"/>
      <c r="B150" s="616"/>
      <c r="C150" s="621"/>
      <c r="D150" s="631"/>
      <c r="E150" s="631"/>
      <c r="F150" s="631"/>
      <c r="G150" s="666"/>
      <c r="H150" s="631"/>
      <c r="I150" s="631"/>
      <c r="J150" s="621"/>
      <c r="K150" s="660"/>
      <c r="L150" s="621"/>
    </row>
    <row r="151" spans="1:12">
      <c r="A151" s="623"/>
      <c r="B151" s="616"/>
      <c r="C151" s="621"/>
      <c r="D151" s="631"/>
      <c r="E151" s="631"/>
      <c r="F151" s="631"/>
      <c r="G151" s="666"/>
      <c r="H151" s="631"/>
      <c r="I151" s="631"/>
      <c r="J151" s="621"/>
      <c r="K151" s="660"/>
      <c r="L151" s="621"/>
    </row>
    <row r="152" spans="1:12">
      <c r="A152" s="623"/>
      <c r="B152" s="616"/>
      <c r="C152" s="621"/>
      <c r="D152" s="631"/>
      <c r="E152" s="631"/>
      <c r="F152" s="631"/>
      <c r="G152" s="666"/>
      <c r="H152" s="631"/>
      <c r="I152" s="631"/>
      <c r="J152" s="621"/>
      <c r="K152" s="660"/>
      <c r="L152" s="621"/>
    </row>
    <row r="153" spans="1:12">
      <c r="A153" s="623"/>
      <c r="B153" s="616"/>
      <c r="C153" s="621"/>
      <c r="D153" s="621"/>
      <c r="E153" s="621"/>
      <c r="F153" s="621"/>
      <c r="G153" s="621"/>
      <c r="H153" s="621"/>
      <c r="I153" s="621"/>
      <c r="J153" s="621"/>
      <c r="K153" s="675" t="s">
        <v>137</v>
      </c>
      <c r="L153" s="621"/>
    </row>
    <row r="154" spans="1:12">
      <c r="A154" s="623"/>
      <c r="B154" s="616"/>
      <c r="C154" s="621"/>
      <c r="D154" s="621"/>
      <c r="E154" s="621"/>
      <c r="F154" s="621"/>
      <c r="G154" s="621"/>
      <c r="H154" s="621"/>
      <c r="I154" s="621"/>
      <c r="J154" s="621"/>
      <c r="K154" s="675"/>
      <c r="L154" s="621"/>
    </row>
    <row r="155" spans="1:12">
      <c r="A155" s="623"/>
      <c r="B155" s="616" t="s">
        <v>1</v>
      </c>
      <c r="C155" s="621"/>
      <c r="D155" s="621" t="s">
        <v>2</v>
      </c>
      <c r="E155" s="621"/>
      <c r="F155" s="621"/>
      <c r="G155" s="621"/>
      <c r="H155" s="621"/>
      <c r="J155" s="621"/>
      <c r="K155" s="676" t="str">
        <f>K3</f>
        <v>For the 12 months ended 12/31/26</v>
      </c>
      <c r="L155" s="621"/>
    </row>
    <row r="156" spans="1:12">
      <c r="A156" s="623"/>
      <c r="B156" s="616"/>
      <c r="C156" s="621"/>
      <c r="D156" s="621" t="s">
        <v>4</v>
      </c>
      <c r="E156" s="621"/>
      <c r="F156" s="621"/>
      <c r="G156" s="621"/>
      <c r="H156" s="621"/>
      <c r="I156" s="621"/>
      <c r="J156" s="621"/>
      <c r="K156" s="621"/>
      <c r="L156" s="621"/>
    </row>
    <row r="157" spans="1:12">
      <c r="A157" s="623"/>
      <c r="B157" s="615"/>
      <c r="C157" s="621"/>
      <c r="D157" s="621"/>
      <c r="E157" s="621"/>
      <c r="F157" s="621"/>
      <c r="G157" s="621"/>
      <c r="H157" s="621"/>
      <c r="I157" s="621"/>
      <c r="J157" s="621"/>
      <c r="K157" s="621"/>
      <c r="L157" s="621"/>
    </row>
    <row r="158" spans="1:12">
      <c r="A158" s="998" t="str">
        <f>A6</f>
        <v>American Transmission Company LLC</v>
      </c>
      <c r="B158" s="998"/>
      <c r="C158" s="998"/>
      <c r="D158" s="998"/>
      <c r="E158" s="998"/>
      <c r="F158" s="998"/>
      <c r="G158" s="998"/>
      <c r="H158" s="998"/>
      <c r="I158" s="998"/>
      <c r="J158" s="998"/>
      <c r="K158" s="998"/>
      <c r="L158" s="621"/>
    </row>
    <row r="159" spans="1:12">
      <c r="A159" s="623"/>
      <c r="B159" s="623" t="s">
        <v>62</v>
      </c>
      <c r="C159" s="623" t="s">
        <v>63</v>
      </c>
      <c r="D159" s="623" t="s">
        <v>64</v>
      </c>
      <c r="E159" s="621" t="s">
        <v>3</v>
      </c>
      <c r="F159" s="621"/>
      <c r="G159" s="650" t="s">
        <v>65</v>
      </c>
      <c r="H159" s="621"/>
      <c r="I159" s="622" t="s">
        <v>66</v>
      </c>
      <c r="J159" s="621"/>
      <c r="K159" s="621"/>
      <c r="L159" s="616"/>
    </row>
    <row r="160" spans="1:12">
      <c r="A160" s="623" t="s">
        <v>8</v>
      </c>
      <c r="B160" s="616"/>
      <c r="C160" s="651" t="s">
        <v>67</v>
      </c>
      <c r="D160" s="621"/>
      <c r="E160" s="621"/>
      <c r="F160" s="621"/>
      <c r="G160" s="623"/>
      <c r="H160" s="621"/>
      <c r="I160" s="652" t="s">
        <v>68</v>
      </c>
      <c r="J160" s="621"/>
      <c r="K160" s="652"/>
      <c r="L160" s="623"/>
    </row>
    <row r="161" spans="1:12" ht="16.5" thickBot="1">
      <c r="A161" s="626" t="s">
        <v>10</v>
      </c>
      <c r="B161" s="616"/>
      <c r="C161" s="653" t="s">
        <v>69</v>
      </c>
      <c r="D161" s="652" t="s">
        <v>70</v>
      </c>
      <c r="E161" s="654"/>
      <c r="F161" s="652" t="s">
        <v>71</v>
      </c>
      <c r="G161" s="615"/>
      <c r="H161" s="654"/>
      <c r="I161" s="623" t="s">
        <v>72</v>
      </c>
      <c r="J161" s="621"/>
      <c r="K161" s="652"/>
      <c r="L161" s="652"/>
    </row>
    <row r="162" spans="1:12">
      <c r="A162" s="623"/>
      <c r="B162" s="616" t="s">
        <v>138</v>
      </c>
      <c r="C162" s="621"/>
      <c r="D162" s="621"/>
      <c r="E162" s="621"/>
      <c r="F162" s="621"/>
      <c r="G162" s="621"/>
      <c r="H162" s="621"/>
      <c r="I162" s="621"/>
      <c r="J162" s="621"/>
      <c r="K162" s="621"/>
      <c r="L162" s="621"/>
    </row>
    <row r="163" spans="1:12">
      <c r="A163" s="623">
        <v>1</v>
      </c>
      <c r="B163" s="616" t="s">
        <v>139</v>
      </c>
      <c r="C163" s="621" t="s">
        <v>945</v>
      </c>
      <c r="D163" s="633">
        <f>ROUND('Expense (pg. 3) '!C17,0)</f>
        <v>158918815</v>
      </c>
      <c r="E163" s="621"/>
      <c r="F163" s="621" t="s">
        <v>131</v>
      </c>
      <c r="G163" s="657">
        <f>I257</f>
        <v>0.88501353348248912</v>
      </c>
      <c r="H163" s="631"/>
      <c r="I163" s="632">
        <f t="shared" ref="I163:I172" si="0">+G163*D163</f>
        <v>140645302</v>
      </c>
      <c r="J163" s="616"/>
      <c r="K163" s="621"/>
      <c r="L163" s="621"/>
    </row>
    <row r="164" spans="1:12">
      <c r="A164" s="623" t="s">
        <v>140</v>
      </c>
      <c r="B164" s="616" t="s">
        <v>141</v>
      </c>
      <c r="C164" s="621"/>
      <c r="D164" s="633">
        <v>0</v>
      </c>
      <c r="E164" s="621"/>
      <c r="F164" s="677"/>
      <c r="G164" s="658">
        <v>1</v>
      </c>
      <c r="H164" s="631"/>
      <c r="I164" s="632">
        <f t="shared" si="0"/>
        <v>0</v>
      </c>
      <c r="J164" s="616"/>
      <c r="K164" s="621"/>
      <c r="L164" s="621"/>
    </row>
    <row r="165" spans="1:12">
      <c r="A165" s="623">
        <v>2</v>
      </c>
      <c r="B165" s="616" t="s">
        <v>142</v>
      </c>
      <c r="C165" s="621" t="s">
        <v>143</v>
      </c>
      <c r="D165" s="633">
        <v>0</v>
      </c>
      <c r="E165" s="621"/>
      <c r="F165" s="621" t="s">
        <v>3</v>
      </c>
      <c r="G165" s="658">
        <v>1</v>
      </c>
      <c r="H165" s="631"/>
      <c r="I165" s="632">
        <f t="shared" si="0"/>
        <v>0</v>
      </c>
      <c r="J165" s="616"/>
      <c r="K165" s="621"/>
      <c r="L165" s="621"/>
    </row>
    <row r="166" spans="1:12">
      <c r="A166" s="623">
        <v>3</v>
      </c>
      <c r="B166" s="616" t="s">
        <v>144</v>
      </c>
      <c r="C166" s="621" t="s">
        <v>145</v>
      </c>
      <c r="D166" s="633">
        <f>ROUND('Expense (pg. 3) '!D17,0)</f>
        <v>52735390</v>
      </c>
      <c r="E166" s="621"/>
      <c r="F166" s="621" t="s">
        <v>87</v>
      </c>
      <c r="G166" s="657">
        <f>+G101</f>
        <v>1</v>
      </c>
      <c r="H166" s="631"/>
      <c r="I166" s="632">
        <f t="shared" si="0"/>
        <v>52735390</v>
      </c>
      <c r="J166" s="621"/>
      <c r="K166" s="621" t="s">
        <v>3</v>
      </c>
      <c r="L166" s="621"/>
    </row>
    <row r="167" spans="1:12">
      <c r="A167" s="623">
        <v>4</v>
      </c>
      <c r="B167" s="616" t="s">
        <v>146</v>
      </c>
      <c r="C167" s="621"/>
      <c r="D167" s="661">
        <v>0</v>
      </c>
      <c r="E167" s="621"/>
      <c r="F167" s="621" t="s">
        <v>87</v>
      </c>
      <c r="G167" s="657">
        <f>+G166</f>
        <v>1</v>
      </c>
      <c r="H167" s="631"/>
      <c r="I167" s="632">
        <f t="shared" si="0"/>
        <v>0</v>
      </c>
      <c r="J167" s="621"/>
      <c r="K167" s="621"/>
      <c r="L167" s="621"/>
    </row>
    <row r="168" spans="1:12">
      <c r="A168" s="623">
        <v>5</v>
      </c>
      <c r="B168" s="616" t="s">
        <v>147</v>
      </c>
      <c r="C168" s="621"/>
      <c r="D168" s="633">
        <f>ROUND('Expense (pg. 3) '!E17,0)</f>
        <v>937014</v>
      </c>
      <c r="E168" s="621"/>
      <c r="F168" s="621" t="s">
        <v>87</v>
      </c>
      <c r="G168" s="657">
        <f>+G167</f>
        <v>1</v>
      </c>
      <c r="H168" s="631"/>
      <c r="I168" s="632">
        <f t="shared" si="0"/>
        <v>937014</v>
      </c>
      <c r="J168" s="621"/>
      <c r="K168" s="621"/>
      <c r="L168" s="621"/>
    </row>
    <row r="169" spans="1:12">
      <c r="A169" s="623" t="s">
        <v>148</v>
      </c>
      <c r="B169" s="616" t="s">
        <v>149</v>
      </c>
      <c r="C169" s="621"/>
      <c r="D169" s="633">
        <f>ROUND('Expense (pg. 3) '!F17,0)</f>
        <v>777014</v>
      </c>
      <c r="E169" s="621"/>
      <c r="F169" s="678" t="s">
        <v>131</v>
      </c>
      <c r="G169" s="657">
        <f>+G163</f>
        <v>0.88501353348248912</v>
      </c>
      <c r="H169" s="631"/>
      <c r="I169" s="632">
        <f t="shared" si="0"/>
        <v>687667.90570536279</v>
      </c>
      <c r="J169" s="621"/>
      <c r="K169" s="621"/>
      <c r="L169" s="621"/>
    </row>
    <row r="170" spans="1:12">
      <c r="A170" s="623" t="s">
        <v>1096</v>
      </c>
      <c r="B170" s="616" t="s">
        <v>1087</v>
      </c>
      <c r="C170" s="621" t="s">
        <v>1097</v>
      </c>
      <c r="D170" s="633">
        <f>'Expense (pg. 3) '!G17</f>
        <v>0</v>
      </c>
      <c r="E170" s="621"/>
      <c r="F170" s="621" t="s">
        <v>1089</v>
      </c>
      <c r="G170" s="904">
        <f>+G131</f>
        <v>0</v>
      </c>
      <c r="H170" s="905"/>
      <c r="I170" s="902">
        <f t="shared" si="0"/>
        <v>0</v>
      </c>
      <c r="J170" s="621"/>
      <c r="K170" s="621"/>
      <c r="L170" s="621"/>
    </row>
    <row r="171" spans="1:12">
      <c r="A171" s="623">
        <v>6</v>
      </c>
      <c r="B171" s="616" t="s">
        <v>88</v>
      </c>
      <c r="C171" s="621" t="s">
        <v>89</v>
      </c>
      <c r="D171" s="633">
        <v>0</v>
      </c>
      <c r="E171" s="621"/>
      <c r="F171" s="621" t="s">
        <v>90</v>
      </c>
      <c r="G171" s="657">
        <f>+G102</f>
        <v>1</v>
      </c>
      <c r="H171" s="631"/>
      <c r="I171" s="632">
        <f t="shared" si="0"/>
        <v>0</v>
      </c>
      <c r="J171" s="621"/>
      <c r="K171" s="621"/>
      <c r="L171" s="621"/>
    </row>
    <row r="172" spans="1:12" ht="16.5" thickBot="1">
      <c r="A172" s="623">
        <v>7</v>
      </c>
      <c r="B172" s="616" t="s">
        <v>150</v>
      </c>
      <c r="C172" s="621"/>
      <c r="D172" s="639">
        <v>0</v>
      </c>
      <c r="E172" s="621"/>
      <c r="F172" s="621" t="s">
        <v>3</v>
      </c>
      <c r="G172" s="658">
        <v>1</v>
      </c>
      <c r="H172" s="631"/>
      <c r="I172" s="634">
        <f t="shared" si="0"/>
        <v>0</v>
      </c>
      <c r="J172" s="621"/>
      <c r="K172" s="621"/>
      <c r="L172" s="621"/>
    </row>
    <row r="173" spans="1:12">
      <c r="A173" s="623">
        <v>8</v>
      </c>
      <c r="B173" s="616" t="s">
        <v>1156</v>
      </c>
      <c r="C173" s="621"/>
      <c r="D173" s="629">
        <f>D163+D166+D169+D170+D171+D172-D165-D167-D168-D164</f>
        <v>211494205</v>
      </c>
      <c r="E173" s="621"/>
      <c r="F173" s="621"/>
      <c r="G173" s="631"/>
      <c r="H173" s="631"/>
      <c r="I173" s="632">
        <f>+I163-I165+I166-I167-I168+I171+I172+I169+I170-I164</f>
        <v>193131345.90570536</v>
      </c>
      <c r="J173" s="621"/>
      <c r="K173" s="621"/>
      <c r="L173" s="621"/>
    </row>
    <row r="174" spans="1:12">
      <c r="A174" s="623"/>
      <c r="B174" s="615"/>
      <c r="C174" s="621"/>
      <c r="D174" s="615"/>
      <c r="E174" s="621"/>
      <c r="F174" s="621"/>
      <c r="G174" s="621"/>
      <c r="H174" s="621"/>
      <c r="I174" s="615"/>
      <c r="J174" s="621"/>
      <c r="K174" s="621"/>
      <c r="L174" s="621"/>
    </row>
    <row r="175" spans="1:12">
      <c r="A175" s="623"/>
      <c r="B175" s="616" t="s">
        <v>151</v>
      </c>
      <c r="C175" s="621"/>
      <c r="D175" s="621"/>
      <c r="E175" s="621"/>
      <c r="F175" s="621"/>
      <c r="G175" s="621"/>
      <c r="H175" s="621"/>
      <c r="I175" s="621"/>
      <c r="J175" s="621"/>
      <c r="K175" s="621"/>
      <c r="L175" s="621"/>
    </row>
    <row r="176" spans="1:12">
      <c r="A176" s="623">
        <v>9</v>
      </c>
      <c r="B176" s="616" t="s">
        <v>79</v>
      </c>
      <c r="C176" s="670" t="s">
        <v>152</v>
      </c>
      <c r="D176" s="633">
        <f>ROUND('Expense (pg. 3) '!H17,0)</f>
        <v>240987912</v>
      </c>
      <c r="E176" s="621"/>
      <c r="F176" s="621" t="s">
        <v>19</v>
      </c>
      <c r="G176" s="657">
        <f>+G126</f>
        <v>1</v>
      </c>
      <c r="H176" s="631"/>
      <c r="I176" s="632">
        <f>+G176*D176</f>
        <v>240987912</v>
      </c>
      <c r="J176" s="621"/>
      <c r="K176" s="660"/>
      <c r="L176" s="621"/>
    </row>
    <row r="177" spans="1:12">
      <c r="A177" s="623" t="s">
        <v>944</v>
      </c>
      <c r="B177" s="616" t="s">
        <v>943</v>
      </c>
      <c r="C177" s="670" t="s">
        <v>942</v>
      </c>
      <c r="D177" s="633">
        <f>ROUND(-'Expense (pg. 3) '!J17,0)</f>
        <v>-456892</v>
      </c>
      <c r="E177" s="621"/>
      <c r="F177" s="629" t="str">
        <f>F176</f>
        <v>TP</v>
      </c>
      <c r="G177" s="657">
        <f>G176</f>
        <v>1</v>
      </c>
      <c r="H177" s="631"/>
      <c r="I177" s="632">
        <f>+G177*D177</f>
        <v>-456892</v>
      </c>
      <c r="J177" s="621"/>
      <c r="K177" s="660"/>
      <c r="L177" s="621"/>
    </row>
    <row r="178" spans="1:12">
      <c r="A178" s="623" t="s">
        <v>1098</v>
      </c>
      <c r="B178" s="616" t="s">
        <v>1087</v>
      </c>
      <c r="C178" s="670" t="s">
        <v>1099</v>
      </c>
      <c r="D178" s="633">
        <v>0</v>
      </c>
      <c r="E178" s="621"/>
      <c r="F178" s="621" t="s">
        <v>1089</v>
      </c>
      <c r="G178" s="904">
        <f>+G170</f>
        <v>0</v>
      </c>
      <c r="H178" s="905"/>
      <c r="I178" s="902">
        <f>+G178*D178</f>
        <v>0</v>
      </c>
      <c r="J178" s="621"/>
      <c r="K178" s="660"/>
      <c r="L178" s="621"/>
    </row>
    <row r="179" spans="1:12">
      <c r="A179" s="623">
        <v>10</v>
      </c>
      <c r="B179" s="679" t="s">
        <v>85</v>
      </c>
      <c r="C179" s="670" t="s">
        <v>153</v>
      </c>
      <c r="D179" s="633">
        <f>ROUND('Expense (pg. 3) '!I17,0)</f>
        <v>25660906</v>
      </c>
      <c r="E179" s="621"/>
      <c r="F179" s="621" t="s">
        <v>87</v>
      </c>
      <c r="G179" s="657">
        <f>+G166</f>
        <v>1</v>
      </c>
      <c r="H179" s="631"/>
      <c r="I179" s="632">
        <f>+G179*D179</f>
        <v>25660906</v>
      </c>
      <c r="J179" s="621"/>
      <c r="K179" s="660"/>
      <c r="L179" s="621"/>
    </row>
    <row r="180" spans="1:12" ht="16.5" thickBot="1">
      <c r="A180" s="623">
        <v>11</v>
      </c>
      <c r="B180" s="616" t="s">
        <v>88</v>
      </c>
      <c r="C180" s="670" t="s">
        <v>154</v>
      </c>
      <c r="D180" s="639">
        <v>0</v>
      </c>
      <c r="E180" s="621"/>
      <c r="F180" s="621" t="s">
        <v>90</v>
      </c>
      <c r="G180" s="657">
        <f>+G171</f>
        <v>1</v>
      </c>
      <c r="H180" s="631"/>
      <c r="I180" s="634">
        <f>+G180*D180</f>
        <v>0</v>
      </c>
      <c r="J180" s="621"/>
      <c r="K180" s="660"/>
      <c r="L180" s="621"/>
    </row>
    <row r="181" spans="1:12">
      <c r="A181" s="623">
        <v>12</v>
      </c>
      <c r="B181" s="616" t="s">
        <v>155</v>
      </c>
      <c r="C181" s="621"/>
      <c r="D181" s="629">
        <f>SUM(D176:D180)</f>
        <v>266191926</v>
      </c>
      <c r="E181" s="621"/>
      <c r="F181" s="621"/>
      <c r="G181" s="631"/>
      <c r="H181" s="631"/>
      <c r="I181" s="632">
        <f>SUM(I176:I180)</f>
        <v>266191926</v>
      </c>
      <c r="J181" s="621"/>
      <c r="K181" s="621"/>
      <c r="L181" s="621"/>
    </row>
    <row r="182" spans="1:12">
      <c r="A182" s="623"/>
      <c r="B182" s="616"/>
      <c r="C182" s="621"/>
      <c r="D182" s="621"/>
      <c r="E182" s="621"/>
      <c r="F182" s="621"/>
      <c r="G182" s="631"/>
      <c r="H182" s="631"/>
      <c r="I182" s="631"/>
      <c r="J182" s="621"/>
      <c r="K182" s="621"/>
      <c r="L182" s="621"/>
    </row>
    <row r="183" spans="1:12">
      <c r="A183" s="623" t="s">
        <v>3</v>
      </c>
      <c r="B183" s="616" t="s">
        <v>156</v>
      </c>
      <c r="C183" s="615"/>
      <c r="D183" s="621"/>
      <c r="E183" s="621"/>
      <c r="F183" s="621"/>
      <c r="G183" s="631"/>
      <c r="H183" s="631"/>
      <c r="I183" s="631"/>
      <c r="J183" s="621"/>
      <c r="K183" s="621"/>
      <c r="L183" s="621"/>
    </row>
    <row r="184" spans="1:12">
      <c r="A184" s="623"/>
      <c r="B184" s="616" t="s">
        <v>157</v>
      </c>
      <c r="C184" s="615"/>
      <c r="D184" s="615"/>
      <c r="E184" s="621"/>
      <c r="F184" s="621"/>
      <c r="H184" s="631"/>
      <c r="J184" s="621"/>
      <c r="K184" s="660"/>
      <c r="L184" s="621"/>
    </row>
    <row r="185" spans="1:12">
      <c r="A185" s="623">
        <v>13</v>
      </c>
      <c r="B185" s="616" t="s">
        <v>158</v>
      </c>
      <c r="C185" s="621" t="s">
        <v>159</v>
      </c>
      <c r="D185" s="633">
        <f>ROUND('Expense (pg. 3) '!L17,0)</f>
        <v>6167284</v>
      </c>
      <c r="E185" s="621"/>
      <c r="F185" s="621" t="s">
        <v>87</v>
      </c>
      <c r="G185" s="630">
        <f>+G179</f>
        <v>1</v>
      </c>
      <c r="H185" s="631"/>
      <c r="I185" s="632">
        <f>+G185*D185</f>
        <v>6167284</v>
      </c>
      <c r="J185" s="621"/>
      <c r="K185" s="660"/>
      <c r="L185" s="621"/>
    </row>
    <row r="186" spans="1:12">
      <c r="A186" s="623">
        <v>14</v>
      </c>
      <c r="B186" s="616" t="s">
        <v>160</v>
      </c>
      <c r="C186" s="621" t="s">
        <v>159</v>
      </c>
      <c r="D186" s="633">
        <v>0</v>
      </c>
      <c r="E186" s="621"/>
      <c r="F186" s="621" t="s">
        <v>87</v>
      </c>
      <c r="G186" s="630">
        <f>+G185</f>
        <v>1</v>
      </c>
      <c r="H186" s="631"/>
      <c r="I186" s="632">
        <f>+G186*D186</f>
        <v>0</v>
      </c>
      <c r="J186" s="621"/>
      <c r="K186" s="660"/>
      <c r="L186" s="621"/>
    </row>
    <row r="187" spans="1:12">
      <c r="A187" s="623">
        <v>15</v>
      </c>
      <c r="B187" s="616" t="s">
        <v>161</v>
      </c>
      <c r="C187" s="621" t="s">
        <v>3</v>
      </c>
      <c r="D187" s="615"/>
      <c r="E187" s="621"/>
      <c r="F187" s="621"/>
      <c r="H187" s="631"/>
      <c r="J187" s="621"/>
      <c r="K187" s="660"/>
      <c r="L187" s="621"/>
    </row>
    <row r="188" spans="1:12">
      <c r="A188" s="623">
        <v>16</v>
      </c>
      <c r="B188" s="616" t="s">
        <v>162</v>
      </c>
      <c r="C188" s="621" t="s">
        <v>159</v>
      </c>
      <c r="D188" s="633">
        <f>ROUND('Expense (pg. 3) '!M17,0)</f>
        <v>21029676</v>
      </c>
      <c r="E188" s="621"/>
      <c r="F188" s="621" t="s">
        <v>134</v>
      </c>
      <c r="G188" s="630">
        <f>+G93</f>
        <v>1</v>
      </c>
      <c r="H188" s="631"/>
      <c r="I188" s="632">
        <f>+G188*D188</f>
        <v>21029676</v>
      </c>
      <c r="J188" s="621"/>
      <c r="K188" s="660"/>
      <c r="L188" s="621"/>
    </row>
    <row r="189" spans="1:12">
      <c r="A189" s="623">
        <v>17</v>
      </c>
      <c r="B189" s="616" t="s">
        <v>163</v>
      </c>
      <c r="C189" s="621" t="s">
        <v>159</v>
      </c>
      <c r="D189" s="633">
        <v>0</v>
      </c>
      <c r="E189" s="621"/>
      <c r="F189" s="621" t="s">
        <v>77</v>
      </c>
      <c r="G189" s="680" t="s">
        <v>114</v>
      </c>
      <c r="H189" s="631"/>
      <c r="I189" s="631">
        <v>0</v>
      </c>
      <c r="J189" s="621"/>
      <c r="K189" s="660"/>
      <c r="L189" s="621"/>
    </row>
    <row r="190" spans="1:12">
      <c r="A190" s="623">
        <v>18</v>
      </c>
      <c r="B190" s="616" t="s">
        <v>164</v>
      </c>
      <c r="C190" s="621" t="s">
        <v>159</v>
      </c>
      <c r="D190" s="633">
        <f>ROUND('Expense (pg. 3) '!N17,0)</f>
        <v>9299424</v>
      </c>
      <c r="E190" s="621"/>
      <c r="F190" s="621" t="s">
        <v>134</v>
      </c>
      <c r="G190" s="630">
        <f>+G188</f>
        <v>1</v>
      </c>
      <c r="H190" s="631"/>
      <c r="I190" s="632">
        <f>+G190*D190</f>
        <v>9299424</v>
      </c>
      <c r="J190" s="621"/>
      <c r="K190" s="660"/>
      <c r="L190" s="621"/>
    </row>
    <row r="191" spans="1:12" ht="16.5" thickBot="1">
      <c r="A191" s="623">
        <v>19</v>
      </c>
      <c r="B191" s="616" t="s">
        <v>165</v>
      </c>
      <c r="C191" s="621"/>
      <c r="D191" s="639">
        <v>0</v>
      </c>
      <c r="E191" s="621"/>
      <c r="F191" s="621" t="s">
        <v>134</v>
      </c>
      <c r="G191" s="630">
        <f>+G188</f>
        <v>1</v>
      </c>
      <c r="H191" s="631"/>
      <c r="I191" s="634">
        <f>+G191*D191</f>
        <v>0</v>
      </c>
      <c r="J191" s="621"/>
      <c r="K191" s="660"/>
      <c r="L191" s="621"/>
    </row>
    <row r="192" spans="1:12">
      <c r="A192" s="623">
        <v>20</v>
      </c>
      <c r="B192" s="616" t="s">
        <v>166</v>
      </c>
      <c r="C192" s="621"/>
      <c r="D192" s="629">
        <f>SUM(D185:D191)</f>
        <v>36496384</v>
      </c>
      <c r="E192" s="621"/>
      <c r="F192" s="621"/>
      <c r="G192" s="636"/>
      <c r="H192" s="631"/>
      <c r="I192" s="632">
        <f>SUM(I185:I191)</f>
        <v>36496384</v>
      </c>
      <c r="J192" s="621"/>
      <c r="K192" s="621"/>
      <c r="L192" s="621"/>
    </row>
    <row r="193" spans="1:12">
      <c r="A193" s="623"/>
      <c r="B193" s="616"/>
      <c r="C193" s="621"/>
      <c r="D193" s="621"/>
      <c r="E193" s="621"/>
      <c r="F193" s="621"/>
      <c r="G193" s="637"/>
      <c r="H193" s="621"/>
      <c r="I193" s="621"/>
      <c r="J193" s="621"/>
      <c r="K193" s="621"/>
      <c r="L193" s="621"/>
    </row>
    <row r="194" spans="1:12">
      <c r="A194" s="623" t="s">
        <v>3</v>
      </c>
      <c r="B194" s="616" t="s">
        <v>167</v>
      </c>
      <c r="C194" s="621" t="s">
        <v>168</v>
      </c>
      <c r="D194" s="621"/>
      <c r="E194" s="621"/>
      <c r="F194" s="615"/>
      <c r="G194" s="681"/>
      <c r="H194" s="621"/>
      <c r="I194" s="615"/>
      <c r="J194" s="621"/>
      <c r="K194" s="615"/>
      <c r="L194" s="621"/>
    </row>
    <row r="195" spans="1:12">
      <c r="A195" s="623">
        <v>21</v>
      </c>
      <c r="B195" s="682" t="s">
        <v>169</v>
      </c>
      <c r="C195" s="621"/>
      <c r="D195" s="683">
        <f>IF(D330&gt;0,(1-((1-D331)*(1-D330))/(1-D331*D330*D332))*(1-D333),0)</f>
        <v>0.24371285891072744</v>
      </c>
      <c r="E195" s="621"/>
      <c r="F195" s="615"/>
      <c r="G195" s="681"/>
      <c r="H195" s="621"/>
      <c r="I195" s="615"/>
      <c r="J195" s="621"/>
      <c r="K195" s="615"/>
      <c r="L195" s="621"/>
    </row>
    <row r="196" spans="1:12">
      <c r="A196" s="623">
        <v>22</v>
      </c>
      <c r="B196" s="615" t="s">
        <v>941</v>
      </c>
      <c r="C196" s="621"/>
      <c r="D196" s="683">
        <f>IF(I289&gt;0,(D195/(1-D195))*(1-I286/I289),0)</f>
        <v>0.22039578749553612</v>
      </c>
      <c r="E196" s="621"/>
      <c r="F196" s="615"/>
      <c r="G196" s="681"/>
      <c r="H196" s="621"/>
      <c r="I196" s="615"/>
      <c r="J196" s="621"/>
      <c r="K196" s="615"/>
      <c r="L196" s="621"/>
    </row>
    <row r="197" spans="1:12">
      <c r="A197" s="623"/>
      <c r="B197" s="616" t="s">
        <v>170</v>
      </c>
      <c r="C197" s="621"/>
      <c r="D197" s="621"/>
      <c r="E197" s="621"/>
      <c r="F197" s="615"/>
      <c r="G197" s="681"/>
      <c r="H197" s="621"/>
      <c r="I197" s="615"/>
      <c r="J197" s="621"/>
      <c r="K197" s="615"/>
      <c r="L197" s="621"/>
    </row>
    <row r="198" spans="1:12">
      <c r="A198" s="623"/>
      <c r="B198" s="616" t="s">
        <v>171</v>
      </c>
      <c r="C198" s="621"/>
      <c r="D198" s="621"/>
      <c r="E198" s="621"/>
      <c r="F198" s="615"/>
      <c r="G198" s="681"/>
      <c r="H198" s="621"/>
      <c r="I198" s="615"/>
      <c r="J198" s="621"/>
      <c r="K198" s="615"/>
      <c r="L198" s="621"/>
    </row>
    <row r="199" spans="1:12">
      <c r="A199" s="623">
        <v>23</v>
      </c>
      <c r="B199" s="682" t="s">
        <v>172</v>
      </c>
      <c r="C199" s="621"/>
      <c r="D199" s="684">
        <f>IF(D195&gt;0,1/(1-D195),0)</f>
        <v>1.322249111044927</v>
      </c>
      <c r="E199" s="621"/>
      <c r="F199" s="615"/>
      <c r="G199" s="681"/>
      <c r="H199" s="621"/>
      <c r="I199" s="615"/>
      <c r="J199" s="621"/>
      <c r="K199" s="615"/>
      <c r="L199" s="621"/>
    </row>
    <row r="200" spans="1:12">
      <c r="A200" s="623">
        <v>24</v>
      </c>
      <c r="B200" s="616" t="s">
        <v>173</v>
      </c>
      <c r="C200" s="621"/>
      <c r="D200" s="661">
        <f>ROUND(-'Expense (pg. 3) '!C25,0)</f>
        <v>-38060</v>
      </c>
      <c r="E200" s="621"/>
      <c r="F200" s="615"/>
      <c r="G200" s="681"/>
      <c r="H200" s="621"/>
      <c r="I200" s="615"/>
      <c r="J200" s="621"/>
      <c r="K200" s="615"/>
      <c r="L200" s="621"/>
    </row>
    <row r="201" spans="1:12">
      <c r="A201" s="623" t="s">
        <v>174</v>
      </c>
      <c r="B201" s="616" t="s">
        <v>940</v>
      </c>
      <c r="C201" s="621"/>
      <c r="D201" s="661">
        <f>ROUND(-'Expense (pg. 3) '!O17,0)</f>
        <v>-5537488</v>
      </c>
      <c r="E201" s="621"/>
      <c r="F201" s="615"/>
      <c r="G201" s="685"/>
      <c r="H201" s="621"/>
      <c r="I201" s="615"/>
      <c r="J201" s="621"/>
      <c r="K201" s="615"/>
      <c r="L201" s="621"/>
    </row>
    <row r="202" spans="1:12">
      <c r="A202" s="623" t="s">
        <v>175</v>
      </c>
      <c r="B202" s="616" t="s">
        <v>176</v>
      </c>
      <c r="C202" s="621"/>
      <c r="D202" s="661">
        <f>ROUND('Expense (pg. 3) '!P17,0)</f>
        <v>120533</v>
      </c>
      <c r="E202" s="621"/>
      <c r="F202" s="615"/>
      <c r="G202" s="681"/>
      <c r="H202" s="621"/>
      <c r="I202" s="615"/>
      <c r="J202" s="621"/>
      <c r="K202" s="615"/>
      <c r="L202" s="621"/>
    </row>
    <row r="203" spans="1:12">
      <c r="A203" s="623">
        <v>25</v>
      </c>
      <c r="B203" s="682" t="s">
        <v>177</v>
      </c>
      <c r="C203" s="686"/>
      <c r="D203" s="632">
        <f>D196*D209</f>
        <v>103501630.13560452</v>
      </c>
      <c r="E203" s="631"/>
      <c r="F203" s="631" t="s">
        <v>77</v>
      </c>
      <c r="G203" s="636"/>
      <c r="H203" s="631"/>
      <c r="I203" s="632">
        <f>D196*I209</f>
        <v>103396545.93551779</v>
      </c>
      <c r="J203" s="621"/>
      <c r="K203" s="687" t="s">
        <v>3</v>
      </c>
      <c r="L203" s="621"/>
    </row>
    <row r="204" spans="1:12">
      <c r="A204" s="623">
        <v>26</v>
      </c>
      <c r="B204" s="615" t="s">
        <v>178</v>
      </c>
      <c r="C204" s="686"/>
      <c r="D204" s="632">
        <f>D199*D200</f>
        <v>-50324.801166369922</v>
      </c>
      <c r="E204" s="631"/>
      <c r="F204" s="610" t="s">
        <v>117</v>
      </c>
      <c r="G204" s="630">
        <f>G116</f>
        <v>1</v>
      </c>
      <c r="H204" s="631"/>
      <c r="I204" s="632">
        <f>G204*D204</f>
        <v>-50324.801166369922</v>
      </c>
      <c r="J204" s="621"/>
      <c r="K204" s="687"/>
      <c r="L204" s="621"/>
    </row>
    <row r="205" spans="1:12">
      <c r="A205" s="623" t="s">
        <v>179</v>
      </c>
      <c r="B205" s="615" t="s">
        <v>939</v>
      </c>
      <c r="C205" s="686"/>
      <c r="D205" s="632">
        <f>D199*D201</f>
        <v>-7321938.5854219506</v>
      </c>
      <c r="E205" s="631"/>
      <c r="F205" s="610" t="s">
        <v>117</v>
      </c>
      <c r="G205" s="630">
        <f>G204</f>
        <v>1</v>
      </c>
      <c r="H205" s="631"/>
      <c r="I205" s="632">
        <f>G205*D205</f>
        <v>-7321938.5854219506</v>
      </c>
      <c r="J205" s="621"/>
      <c r="K205" s="687"/>
      <c r="L205" s="621"/>
    </row>
    <row r="206" spans="1:12" ht="16.5" thickBot="1">
      <c r="A206" s="623" t="s">
        <v>180</v>
      </c>
      <c r="B206" s="615" t="s">
        <v>181</v>
      </c>
      <c r="C206" s="686"/>
      <c r="D206" s="634">
        <f>D199*D202</f>
        <v>159374.65210157819</v>
      </c>
      <c r="E206" s="631"/>
      <c r="F206" s="610" t="s">
        <v>117</v>
      </c>
      <c r="G206" s="630">
        <f>G205</f>
        <v>1</v>
      </c>
      <c r="H206" s="631"/>
      <c r="I206" s="634">
        <f>G206*D206</f>
        <v>159374.65210157819</v>
      </c>
      <c r="J206" s="621"/>
      <c r="K206" s="687"/>
      <c r="L206" s="621"/>
    </row>
    <row r="207" spans="1:12">
      <c r="A207" s="623">
        <v>27</v>
      </c>
      <c r="B207" s="682" t="s">
        <v>182</v>
      </c>
      <c r="C207" s="615"/>
      <c r="D207" s="688">
        <f>SUM(D203:D206)</f>
        <v>96288741.401117772</v>
      </c>
      <c r="E207" s="631"/>
      <c r="F207" s="631" t="s">
        <v>3</v>
      </c>
      <c r="G207" s="636" t="s">
        <v>3</v>
      </c>
      <c r="H207" s="631"/>
      <c r="I207" s="688">
        <f>SUM(I203:I206)</f>
        <v>96183657.201031044</v>
      </c>
      <c r="J207" s="621"/>
      <c r="K207" s="621"/>
      <c r="L207" s="621"/>
    </row>
    <row r="208" spans="1:12">
      <c r="A208" s="623" t="s">
        <v>3</v>
      </c>
      <c r="B208" s="615"/>
      <c r="C208" s="689"/>
      <c r="D208" s="690"/>
      <c r="E208" s="621"/>
      <c r="F208" s="621"/>
      <c r="G208" s="637"/>
      <c r="H208" s="621"/>
      <c r="I208" s="690"/>
      <c r="J208" s="621"/>
      <c r="K208" s="621"/>
      <c r="L208" s="621"/>
    </row>
    <row r="209" spans="1:13">
      <c r="A209" s="623">
        <v>28</v>
      </c>
      <c r="B209" s="616" t="s">
        <v>183</v>
      </c>
      <c r="C209" s="660"/>
      <c r="D209" s="632">
        <f>+$I289*D135</f>
        <v>469617098.00238729</v>
      </c>
      <c r="E209" s="631"/>
      <c r="F209" s="631" t="s">
        <v>77</v>
      </c>
      <c r="G209" s="691"/>
      <c r="H209" s="631"/>
      <c r="I209" s="632">
        <f>+$I289*I135</f>
        <v>469140300.32271814</v>
      </c>
      <c r="J209" s="621"/>
      <c r="K209" s="615"/>
      <c r="L209" s="621"/>
    </row>
    <row r="210" spans="1:13">
      <c r="A210" s="623"/>
      <c r="B210" s="682" t="s">
        <v>184</v>
      </c>
      <c r="C210" s="615"/>
      <c r="D210" s="631"/>
      <c r="E210" s="631"/>
      <c r="F210" s="631"/>
      <c r="G210" s="691"/>
      <c r="H210" s="631"/>
      <c r="I210" s="631"/>
      <c r="J210" s="621"/>
      <c r="K210" s="660"/>
      <c r="L210" s="621"/>
    </row>
    <row r="211" spans="1:13">
      <c r="A211" s="623"/>
      <c r="B211" s="616"/>
      <c r="C211" s="615"/>
      <c r="D211" s="631"/>
      <c r="E211" s="631"/>
      <c r="F211" s="631"/>
      <c r="G211" s="691"/>
      <c r="H211" s="631"/>
      <c r="I211" s="631"/>
      <c r="J211" s="621"/>
      <c r="K211" s="660"/>
      <c r="L211" s="621"/>
    </row>
    <row r="212" spans="1:13">
      <c r="A212" s="623">
        <v>29</v>
      </c>
      <c r="B212" s="616" t="s">
        <v>185</v>
      </c>
      <c r="C212" s="621"/>
      <c r="D212" s="632">
        <f>+D209+D207+D192+D181+D173</f>
        <v>1080088354.4035051</v>
      </c>
      <c r="E212" s="631"/>
      <c r="F212" s="631"/>
      <c r="G212" s="631"/>
      <c r="H212" s="631"/>
      <c r="I212" s="632">
        <f>+I209+I207+I192+I181+I173</f>
        <v>1061143613.4294546</v>
      </c>
      <c r="J212" s="616"/>
      <c r="K212" s="616"/>
      <c r="L212" s="621"/>
    </row>
    <row r="213" spans="1:13">
      <c r="A213" s="623"/>
      <c r="B213" s="616"/>
      <c r="C213" s="621"/>
      <c r="D213" s="631"/>
      <c r="E213" s="631"/>
      <c r="F213" s="631"/>
      <c r="G213" s="631"/>
      <c r="H213" s="631"/>
      <c r="I213" s="631"/>
      <c r="J213" s="616"/>
      <c r="K213" s="616"/>
      <c r="L213" s="621"/>
    </row>
    <row r="214" spans="1:13">
      <c r="A214" s="692">
        <v>30</v>
      </c>
      <c r="B214" s="610" t="s">
        <v>186</v>
      </c>
      <c r="C214" s="631"/>
      <c r="D214" s="693"/>
      <c r="E214" s="693"/>
      <c r="F214" s="693"/>
      <c r="G214" s="693"/>
      <c r="H214" s="693"/>
      <c r="I214" s="693"/>
      <c r="J214" s="616"/>
      <c r="K214" s="616"/>
      <c r="L214" s="621"/>
    </row>
    <row r="215" spans="1:13">
      <c r="A215" s="692"/>
      <c r="B215" s="999" t="s">
        <v>187</v>
      </c>
      <c r="C215" s="999"/>
      <c r="D215" s="694"/>
      <c r="E215" s="694"/>
      <c r="F215" s="694"/>
      <c r="G215" s="694"/>
      <c r="H215" s="694"/>
      <c r="I215" s="694"/>
      <c r="J215" s="616"/>
      <c r="K215" s="616"/>
      <c r="L215" s="621"/>
    </row>
    <row r="216" spans="1:13">
      <c r="A216" s="692"/>
      <c r="B216" s="610" t="s">
        <v>188</v>
      </c>
      <c r="C216" s="631"/>
      <c r="D216" s="695">
        <f>ROUND('ATC Att GG ER21-2601'!M129,0)</f>
        <v>103166562</v>
      </c>
      <c r="E216" s="631"/>
      <c r="F216" s="631"/>
      <c r="G216" s="631"/>
      <c r="H216" s="631"/>
      <c r="I216" s="696">
        <f>D216</f>
        <v>103166562</v>
      </c>
      <c r="J216" s="616"/>
      <c r="K216" s="616"/>
      <c r="L216" s="621"/>
    </row>
    <row r="217" spans="1:13">
      <c r="A217" s="623"/>
      <c r="B217" s="616"/>
      <c r="C217" s="621"/>
      <c r="D217" s="631"/>
      <c r="E217" s="631"/>
      <c r="F217" s="631"/>
      <c r="G217" s="631"/>
      <c r="H217" s="631"/>
      <c r="I217" s="631"/>
      <c r="J217" s="616"/>
      <c r="K217" s="616"/>
      <c r="L217" s="621"/>
    </row>
    <row r="218" spans="1:13" s="694" customFormat="1" ht="15.75" customHeight="1">
      <c r="A218" s="692" t="s">
        <v>189</v>
      </c>
      <c r="B218" s="610" t="s">
        <v>190</v>
      </c>
      <c r="C218" s="631"/>
      <c r="D218" s="693"/>
      <c r="E218" s="693"/>
      <c r="F218" s="693"/>
      <c r="G218" s="693"/>
      <c r="H218" s="693"/>
      <c r="I218" s="693"/>
      <c r="L218" s="621"/>
      <c r="M218" s="610"/>
    </row>
    <row r="219" spans="1:13" s="694" customFormat="1">
      <c r="A219" s="692"/>
      <c r="B219" s="999" t="s">
        <v>187</v>
      </c>
      <c r="C219" s="999"/>
      <c r="L219" s="621"/>
      <c r="M219" s="610"/>
    </row>
    <row r="220" spans="1:13" s="694" customFormat="1" ht="16.5" thickBot="1">
      <c r="A220" s="692"/>
      <c r="B220" s="610" t="s">
        <v>191</v>
      </c>
      <c r="C220" s="631"/>
      <c r="D220" s="697">
        <f>ROUND('ATC Attach MM ER24-224'!Q101,0)</f>
        <v>79573703</v>
      </c>
      <c r="E220" s="631"/>
      <c r="F220" s="631"/>
      <c r="G220" s="631"/>
      <c r="H220" s="631"/>
      <c r="I220" s="698">
        <f>D220</f>
        <v>79573703</v>
      </c>
      <c r="L220" s="621"/>
      <c r="M220" s="610"/>
    </row>
    <row r="221" spans="1:13" s="694" customFormat="1" ht="16.5" thickBot="1">
      <c r="A221" s="692">
        <v>31</v>
      </c>
      <c r="B221" s="610" t="s">
        <v>192</v>
      </c>
      <c r="C221" s="693"/>
      <c r="D221" s="674">
        <f>+D212-D216-D220</f>
        <v>897348089.40350509</v>
      </c>
      <c r="E221" s="631"/>
      <c r="F221" s="631"/>
      <c r="G221" s="631"/>
      <c r="H221" s="631"/>
      <c r="I221" s="674">
        <f>+I212-I216-I220</f>
        <v>878403348.42945457</v>
      </c>
      <c r="L221" s="621"/>
      <c r="M221" s="610"/>
    </row>
    <row r="222" spans="1:13" s="694" customFormat="1" ht="16.5" thickTop="1">
      <c r="A222" s="692"/>
      <c r="B222" s="610" t="s">
        <v>193</v>
      </c>
      <c r="C222" s="693"/>
      <c r="D222" s="693"/>
      <c r="E222" s="693"/>
      <c r="F222" s="693"/>
      <c r="G222" s="693"/>
      <c r="H222" s="693"/>
      <c r="I222" s="693"/>
      <c r="L222" s="621"/>
      <c r="M222" s="610"/>
    </row>
    <row r="223" spans="1:13">
      <c r="A223" s="623"/>
      <c r="B223" s="616"/>
      <c r="C223" s="621"/>
      <c r="D223" s="631"/>
      <c r="E223" s="631"/>
      <c r="F223" s="631"/>
      <c r="G223" s="666"/>
      <c r="H223" s="631"/>
      <c r="I223" s="631"/>
      <c r="J223" s="621"/>
      <c r="K223" s="660"/>
      <c r="L223" s="621"/>
    </row>
    <row r="224" spans="1:13">
      <c r="A224" s="623"/>
      <c r="B224" s="616"/>
      <c r="C224" s="621"/>
      <c r="D224" s="631"/>
      <c r="E224" s="631"/>
      <c r="F224" s="631"/>
      <c r="G224" s="666"/>
      <c r="H224" s="631"/>
      <c r="I224" s="631"/>
      <c r="J224" s="621"/>
      <c r="K224" s="660"/>
      <c r="L224" s="621"/>
    </row>
    <row r="225" spans="1:12">
      <c r="A225" s="623"/>
      <c r="B225" s="616"/>
      <c r="C225" s="621"/>
      <c r="D225" s="631"/>
      <c r="E225" s="631"/>
      <c r="F225" s="631"/>
      <c r="G225" s="666"/>
      <c r="H225" s="631"/>
      <c r="I225" s="631"/>
      <c r="J225" s="621"/>
      <c r="K225" s="660"/>
      <c r="L225" s="621"/>
    </row>
    <row r="226" spans="1:12">
      <c r="A226" s="623"/>
      <c r="B226" s="615"/>
      <c r="C226" s="615"/>
      <c r="D226" s="615"/>
      <c r="E226" s="615"/>
      <c r="F226" s="615"/>
      <c r="G226" s="615"/>
      <c r="H226" s="615"/>
      <c r="I226" s="615"/>
      <c r="J226" s="621"/>
      <c r="K226" s="675" t="s">
        <v>194</v>
      </c>
      <c r="L226" s="621"/>
    </row>
    <row r="227" spans="1:12">
      <c r="A227" s="623"/>
      <c r="B227" s="615"/>
      <c r="C227" s="615"/>
      <c r="D227" s="615"/>
      <c r="E227" s="615"/>
      <c r="F227" s="615"/>
      <c r="G227" s="615"/>
      <c r="H227" s="615"/>
      <c r="I227" s="615"/>
      <c r="J227" s="621"/>
      <c r="K227" s="621"/>
      <c r="L227" s="621"/>
    </row>
    <row r="228" spans="1:12">
      <c r="A228" s="623"/>
      <c r="B228" s="616" t="s">
        <v>1</v>
      </c>
      <c r="C228" s="615"/>
      <c r="D228" s="615" t="s">
        <v>2</v>
      </c>
      <c r="E228" s="615"/>
      <c r="F228" s="615"/>
      <c r="G228" s="615"/>
      <c r="H228" s="615"/>
      <c r="J228" s="621"/>
      <c r="K228" s="699" t="str">
        <f>K3</f>
        <v>For the 12 months ended 12/31/26</v>
      </c>
      <c r="L228" s="621"/>
    </row>
    <row r="229" spans="1:12">
      <c r="A229" s="623"/>
      <c r="B229" s="616"/>
      <c r="C229" s="615"/>
      <c r="D229" s="615" t="s">
        <v>4</v>
      </c>
      <c r="E229" s="615"/>
      <c r="F229" s="615"/>
      <c r="G229" s="615"/>
      <c r="H229" s="615"/>
      <c r="I229" s="615"/>
      <c r="J229" s="621"/>
      <c r="K229" s="621"/>
      <c r="L229" s="621"/>
    </row>
    <row r="230" spans="1:12">
      <c r="A230" s="623"/>
      <c r="B230" s="615"/>
      <c r="C230" s="615"/>
      <c r="D230" s="615"/>
      <c r="E230" s="615"/>
      <c r="F230" s="615"/>
      <c r="G230" s="615"/>
      <c r="H230" s="615"/>
      <c r="I230" s="615"/>
      <c r="J230" s="621"/>
      <c r="K230" s="621"/>
      <c r="L230" s="621"/>
    </row>
    <row r="231" spans="1:12">
      <c r="A231" s="998" t="str">
        <f>A6</f>
        <v>American Transmission Company LLC</v>
      </c>
      <c r="B231" s="998"/>
      <c r="C231" s="998"/>
      <c r="D231" s="998"/>
      <c r="E231" s="998"/>
      <c r="F231" s="998"/>
      <c r="G231" s="998"/>
      <c r="H231" s="998"/>
      <c r="I231" s="998"/>
      <c r="J231" s="998"/>
      <c r="K231" s="998"/>
      <c r="L231" s="621"/>
    </row>
    <row r="232" spans="1:12">
      <c r="A232" s="623"/>
      <c r="B232" s="615"/>
      <c r="C232" s="616"/>
      <c r="D232" s="616"/>
      <c r="E232" s="616"/>
      <c r="F232" s="616"/>
      <c r="G232" s="616"/>
      <c r="H232" s="616"/>
      <c r="I232" s="616"/>
      <c r="J232" s="616"/>
      <c r="K232" s="616"/>
      <c r="L232" s="621"/>
    </row>
    <row r="233" spans="1:12">
      <c r="A233" s="623"/>
      <c r="B233" s="615"/>
      <c r="C233" s="655" t="s">
        <v>195</v>
      </c>
      <c r="D233" s="615"/>
      <c r="E233" s="616"/>
      <c r="F233" s="616"/>
      <c r="G233" s="616"/>
      <c r="H233" s="616"/>
      <c r="I233" s="616"/>
      <c r="J233" s="621"/>
      <c r="K233" s="621"/>
      <c r="L233" s="621"/>
    </row>
    <row r="234" spans="1:12">
      <c r="A234" s="623" t="s">
        <v>8</v>
      </c>
      <c r="B234" s="655"/>
      <c r="C234" s="616"/>
      <c r="D234" s="616"/>
      <c r="E234" s="616"/>
      <c r="F234" s="616"/>
      <c r="G234" s="616"/>
      <c r="H234" s="616"/>
      <c r="I234" s="616"/>
      <c r="J234" s="621"/>
      <c r="K234" s="621"/>
      <c r="L234" s="621"/>
    </row>
    <row r="235" spans="1:12" ht="16.5" thickBot="1">
      <c r="A235" s="626" t="s">
        <v>10</v>
      </c>
      <c r="B235" s="616" t="s">
        <v>196</v>
      </c>
      <c r="C235" s="616"/>
      <c r="D235" s="616"/>
      <c r="E235" s="616"/>
      <c r="F235" s="616"/>
      <c r="G235" s="616"/>
      <c r="H235" s="615"/>
      <c r="I235" s="615"/>
      <c r="J235" s="621"/>
      <c r="K235" s="621"/>
      <c r="L235" s="621"/>
    </row>
    <row r="236" spans="1:12">
      <c r="A236" s="623">
        <v>1</v>
      </c>
      <c r="B236" s="616" t="s">
        <v>197</v>
      </c>
      <c r="C236" s="616"/>
      <c r="D236" s="621"/>
      <c r="E236" s="621"/>
      <c r="F236" s="621"/>
      <c r="G236" s="621"/>
      <c r="H236" s="621"/>
      <c r="I236" s="632">
        <f>D87</f>
        <v>8745872764</v>
      </c>
      <c r="J236" s="621"/>
      <c r="K236" s="621"/>
      <c r="L236" s="621"/>
    </row>
    <row r="237" spans="1:12">
      <c r="A237" s="623">
        <v>2</v>
      </c>
      <c r="B237" s="616" t="s">
        <v>198</v>
      </c>
      <c r="C237" s="615"/>
      <c r="D237" s="615"/>
      <c r="E237" s="615"/>
      <c r="F237" s="615"/>
      <c r="G237" s="615"/>
      <c r="H237" s="615"/>
      <c r="I237" s="633">
        <v>0</v>
      </c>
      <c r="J237" s="621"/>
      <c r="K237" s="621"/>
      <c r="L237" s="621"/>
    </row>
    <row r="238" spans="1:12" ht="16.5" thickBot="1">
      <c r="A238" s="623">
        <v>3</v>
      </c>
      <c r="B238" s="700" t="s">
        <v>199</v>
      </c>
      <c r="C238" s="700"/>
      <c r="E238" s="621"/>
      <c r="F238" s="621"/>
      <c r="G238" s="671"/>
      <c r="H238" s="621"/>
      <c r="I238" s="639">
        <v>0</v>
      </c>
      <c r="J238" s="621"/>
      <c r="K238" s="621"/>
      <c r="L238" s="621"/>
    </row>
    <row r="239" spans="1:12">
      <c r="A239" s="623">
        <v>4</v>
      </c>
      <c r="B239" s="616" t="s">
        <v>200</v>
      </c>
      <c r="C239" s="616"/>
      <c r="D239" s="621"/>
      <c r="E239" s="621"/>
      <c r="F239" s="621"/>
      <c r="G239" s="671"/>
      <c r="H239" s="621"/>
      <c r="I239" s="632">
        <f>I236-I237-I238</f>
        <v>8745872764</v>
      </c>
      <c r="J239" s="621"/>
      <c r="K239" s="621"/>
      <c r="L239" s="621"/>
    </row>
    <row r="240" spans="1:12" ht="11.25" customHeight="1">
      <c r="A240" s="623"/>
      <c r="B240" s="615"/>
      <c r="C240" s="616"/>
      <c r="D240" s="621"/>
      <c r="E240" s="621"/>
      <c r="F240" s="621"/>
      <c r="G240" s="671"/>
      <c r="H240" s="621"/>
      <c r="I240" s="615"/>
      <c r="J240" s="621"/>
      <c r="K240" s="621"/>
      <c r="L240" s="621"/>
    </row>
    <row r="241" spans="1:16">
      <c r="A241" s="623">
        <v>5</v>
      </c>
      <c r="B241" s="616" t="s">
        <v>201</v>
      </c>
      <c r="C241" s="625"/>
      <c r="D241" s="625"/>
      <c r="E241" s="625"/>
      <c r="F241" s="625"/>
      <c r="G241" s="622"/>
      <c r="H241" s="621" t="s">
        <v>202</v>
      </c>
      <c r="I241" s="701">
        <f>IF(I236&gt;0,I239/I236,0)</f>
        <v>1</v>
      </c>
      <c r="J241" s="621"/>
      <c r="K241" s="621"/>
      <c r="L241" s="621"/>
    </row>
    <row r="242" spans="1:16" ht="11.25" customHeight="1">
      <c r="A242" s="623"/>
      <c r="B242" s="615"/>
      <c r="C242" s="615"/>
      <c r="D242" s="615"/>
      <c r="E242" s="615"/>
      <c r="F242" s="615"/>
      <c r="G242" s="615"/>
      <c r="H242" s="615"/>
      <c r="I242" s="615"/>
      <c r="J242" s="621"/>
      <c r="K242" s="621"/>
      <c r="L242" s="621"/>
    </row>
    <row r="243" spans="1:16" ht="15" customHeight="1">
      <c r="A243" s="623"/>
      <c r="B243" s="616" t="s">
        <v>1100</v>
      </c>
      <c r="C243" s="615"/>
      <c r="D243" s="615"/>
      <c r="E243" s="615"/>
      <c r="F243" s="615"/>
      <c r="G243" s="615"/>
      <c r="H243" s="615"/>
      <c r="I243" s="615"/>
      <c r="J243" s="621"/>
      <c r="K243" s="621"/>
      <c r="L243" s="621"/>
    </row>
    <row r="244" spans="1:16" ht="15" customHeight="1">
      <c r="A244" s="623" t="s">
        <v>148</v>
      </c>
      <c r="B244" s="616" t="s">
        <v>1101</v>
      </c>
      <c r="C244" s="615"/>
      <c r="D244" s="615"/>
      <c r="E244" s="615"/>
      <c r="F244" s="615"/>
      <c r="G244" s="615"/>
      <c r="H244" s="621"/>
      <c r="I244" s="902">
        <f>D90</f>
        <v>0</v>
      </c>
      <c r="J244" s="621"/>
      <c r="K244" s="621"/>
      <c r="L244" s="621"/>
    </row>
    <row r="245" spans="1:16" ht="15" customHeight="1" thickBot="1">
      <c r="A245" s="623" t="s">
        <v>1096</v>
      </c>
      <c r="B245" s="700" t="s">
        <v>1102</v>
      </c>
      <c r="C245" s="700"/>
      <c r="D245" s="615"/>
      <c r="E245" s="615"/>
      <c r="F245" s="615"/>
      <c r="G245" s="615"/>
      <c r="H245" s="615"/>
      <c r="I245" s="639">
        <v>0</v>
      </c>
      <c r="J245" s="621"/>
      <c r="K245" s="621"/>
      <c r="L245" s="621"/>
    </row>
    <row r="246" spans="1:16" ht="15" customHeight="1">
      <c r="A246" s="623" t="s">
        <v>1103</v>
      </c>
      <c r="B246" s="616" t="s">
        <v>1104</v>
      </c>
      <c r="C246" s="615"/>
      <c r="D246" s="615"/>
      <c r="E246" s="615"/>
      <c r="F246" s="615"/>
      <c r="G246" s="615"/>
      <c r="H246" s="621"/>
      <c r="I246" s="902">
        <f>I244-I245</f>
        <v>0</v>
      </c>
      <c r="J246" s="621"/>
      <c r="K246" s="621"/>
      <c r="L246" s="621"/>
      <c r="P246" s="702"/>
    </row>
    <row r="247" spans="1:16" ht="11.25" customHeight="1">
      <c r="A247" s="623"/>
      <c r="B247" s="615"/>
      <c r="C247" s="615"/>
      <c r="D247" s="615"/>
      <c r="E247" s="615"/>
      <c r="F247" s="615"/>
      <c r="G247" s="615"/>
      <c r="H247" s="621"/>
      <c r="I247" s="615"/>
      <c r="J247" s="621"/>
      <c r="K247" s="621"/>
      <c r="L247" s="621"/>
    </row>
    <row r="248" spans="1:16" ht="15" customHeight="1">
      <c r="A248" s="623" t="s">
        <v>1105</v>
      </c>
      <c r="B248" s="616" t="s">
        <v>1106</v>
      </c>
      <c r="C248" s="615"/>
      <c r="D248" s="615"/>
      <c r="E248" s="615"/>
      <c r="F248" s="615"/>
      <c r="G248" s="615"/>
      <c r="H248" s="621" t="s">
        <v>1107</v>
      </c>
      <c r="I248" s="903">
        <f>IF(I244&gt;0,I246/I244,0)</f>
        <v>0</v>
      </c>
      <c r="J248" s="621"/>
      <c r="K248" s="621"/>
      <c r="L248" s="621"/>
    </row>
    <row r="249" spans="1:16" ht="11.25" customHeight="1">
      <c r="A249" s="623"/>
      <c r="B249" s="615"/>
      <c r="C249" s="615"/>
      <c r="D249" s="615"/>
      <c r="E249" s="615"/>
      <c r="F249" s="615"/>
      <c r="G249" s="615"/>
      <c r="H249" s="615"/>
      <c r="I249" s="615"/>
      <c r="J249" s="621"/>
      <c r="K249" s="621"/>
      <c r="L249" s="621"/>
    </row>
    <row r="250" spans="1:16">
      <c r="A250" s="623"/>
      <c r="B250" s="616" t="s">
        <v>203</v>
      </c>
      <c r="C250" s="615"/>
      <c r="D250" s="615"/>
      <c r="E250" s="615"/>
      <c r="F250" s="615"/>
      <c r="G250" s="615"/>
      <c r="H250" s="615"/>
      <c r="I250" s="615"/>
      <c r="J250" s="621"/>
      <c r="K250" s="621"/>
      <c r="L250" s="621"/>
    </row>
    <row r="251" spans="1:16">
      <c r="A251" s="623">
        <v>6</v>
      </c>
      <c r="B251" s="615" t="s">
        <v>204</v>
      </c>
      <c r="C251" s="703"/>
      <c r="D251" s="616"/>
      <c r="E251" s="616"/>
      <c r="F251" s="616"/>
      <c r="G251" s="623"/>
      <c r="H251" s="616"/>
      <c r="I251" s="632">
        <f>D163</f>
        <v>158918815</v>
      </c>
      <c r="J251" s="621"/>
      <c r="K251" s="621"/>
      <c r="L251" s="621"/>
    </row>
    <row r="252" spans="1:16" ht="16.5" thickBot="1">
      <c r="A252" s="623">
        <v>7</v>
      </c>
      <c r="B252" s="700" t="s">
        <v>205</v>
      </c>
      <c r="C252" s="700"/>
      <c r="E252" s="621"/>
      <c r="F252" s="621"/>
      <c r="G252" s="621"/>
      <c r="H252" s="621"/>
      <c r="I252" s="639">
        <f>ROUND('Sch 1'!G24,0)</f>
        <v>18273513</v>
      </c>
      <c r="J252" s="621"/>
      <c r="K252" s="621"/>
      <c r="L252" s="621"/>
    </row>
    <row r="253" spans="1:16">
      <c r="A253" s="623">
        <v>8</v>
      </c>
      <c r="B253" s="616" t="s">
        <v>206</v>
      </c>
      <c r="C253" s="625"/>
      <c r="D253" s="625"/>
      <c r="E253" s="625"/>
      <c r="F253" s="625"/>
      <c r="G253" s="622"/>
      <c r="H253" s="625"/>
      <c r="I253" s="632">
        <f>+I251-I252</f>
        <v>140645302</v>
      </c>
      <c r="J253" s="615"/>
      <c r="K253" s="615"/>
      <c r="L253" s="621"/>
    </row>
    <row r="254" spans="1:16" ht="11.25" customHeight="1">
      <c r="A254" s="623"/>
      <c r="B254" s="616"/>
      <c r="C254" s="616"/>
      <c r="D254" s="621"/>
      <c r="E254" s="621"/>
      <c r="F254" s="621"/>
      <c r="G254" s="621"/>
      <c r="H254" s="615"/>
      <c r="I254" s="615"/>
      <c r="J254" s="615"/>
      <c r="K254" s="615"/>
      <c r="L254" s="621"/>
    </row>
    <row r="255" spans="1:16">
      <c r="A255" s="623">
        <v>9</v>
      </c>
      <c r="B255" s="616" t="s">
        <v>207</v>
      </c>
      <c r="C255" s="616"/>
      <c r="D255" s="621"/>
      <c r="E255" s="621"/>
      <c r="F255" s="621"/>
      <c r="G255" s="621"/>
      <c r="H255" s="621"/>
      <c r="I255" s="657">
        <f>IF(I251&gt;0,I253/I251,0)</f>
        <v>0.88501353348248912</v>
      </c>
      <c r="J255" s="615"/>
      <c r="K255" s="615"/>
      <c r="L255" s="621"/>
    </row>
    <row r="256" spans="1:16">
      <c r="A256" s="623">
        <v>10</v>
      </c>
      <c r="B256" s="616" t="s">
        <v>208</v>
      </c>
      <c r="C256" s="616"/>
      <c r="D256" s="621"/>
      <c r="E256" s="621"/>
      <c r="F256" s="621"/>
      <c r="G256" s="621"/>
      <c r="H256" s="616" t="s">
        <v>19</v>
      </c>
      <c r="I256" s="657">
        <f>I241</f>
        <v>1</v>
      </c>
      <c r="J256" s="615"/>
      <c r="K256" s="615"/>
      <c r="L256" s="621"/>
    </row>
    <row r="257" spans="1:12">
      <c r="A257" s="623">
        <v>11</v>
      </c>
      <c r="B257" s="616" t="s">
        <v>209</v>
      </c>
      <c r="C257" s="616"/>
      <c r="D257" s="616"/>
      <c r="E257" s="616"/>
      <c r="F257" s="616"/>
      <c r="G257" s="616"/>
      <c r="H257" s="616" t="s">
        <v>210</v>
      </c>
      <c r="I257" s="630">
        <f>+I256*I255</f>
        <v>0.88501353348248912</v>
      </c>
      <c r="J257" s="615"/>
      <c r="K257" s="615"/>
      <c r="L257" s="621"/>
    </row>
    <row r="258" spans="1:12" ht="11.25" customHeight="1">
      <c r="A258" s="623"/>
      <c r="B258" s="615"/>
      <c r="C258" s="615"/>
      <c r="D258" s="615"/>
      <c r="E258" s="615"/>
      <c r="F258" s="615"/>
      <c r="G258" s="615"/>
      <c r="H258" s="615"/>
      <c r="I258" s="615"/>
      <c r="J258" s="615"/>
      <c r="K258" s="615"/>
      <c r="L258" s="621"/>
    </row>
    <row r="259" spans="1:12">
      <c r="A259" s="623" t="s">
        <v>3</v>
      </c>
      <c r="B259" s="616" t="s">
        <v>211</v>
      </c>
      <c r="C259" s="621"/>
      <c r="D259" s="621"/>
      <c r="E259" s="621"/>
      <c r="F259" s="621"/>
      <c r="G259" s="621"/>
      <c r="H259" s="621"/>
      <c r="I259" s="621"/>
      <c r="J259" s="621"/>
      <c r="K259" s="621"/>
      <c r="L259" s="621"/>
    </row>
    <row r="260" spans="1:12" ht="16.5" thickBot="1">
      <c r="A260" s="623" t="s">
        <v>3</v>
      </c>
      <c r="B260" s="616"/>
      <c r="C260" s="704" t="s">
        <v>212</v>
      </c>
      <c r="D260" s="705" t="s">
        <v>213</v>
      </c>
      <c r="E260" s="706"/>
      <c r="F260" s="621"/>
      <c r="G260" s="705" t="s">
        <v>214</v>
      </c>
      <c r="H260" s="621"/>
      <c r="I260" s="621"/>
      <c r="J260" s="621"/>
      <c r="K260" s="621"/>
      <c r="L260" s="621"/>
    </row>
    <row r="261" spans="1:12">
      <c r="A261" s="623">
        <v>12</v>
      </c>
      <c r="B261" s="616" t="s">
        <v>75</v>
      </c>
      <c r="C261" s="621" t="s">
        <v>215</v>
      </c>
      <c r="D261" s="633">
        <v>0</v>
      </c>
      <c r="E261" s="707">
        <v>0</v>
      </c>
      <c r="F261" s="707"/>
      <c r="G261" s="632">
        <f>D261*E261</f>
        <v>0</v>
      </c>
      <c r="H261" s="631"/>
      <c r="I261" s="631"/>
      <c r="J261" s="621"/>
      <c r="K261" s="621"/>
      <c r="L261" s="621"/>
    </row>
    <row r="262" spans="1:12">
      <c r="A262" s="623">
        <v>13</v>
      </c>
      <c r="B262" s="616" t="s">
        <v>216</v>
      </c>
      <c r="C262" s="621" t="s">
        <v>217</v>
      </c>
      <c r="D262" s="633">
        <f>'Wages &amp; Salaries (pg. 4)'!B17</f>
        <v>36453205</v>
      </c>
      <c r="E262" s="708">
        <f>+I241</f>
        <v>1</v>
      </c>
      <c r="F262" s="707" t="s">
        <v>19</v>
      </c>
      <c r="G262" s="632">
        <f>D262*E262</f>
        <v>36453205</v>
      </c>
      <c r="H262" s="631"/>
      <c r="I262" s="631"/>
      <c r="J262" s="621"/>
      <c r="K262" s="621"/>
      <c r="L262" s="621"/>
    </row>
    <row r="263" spans="1:12">
      <c r="A263" s="623">
        <v>14</v>
      </c>
      <c r="B263" s="616" t="s">
        <v>83</v>
      </c>
      <c r="C263" s="621" t="s">
        <v>218</v>
      </c>
      <c r="D263" s="633">
        <v>0</v>
      </c>
      <c r="E263" s="707">
        <v>0</v>
      </c>
      <c r="F263" s="707"/>
      <c r="G263" s="632">
        <f>D263*E263</f>
        <v>0</v>
      </c>
      <c r="H263" s="631"/>
      <c r="J263" s="621"/>
      <c r="K263" s="621"/>
      <c r="L263" s="621"/>
    </row>
    <row r="264" spans="1:12">
      <c r="A264" s="623" t="s">
        <v>103</v>
      </c>
      <c r="B264" s="616" t="s">
        <v>1087</v>
      </c>
      <c r="C264" s="621" t="s">
        <v>1108</v>
      </c>
      <c r="D264" s="633">
        <v>0</v>
      </c>
      <c r="E264" s="901">
        <f>+I248</f>
        <v>0</v>
      </c>
      <c r="F264" s="707" t="s">
        <v>1089</v>
      </c>
      <c r="G264" s="902">
        <f>D264*E264</f>
        <v>0</v>
      </c>
      <c r="H264" s="631"/>
      <c r="I264" s="709" t="s">
        <v>219</v>
      </c>
      <c r="J264" s="621"/>
      <c r="K264" s="621"/>
      <c r="L264" s="621"/>
    </row>
    <row r="265" spans="1:12" ht="16.5" thickBot="1">
      <c r="A265" s="623">
        <v>15</v>
      </c>
      <c r="B265" s="616" t="s">
        <v>220</v>
      </c>
      <c r="C265" s="621" t="s">
        <v>221</v>
      </c>
      <c r="D265" s="639">
        <v>0</v>
      </c>
      <c r="E265" s="707">
        <v>0</v>
      </c>
      <c r="F265" s="707"/>
      <c r="G265" s="634">
        <f>D265*E265</f>
        <v>0</v>
      </c>
      <c r="H265" s="631"/>
      <c r="I265" s="710" t="s">
        <v>222</v>
      </c>
      <c r="J265" s="621"/>
      <c r="K265" s="621"/>
      <c r="L265" s="621"/>
    </row>
    <row r="266" spans="1:12">
      <c r="A266" s="623">
        <v>16</v>
      </c>
      <c r="B266" s="616" t="s">
        <v>223</v>
      </c>
      <c r="C266" s="621"/>
      <c r="D266" s="632">
        <f>SUM(D261:D265)</f>
        <v>36453205</v>
      </c>
      <c r="E266" s="621"/>
      <c r="F266" s="621"/>
      <c r="G266" s="632">
        <f>SUM(G261:G265)</f>
        <v>36453205</v>
      </c>
      <c r="H266" s="692" t="s">
        <v>224</v>
      </c>
      <c r="I266" s="657">
        <f>IF(G266&gt;0,G266/D266,0)</f>
        <v>1</v>
      </c>
      <c r="J266" s="671" t="s">
        <v>224</v>
      </c>
      <c r="K266" s="621" t="s">
        <v>225</v>
      </c>
      <c r="L266" s="621"/>
    </row>
    <row r="267" spans="1:12">
      <c r="A267" s="623" t="s">
        <v>3</v>
      </c>
      <c r="B267" s="616" t="s">
        <v>3</v>
      </c>
      <c r="C267" s="621" t="s">
        <v>3</v>
      </c>
      <c r="D267" s="615"/>
      <c r="E267" s="621"/>
      <c r="F267" s="621"/>
      <c r="G267" s="615"/>
      <c r="H267" s="615"/>
      <c r="I267" s="615"/>
      <c r="J267" s="615"/>
      <c r="K267" s="621"/>
      <c r="L267" s="621"/>
    </row>
    <row r="268" spans="1:12">
      <c r="A268" s="623"/>
      <c r="B268" s="616" t="s">
        <v>226</v>
      </c>
      <c r="C268" s="621"/>
      <c r="D268" s="651" t="s">
        <v>213</v>
      </c>
      <c r="E268" s="621"/>
      <c r="F268" s="621"/>
      <c r="G268" s="671" t="s">
        <v>227</v>
      </c>
      <c r="H268" s="681"/>
      <c r="I268" s="660" t="s">
        <v>219</v>
      </c>
      <c r="J268" s="621"/>
      <c r="K268" s="621"/>
      <c r="L268" s="621"/>
    </row>
    <row r="269" spans="1:12">
      <c r="A269" s="623">
        <v>17</v>
      </c>
      <c r="B269" s="616" t="s">
        <v>228</v>
      </c>
      <c r="C269" s="621" t="s">
        <v>229</v>
      </c>
      <c r="D269" s="633">
        <f>D110</f>
        <v>6065782805</v>
      </c>
      <c r="E269" s="621"/>
      <c r="F269" s="615"/>
      <c r="G269" s="623" t="s">
        <v>230</v>
      </c>
      <c r="H269" s="681"/>
      <c r="I269" s="623" t="s">
        <v>231</v>
      </c>
      <c r="J269" s="621"/>
      <c r="K269" s="623" t="s">
        <v>90</v>
      </c>
      <c r="L269" s="621"/>
    </row>
    <row r="270" spans="1:12">
      <c r="A270" s="623">
        <v>18</v>
      </c>
      <c r="B270" s="616" t="s">
        <v>232</v>
      </c>
      <c r="C270" s="621" t="s">
        <v>233</v>
      </c>
      <c r="D270" s="633">
        <v>0</v>
      </c>
      <c r="E270" s="621"/>
      <c r="F270" s="615"/>
      <c r="G270" s="630">
        <f>IF(D272&gt;0,D269/D272,0)</f>
        <v>1</v>
      </c>
      <c r="H270" s="671" t="s">
        <v>234</v>
      </c>
      <c r="I270" s="711">
        <f>I266</f>
        <v>1</v>
      </c>
      <c r="J270" s="681" t="s">
        <v>224</v>
      </c>
      <c r="K270" s="630">
        <f>I270*G270</f>
        <v>1</v>
      </c>
      <c r="L270" s="621"/>
    </row>
    <row r="271" spans="1:12" ht="16.5" thickBot="1">
      <c r="A271" s="623">
        <v>19</v>
      </c>
      <c r="B271" s="700" t="s">
        <v>235</v>
      </c>
      <c r="C271" s="704" t="s">
        <v>236</v>
      </c>
      <c r="D271" s="639">
        <v>0</v>
      </c>
      <c r="E271" s="621"/>
      <c r="F271" s="621"/>
      <c r="G271" s="621" t="s">
        <v>3</v>
      </c>
      <c r="H271" s="621"/>
      <c r="I271" s="621"/>
      <c r="J271" s="621"/>
      <c r="K271" s="621"/>
      <c r="L271" s="621"/>
    </row>
    <row r="272" spans="1:12">
      <c r="A272" s="623">
        <v>20</v>
      </c>
      <c r="B272" s="616" t="s">
        <v>237</v>
      </c>
      <c r="C272" s="621"/>
      <c r="D272" s="632">
        <f>D269+D270+D271</f>
        <v>6065782805</v>
      </c>
      <c r="E272" s="621"/>
      <c r="F272" s="621"/>
      <c r="G272" s="621"/>
      <c r="H272" s="621"/>
      <c r="I272" s="621"/>
      <c r="J272" s="621"/>
      <c r="K272" s="621"/>
      <c r="L272" s="621"/>
    </row>
    <row r="273" spans="1:17" ht="11.25" customHeight="1">
      <c r="A273" s="623"/>
      <c r="B273" s="616"/>
      <c r="C273" s="621"/>
      <c r="D273" s="615"/>
      <c r="E273" s="621"/>
      <c r="F273" s="621"/>
      <c r="G273" s="621"/>
      <c r="H273" s="621"/>
      <c r="I273" s="621"/>
      <c r="J273" s="621"/>
      <c r="K273" s="621"/>
      <c r="L273" s="621"/>
    </row>
    <row r="274" spans="1:17" ht="16.5" thickBot="1">
      <c r="A274" s="623"/>
      <c r="B274" s="616" t="s">
        <v>238</v>
      </c>
      <c r="C274" s="621"/>
      <c r="D274" s="621"/>
      <c r="E274" s="621"/>
      <c r="F274" s="621"/>
      <c r="G274" s="621"/>
      <c r="H274" s="621"/>
      <c r="I274" s="705" t="s">
        <v>213</v>
      </c>
      <c r="J274" s="621"/>
      <c r="K274" s="621"/>
      <c r="L274" s="621"/>
    </row>
    <row r="275" spans="1:17">
      <c r="A275" s="623">
        <v>21</v>
      </c>
      <c r="B275" s="616"/>
      <c r="C275" s="621" t="s">
        <v>239</v>
      </c>
      <c r="D275" s="621"/>
      <c r="E275" s="621"/>
      <c r="F275" s="621"/>
      <c r="G275" s="621"/>
      <c r="H275" s="621"/>
      <c r="I275" s="712" t="s">
        <v>240</v>
      </c>
      <c r="J275" s="621"/>
      <c r="K275" s="621"/>
      <c r="L275" s="621"/>
    </row>
    <row r="276" spans="1:17" ht="11.25" customHeight="1">
      <c r="A276" s="623"/>
      <c r="B276" s="616"/>
      <c r="C276" s="621"/>
      <c r="D276" s="621"/>
      <c r="E276" s="621"/>
      <c r="F276" s="621"/>
      <c r="G276" s="621"/>
      <c r="H276" s="621"/>
      <c r="I276" s="671"/>
      <c r="J276" s="621"/>
      <c r="K276" s="621"/>
      <c r="L276" s="621"/>
    </row>
    <row r="277" spans="1:17">
      <c r="A277" s="623">
        <v>22</v>
      </c>
      <c r="B277" s="616"/>
      <c r="C277" s="621" t="s">
        <v>241</v>
      </c>
      <c r="D277" s="621"/>
      <c r="E277" s="621"/>
      <c r="F277" s="621"/>
      <c r="G277" s="621"/>
      <c r="H277" s="621"/>
      <c r="I277" s="713" t="s">
        <v>240</v>
      </c>
      <c r="J277" s="621"/>
      <c r="K277" s="621"/>
      <c r="L277" s="621"/>
    </row>
    <row r="278" spans="1:17" ht="11.25" customHeight="1">
      <c r="A278" s="623"/>
      <c r="B278" s="616"/>
      <c r="C278" s="621"/>
      <c r="D278" s="621"/>
      <c r="E278" s="621"/>
      <c r="F278" s="621"/>
      <c r="G278" s="621"/>
      <c r="H278" s="621"/>
      <c r="I278" s="621"/>
      <c r="J278" s="621"/>
      <c r="K278" s="621"/>
      <c r="L278" s="621"/>
    </row>
    <row r="279" spans="1:17">
      <c r="A279" s="623"/>
      <c r="B279" s="616" t="s">
        <v>242</v>
      </c>
      <c r="C279" s="621"/>
      <c r="D279" s="621"/>
      <c r="E279" s="621"/>
      <c r="F279" s="621"/>
      <c r="G279" s="621"/>
      <c r="H279" s="621"/>
      <c r="I279" s="621"/>
      <c r="J279" s="621"/>
      <c r="K279" s="621"/>
      <c r="L279" s="621"/>
    </row>
    <row r="280" spans="1:17">
      <c r="A280" s="623">
        <v>23</v>
      </c>
      <c r="B280" s="616"/>
      <c r="C280" s="621" t="s">
        <v>243</v>
      </c>
      <c r="D280" s="616"/>
      <c r="E280" s="621"/>
      <c r="F280" s="621"/>
      <c r="G280" s="621"/>
      <c r="H280" s="621"/>
      <c r="I280" s="714" t="s">
        <v>240</v>
      </c>
      <c r="J280" s="621"/>
      <c r="K280" s="621"/>
      <c r="L280" s="621"/>
    </row>
    <row r="281" spans="1:17">
      <c r="A281" s="623">
        <v>24</v>
      </c>
      <c r="B281" s="616"/>
      <c r="C281" s="621" t="s">
        <v>244</v>
      </c>
      <c r="D281" s="621"/>
      <c r="E281" s="621"/>
      <c r="F281" s="621"/>
      <c r="G281" s="621"/>
      <c r="H281" s="621"/>
      <c r="I281" s="671" t="s">
        <v>240</v>
      </c>
      <c r="J281" s="621"/>
      <c r="K281" s="621"/>
      <c r="L281" s="621"/>
    </row>
    <row r="282" spans="1:17" ht="16.5" thickBot="1">
      <c r="A282" s="623">
        <v>25</v>
      </c>
      <c r="B282" s="616"/>
      <c r="C282" s="621" t="s">
        <v>245</v>
      </c>
      <c r="D282" s="621"/>
      <c r="E282" s="621"/>
      <c r="F282" s="621"/>
      <c r="G282" s="621"/>
      <c r="H282" s="621"/>
      <c r="I282" s="715" t="s">
        <v>240</v>
      </c>
      <c r="J282" s="621"/>
      <c r="K282" s="621"/>
      <c r="L282" s="621"/>
    </row>
    <row r="283" spans="1:17">
      <c r="A283" s="623">
        <v>26</v>
      </c>
      <c r="B283" s="616"/>
      <c r="C283" s="621" t="s">
        <v>246</v>
      </c>
      <c r="D283" s="616" t="s">
        <v>247</v>
      </c>
      <c r="E283" s="616"/>
      <c r="F283" s="616"/>
      <c r="G283" s="616"/>
      <c r="H283" s="616"/>
      <c r="I283" s="671" t="s">
        <v>240</v>
      </c>
      <c r="J283" s="621"/>
      <c r="K283" s="621"/>
      <c r="L283" s="621"/>
    </row>
    <row r="284" spans="1:17">
      <c r="A284" s="623"/>
      <c r="B284" s="616"/>
      <c r="C284" s="621"/>
      <c r="D284" s="621"/>
      <c r="E284" s="621"/>
      <c r="F284" s="621"/>
      <c r="G284" s="671" t="s">
        <v>248</v>
      </c>
      <c r="H284" s="621"/>
      <c r="I284" s="621"/>
      <c r="J284" s="621"/>
      <c r="K284" s="621"/>
      <c r="L284" s="621"/>
    </row>
    <row r="285" spans="1:17" ht="16.5" thickBot="1">
      <c r="A285" s="623"/>
      <c r="B285" s="616"/>
      <c r="C285" s="621"/>
      <c r="D285" s="626" t="s">
        <v>213</v>
      </c>
      <c r="E285" s="626" t="s">
        <v>249</v>
      </c>
      <c r="F285" s="621"/>
      <c r="G285" s="626" t="s">
        <v>250</v>
      </c>
      <c r="H285" s="621"/>
      <c r="I285" s="626" t="s">
        <v>251</v>
      </c>
      <c r="J285" s="621"/>
      <c r="K285" s="621"/>
    </row>
    <row r="286" spans="1:17">
      <c r="A286" s="623">
        <v>27</v>
      </c>
      <c r="B286" s="616" t="s">
        <v>252</v>
      </c>
      <c r="C286" s="615"/>
      <c r="D286" s="716">
        <v>0</v>
      </c>
      <c r="E286" s="717">
        <v>0.5</v>
      </c>
      <c r="F286" s="647"/>
      <c r="G286" s="718">
        <f>'Wgt. Avg Debt Rate (pg.4)'!I67</f>
        <v>4.8432088604199702E-2</v>
      </c>
      <c r="H286" s="615"/>
      <c r="I286" s="719">
        <f>E286*G286</f>
        <v>2.4216044302099851E-2</v>
      </c>
      <c r="J286" s="720" t="s">
        <v>253</v>
      </c>
      <c r="K286" s="615"/>
      <c r="M286" s="721"/>
      <c r="N286" s="722"/>
      <c r="O286" s="722"/>
      <c r="P286" s="722"/>
      <c r="Q286" s="723"/>
    </row>
    <row r="287" spans="1:17">
      <c r="A287" s="623">
        <v>28</v>
      </c>
      <c r="B287" s="616" t="s">
        <v>254</v>
      </c>
      <c r="C287" s="615"/>
      <c r="D287" s="714">
        <v>0</v>
      </c>
      <c r="E287" s="717">
        <v>0</v>
      </c>
      <c r="F287" s="647"/>
      <c r="G287" s="718">
        <v>0</v>
      </c>
      <c r="H287" s="615"/>
      <c r="I287" s="719">
        <f>E287*G287</f>
        <v>0</v>
      </c>
      <c r="J287" s="621"/>
      <c r="K287" s="615"/>
      <c r="M287" s="724" t="s">
        <v>847</v>
      </c>
      <c r="Q287" s="725"/>
    </row>
    <row r="288" spans="1:17" ht="16.5" thickBot="1">
      <c r="A288" s="623">
        <v>29</v>
      </c>
      <c r="B288" s="616" t="s">
        <v>255</v>
      </c>
      <c r="C288" s="615"/>
      <c r="D288" s="705">
        <v>0</v>
      </c>
      <c r="E288" s="717">
        <v>0.5</v>
      </c>
      <c r="F288" s="647"/>
      <c r="G288" s="726">
        <f>Q288+Q289</f>
        <v>0.1048</v>
      </c>
      <c r="H288" s="615"/>
      <c r="I288" s="727">
        <f>E288*G288</f>
        <v>5.2400000000000002E-2</v>
      </c>
      <c r="J288" s="621"/>
      <c r="K288" s="615"/>
      <c r="M288" s="724" t="s">
        <v>1109</v>
      </c>
      <c r="Q288" s="728">
        <v>9.98E-2</v>
      </c>
    </row>
    <row r="289" spans="1:20">
      <c r="A289" s="623">
        <v>30</v>
      </c>
      <c r="B289" s="616" t="s">
        <v>256</v>
      </c>
      <c r="C289" s="615"/>
      <c r="D289" s="729">
        <f>SUM(D286:D288)</f>
        <v>0</v>
      </c>
      <c r="E289" s="621" t="s">
        <v>3</v>
      </c>
      <c r="F289" s="621"/>
      <c r="G289" s="621"/>
      <c r="H289" s="621"/>
      <c r="I289" s="719">
        <f>SUM(I286:I288)</f>
        <v>7.6616044302099853E-2</v>
      </c>
      <c r="J289" s="720" t="s">
        <v>257</v>
      </c>
      <c r="K289" s="615"/>
      <c r="M289" s="724" t="s">
        <v>938</v>
      </c>
      <c r="Q289" s="728">
        <v>5.0000000000000001E-3</v>
      </c>
    </row>
    <row r="290" spans="1:20" ht="11.25" customHeight="1">
      <c r="A290" s="615"/>
      <c r="B290" s="615"/>
      <c r="C290" s="615"/>
      <c r="D290" s="615"/>
      <c r="E290" s="621"/>
      <c r="F290" s="621"/>
      <c r="G290" s="621"/>
      <c r="H290" s="621"/>
      <c r="I290" s="615"/>
      <c r="J290" s="615"/>
      <c r="K290" s="615"/>
      <c r="M290" s="730"/>
      <c r="N290" s="731"/>
      <c r="O290" s="731"/>
      <c r="P290" s="731"/>
      <c r="Q290" s="732"/>
    </row>
    <row r="291" spans="1:20">
      <c r="A291" s="623"/>
      <c r="B291" s="616" t="s">
        <v>258</v>
      </c>
      <c r="C291" s="616"/>
      <c r="D291" s="616"/>
      <c r="E291" s="616"/>
      <c r="F291" s="616"/>
      <c r="G291" s="616"/>
      <c r="H291" s="616"/>
      <c r="I291" s="616"/>
      <c r="J291" s="616"/>
      <c r="K291" s="616"/>
    </row>
    <row r="292" spans="1:20" ht="11.25" customHeight="1" thickBot="1">
      <c r="A292" s="623"/>
      <c r="B292" s="616"/>
      <c r="C292" s="616"/>
      <c r="D292" s="616"/>
      <c r="E292" s="616"/>
      <c r="F292" s="616"/>
      <c r="G292" s="616"/>
      <c r="H292" s="616"/>
      <c r="I292" s="626" t="s">
        <v>259</v>
      </c>
      <c r="J292" s="623"/>
      <c r="K292" s="615"/>
    </row>
    <row r="293" spans="1:20">
      <c r="A293" s="623"/>
      <c r="B293" s="616" t="s">
        <v>260</v>
      </c>
      <c r="C293" s="616"/>
      <c r="D293" s="616" t="s">
        <v>261</v>
      </c>
      <c r="E293" s="616" t="s">
        <v>262</v>
      </c>
      <c r="F293" s="616"/>
      <c r="G293" s="733" t="s">
        <v>3</v>
      </c>
      <c r="H293" s="703"/>
      <c r="I293" s="615"/>
      <c r="J293" s="615"/>
      <c r="K293" s="615"/>
      <c r="L293" s="694"/>
      <c r="M293" s="694"/>
      <c r="N293" s="694"/>
      <c r="O293" s="694"/>
      <c r="P293" s="694"/>
      <c r="Q293" s="694"/>
      <c r="R293" s="694"/>
      <c r="S293" s="694"/>
      <c r="T293" s="694"/>
    </row>
    <row r="294" spans="1:20">
      <c r="A294" s="623">
        <v>31</v>
      </c>
      <c r="B294" s="615" t="s">
        <v>263</v>
      </c>
      <c r="C294" s="616"/>
      <c r="D294" s="616"/>
      <c r="E294" s="615"/>
      <c r="F294" s="616"/>
      <c r="G294" s="615"/>
      <c r="H294" s="703"/>
      <c r="I294" s="734">
        <v>0</v>
      </c>
      <c r="J294" s="735"/>
      <c r="K294" s="615"/>
    </row>
    <row r="295" spans="1:20" ht="16.5" thickBot="1">
      <c r="A295" s="623">
        <v>32</v>
      </c>
      <c r="B295" s="673" t="s">
        <v>264</v>
      </c>
      <c r="C295" s="700"/>
      <c r="D295" s="615"/>
      <c r="E295" s="616"/>
      <c r="F295" s="616"/>
      <c r="G295" s="616"/>
      <c r="H295" s="616"/>
      <c r="I295" s="736">
        <v>0</v>
      </c>
      <c r="J295" s="735"/>
      <c r="K295" s="615"/>
    </row>
    <row r="296" spans="1:20">
      <c r="A296" s="623">
        <v>33</v>
      </c>
      <c r="B296" s="615" t="s">
        <v>265</v>
      </c>
      <c r="C296" s="616"/>
      <c r="D296" s="615"/>
      <c r="E296" s="616"/>
      <c r="F296" s="616"/>
      <c r="G296" s="616"/>
      <c r="H296" s="616"/>
      <c r="I296" s="737">
        <f>I294-I295</f>
        <v>0</v>
      </c>
      <c r="J296" s="735"/>
      <c r="K296" s="615"/>
    </row>
    <row r="297" spans="1:20" ht="11.25" customHeight="1">
      <c r="A297" s="623"/>
      <c r="B297" s="615"/>
      <c r="C297" s="616"/>
      <c r="D297" s="615"/>
      <c r="E297" s="616"/>
      <c r="F297" s="616"/>
      <c r="G297" s="616"/>
      <c r="H297" s="616"/>
      <c r="I297" s="738"/>
      <c r="J297" s="615"/>
      <c r="K297" s="615"/>
      <c r="L297" s="615"/>
    </row>
    <row r="298" spans="1:20">
      <c r="A298" s="623">
        <v>34</v>
      </c>
      <c r="B298" s="616" t="s">
        <v>266</v>
      </c>
      <c r="C298" s="616"/>
      <c r="D298" s="615"/>
      <c r="E298" s="616"/>
      <c r="F298" s="616"/>
      <c r="G298" s="641"/>
      <c r="H298" s="616"/>
      <c r="I298" s="739">
        <f>ROUND('Revenue (pg.4)'!H17,0)</f>
        <v>1871321</v>
      </c>
      <c r="J298" s="615"/>
      <c r="K298" s="740"/>
      <c r="L298" s="671"/>
    </row>
    <row r="299" spans="1:20" ht="11.25" customHeight="1">
      <c r="A299" s="623"/>
      <c r="B299" s="615"/>
      <c r="C299" s="616"/>
      <c r="D299" s="616"/>
      <c r="E299" s="616"/>
      <c r="F299" s="616"/>
      <c r="G299" s="616"/>
      <c r="H299" s="616"/>
      <c r="I299" s="738"/>
      <c r="J299" s="615"/>
      <c r="K299" s="740"/>
      <c r="L299" s="671"/>
    </row>
    <row r="300" spans="1:20">
      <c r="A300" s="615"/>
      <c r="B300" s="616" t="s">
        <v>267</v>
      </c>
      <c r="C300" s="616"/>
      <c r="D300" s="616" t="s">
        <v>268</v>
      </c>
      <c r="E300" s="616"/>
      <c r="F300" s="616"/>
      <c r="G300" s="616"/>
      <c r="H300" s="616"/>
      <c r="I300" s="615"/>
      <c r="J300" s="615"/>
      <c r="K300" s="740"/>
      <c r="L300" s="671"/>
    </row>
    <row r="301" spans="1:20">
      <c r="A301" s="623">
        <v>35</v>
      </c>
      <c r="B301" s="616" t="s">
        <v>269</v>
      </c>
      <c r="C301" s="621"/>
      <c r="D301" s="621"/>
      <c r="E301" s="621"/>
      <c r="F301" s="621"/>
      <c r="G301" s="621"/>
      <c r="H301" s="621"/>
      <c r="I301" s="739">
        <f>ROUND('Revenue (pg.4)'!G17,0)</f>
        <v>1059272292</v>
      </c>
      <c r="J301" s="621"/>
      <c r="K301" s="740"/>
      <c r="L301" s="671"/>
    </row>
    <row r="302" spans="1:20">
      <c r="A302" s="623">
        <v>36</v>
      </c>
      <c r="B302" s="616" t="s">
        <v>270</v>
      </c>
      <c r="C302" s="616"/>
      <c r="D302" s="616"/>
      <c r="E302" s="616"/>
      <c r="F302" s="616"/>
      <c r="G302" s="616"/>
      <c r="H302" s="616"/>
      <c r="I302" s="739">
        <f>ROUND('Revenue (pg.4)'!C17,0)</f>
        <v>866532027</v>
      </c>
      <c r="J302" s="615"/>
      <c r="K302" s="675"/>
      <c r="L302" s="671"/>
    </row>
    <row r="303" spans="1:20">
      <c r="A303" s="692" t="s">
        <v>271</v>
      </c>
      <c r="B303" s="610" t="s">
        <v>272</v>
      </c>
      <c r="D303" s="616"/>
      <c r="E303" s="616"/>
      <c r="F303" s="616"/>
      <c r="G303" s="616"/>
      <c r="H303" s="616"/>
      <c r="I303" s="739">
        <f>ROUND('Revenue (pg.4)'!D17,0)</f>
        <v>103166562</v>
      </c>
      <c r="J303" s="615"/>
      <c r="K303" s="675"/>
      <c r="L303" s="671"/>
    </row>
    <row r="304" spans="1:20" s="694" customFormat="1" ht="16.5" thickBot="1">
      <c r="A304" s="692" t="s">
        <v>273</v>
      </c>
      <c r="B304" s="741" t="s">
        <v>274</v>
      </c>
      <c r="C304" s="741"/>
      <c r="D304" s="610"/>
      <c r="E304" s="610"/>
      <c r="F304" s="610"/>
      <c r="G304" s="610"/>
      <c r="H304" s="610"/>
      <c r="I304" s="742">
        <f>ROUND('Revenue (pg.4)'!E17,0)</f>
        <v>79573703</v>
      </c>
      <c r="J304" s="610"/>
      <c r="K304" s="743"/>
      <c r="L304" s="671"/>
      <c r="M304" s="610"/>
    </row>
    <row r="305" spans="1:12">
      <c r="A305" s="623">
        <v>37</v>
      </c>
      <c r="B305" s="610" t="s">
        <v>275</v>
      </c>
      <c r="C305" s="623"/>
      <c r="D305" s="621"/>
      <c r="E305" s="621"/>
      <c r="F305" s="621"/>
      <c r="G305" s="621"/>
      <c r="H305" s="616"/>
      <c r="I305" s="744">
        <f>I301-I302-I303-I304</f>
        <v>10000000</v>
      </c>
      <c r="J305" s="621"/>
      <c r="K305" s="621"/>
      <c r="L305" s="671"/>
    </row>
    <row r="306" spans="1:12">
      <c r="A306" s="623"/>
      <c r="B306" s="615"/>
      <c r="C306" s="623"/>
      <c r="D306" s="621"/>
      <c r="E306" s="621"/>
      <c r="F306" s="621"/>
      <c r="G306" s="621"/>
      <c r="H306" s="616"/>
      <c r="I306" s="738"/>
      <c r="J306" s="621"/>
      <c r="K306" s="621"/>
      <c r="L306" s="671"/>
    </row>
    <row r="307" spans="1:12">
      <c r="A307" s="623"/>
      <c r="B307" s="615"/>
      <c r="C307" s="623"/>
      <c r="D307" s="621"/>
      <c r="E307" s="621"/>
      <c r="F307" s="621"/>
      <c r="G307" s="621"/>
      <c r="H307" s="616"/>
      <c r="I307" s="738"/>
      <c r="J307" s="621"/>
      <c r="K307" s="621"/>
      <c r="L307" s="623"/>
    </row>
    <row r="308" spans="1:12">
      <c r="A308" s="623"/>
      <c r="B308" s="616"/>
      <c r="C308" s="616"/>
      <c r="D308" s="621"/>
      <c r="E308" s="621"/>
      <c r="F308" s="621"/>
      <c r="G308" s="621"/>
      <c r="H308" s="616"/>
      <c r="I308" s="621"/>
      <c r="J308" s="616"/>
      <c r="K308" s="675" t="s">
        <v>276</v>
      </c>
      <c r="L308" s="616"/>
    </row>
    <row r="309" spans="1:12">
      <c r="A309" s="623"/>
      <c r="B309" s="616"/>
      <c r="C309" s="616"/>
      <c r="D309" s="621"/>
      <c r="E309" s="621"/>
      <c r="F309" s="621"/>
      <c r="G309" s="621"/>
      <c r="H309" s="616"/>
      <c r="I309" s="621"/>
      <c r="J309" s="616"/>
      <c r="K309" s="621"/>
      <c r="L309" s="616"/>
    </row>
    <row r="310" spans="1:12">
      <c r="A310" s="623"/>
      <c r="B310" s="615" t="s">
        <v>1</v>
      </c>
      <c r="C310" s="623"/>
      <c r="D310" s="621" t="s">
        <v>2</v>
      </c>
      <c r="E310" s="621"/>
      <c r="F310" s="621"/>
      <c r="G310" s="621"/>
      <c r="H310" s="616"/>
      <c r="J310" s="615"/>
      <c r="K310" s="745" t="str">
        <f>K3</f>
        <v>For the 12 months ended 12/31/26</v>
      </c>
      <c r="L310" s="623"/>
    </row>
    <row r="311" spans="1:12">
      <c r="A311" s="623"/>
      <c r="B311" s="615"/>
      <c r="C311" s="623"/>
      <c r="D311" s="621" t="s">
        <v>4</v>
      </c>
      <c r="E311" s="621"/>
      <c r="F311" s="621"/>
      <c r="G311" s="621"/>
      <c r="H311" s="616"/>
      <c r="I311" s="738"/>
      <c r="J311" s="615"/>
      <c r="K311" s="621"/>
      <c r="L311" s="623"/>
    </row>
    <row r="312" spans="1:12">
      <c r="A312" s="623"/>
      <c r="B312" s="615"/>
      <c r="C312" s="623"/>
      <c r="D312" s="621"/>
      <c r="E312" s="621"/>
      <c r="F312" s="621"/>
      <c r="G312" s="621"/>
      <c r="H312" s="616"/>
      <c r="I312" s="738"/>
      <c r="J312" s="615"/>
      <c r="K312" s="621"/>
      <c r="L312" s="623"/>
    </row>
    <row r="313" spans="1:12">
      <c r="A313" s="998" t="str">
        <f>A6</f>
        <v>American Transmission Company LLC</v>
      </c>
      <c r="B313" s="998"/>
      <c r="C313" s="998"/>
      <c r="D313" s="998"/>
      <c r="E313" s="998"/>
      <c r="F313" s="998"/>
      <c r="G313" s="998"/>
      <c r="H313" s="998"/>
      <c r="I313" s="998"/>
      <c r="J313" s="998"/>
      <c r="K313" s="998"/>
      <c r="L313" s="623"/>
    </row>
    <row r="314" spans="1:12">
      <c r="A314" s="623"/>
      <c r="B314" s="615"/>
      <c r="C314" s="623"/>
      <c r="D314" s="621"/>
      <c r="E314" s="621"/>
      <c r="F314" s="621"/>
      <c r="G314" s="621"/>
      <c r="H314" s="616"/>
      <c r="I314" s="738"/>
      <c r="J314" s="615"/>
      <c r="K314" s="621"/>
      <c r="L314" s="623"/>
    </row>
    <row r="315" spans="1:12">
      <c r="A315" s="623"/>
      <c r="B315" s="616" t="s">
        <v>277</v>
      </c>
      <c r="C315" s="623"/>
      <c r="D315" s="621"/>
      <c r="E315" s="621"/>
      <c r="F315" s="621"/>
      <c r="G315" s="621"/>
      <c r="H315" s="616"/>
      <c r="I315" s="621"/>
      <c r="J315" s="616"/>
      <c r="K315" s="621"/>
      <c r="L315" s="623"/>
    </row>
    <row r="316" spans="1:12">
      <c r="A316" s="623"/>
      <c r="B316" s="746" t="s">
        <v>278</v>
      </c>
      <c r="C316" s="623"/>
      <c r="D316" s="621"/>
      <c r="E316" s="621"/>
      <c r="F316" s="621"/>
      <c r="G316" s="621"/>
      <c r="H316" s="616"/>
      <c r="I316" s="621"/>
      <c r="J316" s="616"/>
      <c r="K316" s="621"/>
      <c r="L316" s="623"/>
    </row>
    <row r="317" spans="1:12">
      <c r="A317" s="623" t="s">
        <v>279</v>
      </c>
      <c r="B317" s="616"/>
      <c r="C317" s="616"/>
      <c r="D317" s="621"/>
      <c r="E317" s="621"/>
      <c r="F317" s="621"/>
      <c r="G317" s="621"/>
      <c r="H317" s="616"/>
      <c r="I317" s="621"/>
      <c r="J317" s="616"/>
      <c r="K317" s="621"/>
      <c r="L317" s="623"/>
    </row>
    <row r="318" spans="1:12" ht="16.5" thickBot="1">
      <c r="A318" s="626" t="s">
        <v>280</v>
      </c>
      <c r="B318" s="1000"/>
      <c r="C318" s="1000"/>
      <c r="D318" s="747"/>
      <c r="E318" s="747"/>
      <c r="F318" s="747"/>
      <c r="G318" s="747"/>
      <c r="H318" s="748"/>
      <c r="I318" s="747"/>
      <c r="J318" s="748"/>
      <c r="K318" s="747"/>
      <c r="L318" s="623"/>
    </row>
    <row r="319" spans="1:12" s="750" customFormat="1">
      <c r="A319" s="909" t="s">
        <v>281</v>
      </c>
      <c r="B319" s="990" t="s">
        <v>282</v>
      </c>
      <c r="C319" s="990"/>
      <c r="D319" s="990"/>
      <c r="E319" s="990"/>
      <c r="F319" s="990"/>
      <c r="G319" s="990"/>
      <c r="H319" s="990"/>
      <c r="I319" s="990"/>
      <c r="J319" s="990"/>
      <c r="K319" s="990"/>
      <c r="L319" s="749"/>
    </row>
    <row r="320" spans="1:12" s="750" customFormat="1">
      <c r="A320" s="909" t="s">
        <v>283</v>
      </c>
      <c r="B320" s="990" t="s">
        <v>284</v>
      </c>
      <c r="C320" s="990"/>
      <c r="D320" s="990"/>
      <c r="E320" s="990"/>
      <c r="F320" s="990"/>
      <c r="G320" s="990"/>
      <c r="H320" s="990"/>
      <c r="I320" s="990"/>
      <c r="J320" s="990"/>
      <c r="K320" s="990"/>
      <c r="L320" s="749"/>
    </row>
    <row r="321" spans="1:16" s="750" customFormat="1">
      <c r="A321" s="909" t="s">
        <v>285</v>
      </c>
      <c r="B321" s="990" t="s">
        <v>286</v>
      </c>
      <c r="C321" s="990"/>
      <c r="D321" s="990"/>
      <c r="E321" s="990"/>
      <c r="F321" s="990"/>
      <c r="G321" s="990"/>
      <c r="H321" s="990"/>
      <c r="I321" s="990"/>
      <c r="J321" s="990"/>
      <c r="K321" s="990"/>
      <c r="L321" s="751"/>
    </row>
    <row r="322" spans="1:16" s="750" customFormat="1">
      <c r="A322" s="909" t="s">
        <v>287</v>
      </c>
      <c r="B322" s="990" t="s">
        <v>286</v>
      </c>
      <c r="C322" s="990"/>
      <c r="D322" s="990"/>
      <c r="E322" s="990"/>
      <c r="F322" s="990"/>
      <c r="G322" s="990"/>
      <c r="H322" s="990"/>
      <c r="I322" s="990"/>
      <c r="J322" s="990"/>
      <c r="K322" s="990"/>
      <c r="L322" s="751"/>
    </row>
    <row r="323" spans="1:16" s="750" customFormat="1">
      <c r="A323" s="909" t="s">
        <v>288</v>
      </c>
      <c r="B323" s="990" t="s">
        <v>289</v>
      </c>
      <c r="C323" s="990"/>
      <c r="D323" s="990"/>
      <c r="E323" s="990"/>
      <c r="F323" s="990"/>
      <c r="G323" s="990"/>
      <c r="H323" s="990"/>
      <c r="I323" s="990"/>
      <c r="J323" s="990"/>
      <c r="K323" s="990"/>
      <c r="L323" s="749"/>
    </row>
    <row r="324" spans="1:16" s="750" customFormat="1" ht="54.75" customHeight="1">
      <c r="A324" s="909" t="s">
        <v>290</v>
      </c>
      <c r="B324" s="990" t="s">
        <v>291</v>
      </c>
      <c r="C324" s="990"/>
      <c r="D324" s="990"/>
      <c r="E324" s="990"/>
      <c r="F324" s="990"/>
      <c r="G324" s="990"/>
      <c r="H324" s="990"/>
      <c r="I324" s="990"/>
      <c r="J324" s="990"/>
      <c r="K324" s="990"/>
      <c r="L324" s="749"/>
    </row>
    <row r="325" spans="1:16" s="750" customFormat="1">
      <c r="A325" s="909" t="s">
        <v>292</v>
      </c>
      <c r="B325" s="990" t="s">
        <v>293</v>
      </c>
      <c r="C325" s="990"/>
      <c r="D325" s="990"/>
      <c r="E325" s="990"/>
      <c r="F325" s="990"/>
      <c r="G325" s="990"/>
      <c r="H325" s="990"/>
      <c r="I325" s="990"/>
      <c r="J325" s="990"/>
      <c r="K325" s="990"/>
      <c r="L325" s="749"/>
    </row>
    <row r="326" spans="1:16" s="750" customFormat="1" ht="32.25" customHeight="1">
      <c r="A326" s="909" t="s">
        <v>294</v>
      </c>
      <c r="B326" s="990" t="s">
        <v>295</v>
      </c>
      <c r="C326" s="990"/>
      <c r="D326" s="990"/>
      <c r="E326" s="990"/>
      <c r="F326" s="990"/>
      <c r="G326" s="990"/>
      <c r="H326" s="990"/>
      <c r="I326" s="990"/>
      <c r="J326" s="990"/>
      <c r="K326" s="990"/>
      <c r="L326" s="749"/>
    </row>
    <row r="327" spans="1:16" s="750" customFormat="1" ht="32.25" customHeight="1">
      <c r="A327" s="909" t="s">
        <v>296</v>
      </c>
      <c r="B327" s="990" t="s">
        <v>297</v>
      </c>
      <c r="C327" s="990"/>
      <c r="D327" s="990"/>
      <c r="E327" s="990"/>
      <c r="F327" s="990"/>
      <c r="G327" s="990"/>
      <c r="H327" s="990"/>
      <c r="I327" s="990"/>
      <c r="J327" s="990"/>
      <c r="K327" s="990"/>
      <c r="L327" s="749"/>
    </row>
    <row r="328" spans="1:16" s="750" customFormat="1" ht="32.25" customHeight="1">
      <c r="A328" s="909" t="s">
        <v>298</v>
      </c>
      <c r="B328" s="990" t="s">
        <v>299</v>
      </c>
      <c r="C328" s="990"/>
      <c r="D328" s="990"/>
      <c r="E328" s="990"/>
      <c r="F328" s="990"/>
      <c r="G328" s="990"/>
      <c r="H328" s="990"/>
      <c r="I328" s="990"/>
      <c r="J328" s="990"/>
      <c r="K328" s="990"/>
      <c r="L328" s="749"/>
    </row>
    <row r="329" spans="1:16" s="750" customFormat="1" ht="94.5" customHeight="1">
      <c r="A329" s="909" t="s">
        <v>300</v>
      </c>
      <c r="B329" s="990" t="s">
        <v>937</v>
      </c>
      <c r="C329" s="990"/>
      <c r="D329" s="990"/>
      <c r="E329" s="990"/>
      <c r="F329" s="990"/>
      <c r="G329" s="990"/>
      <c r="H329" s="990"/>
      <c r="I329" s="990"/>
      <c r="J329" s="990"/>
      <c r="K329" s="990"/>
      <c r="L329" s="749"/>
    </row>
    <row r="330" spans="1:16">
      <c r="A330" s="910" t="s">
        <v>3</v>
      </c>
      <c r="B330" s="616" t="s">
        <v>301</v>
      </c>
      <c r="C330" s="616" t="s">
        <v>302</v>
      </c>
      <c r="D330" s="752">
        <f>'SIT (pg. 5)'!C26</f>
        <v>0.21</v>
      </c>
      <c r="E330" s="616"/>
      <c r="F330" s="616"/>
      <c r="G330" s="616"/>
      <c r="H330" s="616"/>
      <c r="I330" s="616"/>
      <c r="J330" s="616"/>
      <c r="K330" s="616"/>
      <c r="L330" s="623"/>
      <c r="P330" s="753"/>
    </row>
    <row r="331" spans="1:16">
      <c r="A331" s="910"/>
      <c r="B331" s="616"/>
      <c r="C331" s="616" t="s">
        <v>303</v>
      </c>
      <c r="D331" s="752">
        <f>'SIT (pg. 5)'!C37</f>
        <v>7.4003450600000006E-2</v>
      </c>
      <c r="E331" s="616" t="s">
        <v>304</v>
      </c>
      <c r="F331" s="616"/>
      <c r="G331" s="616"/>
      <c r="H331" s="616"/>
      <c r="I331" s="616"/>
      <c r="J331" s="616"/>
      <c r="K331" s="616"/>
      <c r="L331" s="623"/>
      <c r="P331" s="753"/>
    </row>
    <row r="332" spans="1:16">
      <c r="A332" s="910"/>
      <c r="B332" s="616"/>
      <c r="C332" s="616" t="s">
        <v>305</v>
      </c>
      <c r="D332" s="752">
        <v>0</v>
      </c>
      <c r="E332" s="616" t="s">
        <v>306</v>
      </c>
      <c r="F332" s="616"/>
      <c r="G332" s="616"/>
      <c r="H332" s="616"/>
      <c r="I332" s="616"/>
      <c r="J332" s="616"/>
      <c r="K332" s="616"/>
      <c r="L332" s="623"/>
      <c r="P332" s="753"/>
    </row>
    <row r="333" spans="1:16">
      <c r="A333" s="910"/>
      <c r="B333" s="616"/>
      <c r="C333" s="616" t="s">
        <v>307</v>
      </c>
      <c r="D333" s="752">
        <f>'TEP (pg. 5)'!D24</f>
        <v>9.2191074099685355E-2</v>
      </c>
      <c r="E333" s="616" t="s">
        <v>308</v>
      </c>
      <c r="F333" s="616"/>
      <c r="G333" s="616"/>
      <c r="H333" s="616"/>
      <c r="I333" s="616"/>
      <c r="J333" s="616"/>
      <c r="K333" s="616"/>
      <c r="L333" s="623"/>
      <c r="P333" s="753"/>
    </row>
    <row r="334" spans="1:16" ht="50.25" customHeight="1">
      <c r="A334" s="909" t="s">
        <v>309</v>
      </c>
      <c r="B334" s="990" t="s">
        <v>936</v>
      </c>
      <c r="C334" s="990"/>
      <c r="D334" s="990"/>
      <c r="E334" s="990"/>
      <c r="F334" s="990"/>
      <c r="G334" s="990"/>
      <c r="H334" s="990"/>
      <c r="I334" s="990"/>
      <c r="J334" s="990"/>
      <c r="K334" s="990"/>
      <c r="L334" s="623"/>
    </row>
    <row r="335" spans="1:16" ht="32.25" customHeight="1">
      <c r="A335" s="909" t="s">
        <v>310</v>
      </c>
      <c r="B335" s="990" t="s">
        <v>311</v>
      </c>
      <c r="C335" s="990"/>
      <c r="D335" s="990"/>
      <c r="E335" s="990"/>
      <c r="F335" s="990"/>
      <c r="G335" s="990"/>
      <c r="H335" s="990"/>
      <c r="I335" s="990"/>
      <c r="J335" s="990"/>
      <c r="K335" s="990"/>
      <c r="L335" s="623"/>
    </row>
    <row r="336" spans="1:16" ht="51" customHeight="1">
      <c r="A336" s="909" t="s">
        <v>312</v>
      </c>
      <c r="B336" s="990" t="s">
        <v>313</v>
      </c>
      <c r="C336" s="990"/>
      <c r="D336" s="990"/>
      <c r="E336" s="990"/>
      <c r="F336" s="990"/>
      <c r="G336" s="990"/>
      <c r="H336" s="990"/>
      <c r="I336" s="990"/>
      <c r="J336" s="990"/>
      <c r="K336" s="990"/>
      <c r="L336" s="623"/>
    </row>
    <row r="337" spans="1:12">
      <c r="A337" s="909" t="s">
        <v>314</v>
      </c>
      <c r="B337" s="990" t="s">
        <v>315</v>
      </c>
      <c r="C337" s="990"/>
      <c r="D337" s="990"/>
      <c r="E337" s="990"/>
      <c r="F337" s="990"/>
      <c r="G337" s="990"/>
      <c r="H337" s="990"/>
      <c r="I337" s="990"/>
      <c r="J337" s="990"/>
      <c r="K337" s="990"/>
      <c r="L337" s="623"/>
    </row>
    <row r="338" spans="1:12" ht="63.6" customHeight="1">
      <c r="A338" s="909" t="s">
        <v>316</v>
      </c>
      <c r="B338" s="995" t="s">
        <v>935</v>
      </c>
      <c r="C338" s="990"/>
      <c r="D338" s="990"/>
      <c r="E338" s="990"/>
      <c r="F338" s="990"/>
      <c r="G338" s="990"/>
      <c r="H338" s="990"/>
      <c r="I338" s="990"/>
      <c r="J338" s="990"/>
      <c r="K338" s="990"/>
      <c r="L338" s="623"/>
    </row>
    <row r="339" spans="1:12" ht="32.25" customHeight="1">
      <c r="A339" s="909" t="s">
        <v>317</v>
      </c>
      <c r="B339" s="990" t="s">
        <v>318</v>
      </c>
      <c r="C339" s="990"/>
      <c r="D339" s="990"/>
      <c r="E339" s="990"/>
      <c r="F339" s="990"/>
      <c r="G339" s="990"/>
      <c r="H339" s="990"/>
      <c r="I339" s="990"/>
      <c r="J339" s="990"/>
      <c r="K339" s="990"/>
      <c r="L339" s="623"/>
    </row>
    <row r="340" spans="1:12">
      <c r="A340" s="909" t="s">
        <v>319</v>
      </c>
      <c r="B340" s="990" t="s">
        <v>320</v>
      </c>
      <c r="C340" s="990"/>
      <c r="D340" s="990"/>
      <c r="E340" s="990"/>
      <c r="F340" s="990"/>
      <c r="G340" s="990"/>
      <c r="H340" s="990"/>
      <c r="I340" s="990"/>
      <c r="J340" s="990"/>
      <c r="K340" s="990"/>
      <c r="L340" s="623"/>
    </row>
    <row r="341" spans="1:12" ht="48" customHeight="1">
      <c r="A341" s="909" t="s">
        <v>321</v>
      </c>
      <c r="B341" s="990" t="s">
        <v>322</v>
      </c>
      <c r="C341" s="990"/>
      <c r="D341" s="990"/>
      <c r="E341" s="990"/>
      <c r="F341" s="990"/>
      <c r="G341" s="990"/>
      <c r="H341" s="990"/>
      <c r="I341" s="990"/>
      <c r="J341" s="990"/>
      <c r="K341" s="990"/>
      <c r="L341" s="623"/>
    </row>
    <row r="342" spans="1:12" ht="62.25" customHeight="1">
      <c r="A342" s="911" t="s">
        <v>323</v>
      </c>
      <c r="B342" s="993" t="s">
        <v>324</v>
      </c>
      <c r="C342" s="990"/>
      <c r="D342" s="990"/>
      <c r="E342" s="990"/>
      <c r="F342" s="990"/>
      <c r="G342" s="990"/>
      <c r="H342" s="990"/>
      <c r="I342" s="990"/>
      <c r="J342" s="990"/>
      <c r="K342" s="990"/>
      <c r="L342" s="616"/>
    </row>
    <row r="343" spans="1:12" ht="32.25" customHeight="1">
      <c r="A343" s="911" t="s">
        <v>325</v>
      </c>
      <c r="B343" s="990" t="s">
        <v>326</v>
      </c>
      <c r="C343" s="990"/>
      <c r="D343" s="990"/>
      <c r="E343" s="990"/>
      <c r="F343" s="990"/>
      <c r="G343" s="990"/>
      <c r="H343" s="990"/>
      <c r="I343" s="990"/>
      <c r="J343" s="990"/>
      <c r="K343" s="990"/>
      <c r="L343" s="616"/>
    </row>
    <row r="344" spans="1:12">
      <c r="A344" s="912" t="s">
        <v>327</v>
      </c>
      <c r="B344" s="994" t="s">
        <v>328</v>
      </c>
      <c r="C344" s="992"/>
      <c r="D344" s="992"/>
      <c r="E344" s="992"/>
      <c r="F344" s="992"/>
      <c r="G344" s="992"/>
      <c r="H344" s="992"/>
      <c r="I344" s="992"/>
      <c r="J344" s="992"/>
      <c r="K344" s="992"/>
      <c r="L344" s="623"/>
    </row>
    <row r="345" spans="1:12">
      <c r="A345" s="912" t="s">
        <v>329</v>
      </c>
      <c r="B345" s="992" t="s">
        <v>330</v>
      </c>
      <c r="C345" s="992"/>
      <c r="D345" s="992"/>
      <c r="E345" s="992"/>
      <c r="F345" s="992"/>
      <c r="G345" s="992"/>
      <c r="H345" s="992"/>
      <c r="I345" s="992"/>
      <c r="J345" s="992"/>
      <c r="K345" s="992"/>
      <c r="L345" s="623"/>
    </row>
    <row r="346" spans="1:12" s="754" customFormat="1" ht="32.25" customHeight="1">
      <c r="A346" s="912" t="s">
        <v>331</v>
      </c>
      <c r="B346" s="992" t="s">
        <v>934</v>
      </c>
      <c r="C346" s="992"/>
      <c r="D346" s="992"/>
      <c r="E346" s="992"/>
      <c r="F346" s="992"/>
      <c r="G346" s="992"/>
      <c r="H346" s="992"/>
      <c r="I346" s="992"/>
      <c r="J346" s="992"/>
      <c r="K346" s="992"/>
    </row>
    <row r="347" spans="1:12" s="754" customFormat="1" ht="32.25" customHeight="1">
      <c r="A347" s="912" t="s">
        <v>332</v>
      </c>
      <c r="B347" s="992" t="s">
        <v>933</v>
      </c>
      <c r="C347" s="992"/>
      <c r="D347" s="992"/>
      <c r="E347" s="992"/>
      <c r="F347" s="992"/>
      <c r="G347" s="992"/>
      <c r="H347" s="992"/>
      <c r="I347" s="992"/>
      <c r="J347" s="992"/>
      <c r="K347" s="992"/>
    </row>
    <row r="348" spans="1:12" ht="36.75" customHeight="1">
      <c r="A348" s="908" t="s">
        <v>333</v>
      </c>
      <c r="B348" s="992" t="s">
        <v>932</v>
      </c>
      <c r="C348" s="992"/>
      <c r="D348" s="992"/>
      <c r="E348" s="992"/>
      <c r="F348" s="992"/>
      <c r="G348" s="992"/>
      <c r="H348" s="992"/>
      <c r="I348" s="992"/>
      <c r="J348" s="992"/>
      <c r="K348" s="992"/>
      <c r="L348" s="623"/>
    </row>
    <row r="349" spans="1:12" ht="33.75" customHeight="1">
      <c r="A349" s="912" t="s">
        <v>334</v>
      </c>
      <c r="B349" s="992" t="s">
        <v>931</v>
      </c>
      <c r="C349" s="992"/>
      <c r="D349" s="992"/>
      <c r="E349" s="992"/>
      <c r="F349" s="992"/>
      <c r="G349" s="992"/>
      <c r="H349" s="992"/>
      <c r="I349" s="992"/>
      <c r="J349" s="992"/>
      <c r="K349" s="992"/>
      <c r="L349" s="623"/>
    </row>
    <row r="350" spans="1:12" ht="36" customHeight="1">
      <c r="A350" s="912" t="s">
        <v>335</v>
      </c>
      <c r="B350" s="992" t="s">
        <v>930</v>
      </c>
      <c r="C350" s="992"/>
      <c r="D350" s="992"/>
      <c r="E350" s="992"/>
      <c r="F350" s="992"/>
      <c r="G350" s="992"/>
      <c r="H350" s="992"/>
      <c r="I350" s="992"/>
      <c r="J350" s="992"/>
      <c r="K350" s="992"/>
      <c r="L350" s="623"/>
    </row>
    <row r="351" spans="1:12">
      <c r="A351" s="908" t="s">
        <v>336</v>
      </c>
      <c r="B351" s="915" t="s">
        <v>337</v>
      </c>
      <c r="C351" s="915"/>
      <c r="D351" s="915"/>
      <c r="E351" s="915"/>
      <c r="F351" s="915"/>
      <c r="G351" s="915"/>
      <c r="H351" s="916"/>
      <c r="I351" s="917"/>
      <c r="J351" s="918"/>
      <c r="K351" s="918"/>
      <c r="L351" s="623"/>
    </row>
    <row r="352" spans="1:12" ht="31.5" customHeight="1">
      <c r="A352" s="908" t="s">
        <v>929</v>
      </c>
      <c r="B352" s="992" t="s">
        <v>928</v>
      </c>
      <c r="C352" s="992"/>
      <c r="D352" s="992"/>
      <c r="E352" s="992"/>
      <c r="F352" s="992"/>
      <c r="G352" s="992"/>
      <c r="H352" s="992"/>
      <c r="I352" s="992"/>
      <c r="J352" s="992"/>
      <c r="K352" s="992"/>
      <c r="L352" s="623"/>
    </row>
    <row r="353" spans="1:12" ht="36.75" customHeight="1">
      <c r="A353" s="908" t="s">
        <v>927</v>
      </c>
      <c r="B353" s="991" t="s">
        <v>926</v>
      </c>
      <c r="C353" s="991"/>
      <c r="D353" s="991"/>
      <c r="E353" s="991"/>
      <c r="F353" s="991"/>
      <c r="G353" s="991"/>
      <c r="H353" s="991"/>
      <c r="I353" s="991"/>
      <c r="J353" s="991"/>
      <c r="K353" s="991"/>
      <c r="L353" s="623"/>
    </row>
    <row r="354" spans="1:12" ht="15.75" customHeight="1">
      <c r="A354" s="913" t="s">
        <v>1110</v>
      </c>
      <c r="B354" s="991" t="s">
        <v>1111</v>
      </c>
      <c r="C354" s="991"/>
      <c r="D354" s="991"/>
      <c r="E354" s="991"/>
      <c r="F354" s="991"/>
      <c r="G354" s="991"/>
      <c r="H354" s="991"/>
      <c r="I354" s="991"/>
      <c r="J354" s="991"/>
      <c r="K354" s="991"/>
      <c r="L354" s="755"/>
    </row>
    <row r="355" spans="1:12" ht="30.75" customHeight="1">
      <c r="A355" s="914" t="s">
        <v>1112</v>
      </c>
      <c r="B355" s="991" t="s">
        <v>1113</v>
      </c>
      <c r="C355" s="991"/>
      <c r="D355" s="991"/>
      <c r="E355" s="991"/>
      <c r="F355" s="991"/>
      <c r="G355" s="991"/>
      <c r="H355" s="991"/>
      <c r="I355" s="991"/>
      <c r="J355" s="991"/>
      <c r="K355" s="991"/>
      <c r="L355" s="756"/>
    </row>
    <row r="356" spans="1:12">
      <c r="A356" s="915"/>
    </row>
    <row r="357" spans="1:12">
      <c r="A357" s="915"/>
    </row>
  </sheetData>
  <sheetProtection formatCells="0" formatColumns="0"/>
  <mergeCells count="40">
    <mergeCell ref="B321:K321"/>
    <mergeCell ref="B334:K334"/>
    <mergeCell ref="B318:C318"/>
    <mergeCell ref="B319:K319"/>
    <mergeCell ref="B320:K320"/>
    <mergeCell ref="B325:K325"/>
    <mergeCell ref="A6:K6"/>
    <mergeCell ref="A80:K80"/>
    <mergeCell ref="A158:K158"/>
    <mergeCell ref="A231:K231"/>
    <mergeCell ref="A313:K313"/>
    <mergeCell ref="B219:C219"/>
    <mergeCell ref="B215:C215"/>
    <mergeCell ref="B336:K336"/>
    <mergeCell ref="B323:K323"/>
    <mergeCell ref="B322:K322"/>
    <mergeCell ref="B339:K339"/>
    <mergeCell ref="B329:K329"/>
    <mergeCell ref="B328:K328"/>
    <mergeCell ref="B327:K327"/>
    <mergeCell ref="B326:K326"/>
    <mergeCell ref="B337:K337"/>
    <mergeCell ref="B324:K324"/>
    <mergeCell ref="B338:K338"/>
    <mergeCell ref="B335:K335"/>
    <mergeCell ref="B340:K340"/>
    <mergeCell ref="B355:K355"/>
    <mergeCell ref="B353:K353"/>
    <mergeCell ref="B350:K350"/>
    <mergeCell ref="B341:K341"/>
    <mergeCell ref="B348:K348"/>
    <mergeCell ref="B343:K343"/>
    <mergeCell ref="B342:K342"/>
    <mergeCell ref="B349:K349"/>
    <mergeCell ref="B347:K347"/>
    <mergeCell ref="B346:K346"/>
    <mergeCell ref="B345:K345"/>
    <mergeCell ref="B344:K344"/>
    <mergeCell ref="B354:K354"/>
    <mergeCell ref="B352:K352"/>
  </mergeCells>
  <pageMargins left="0.5" right="0.5" top="0.75" bottom="0.75" header="0.5" footer="0.5"/>
  <pageSetup scale="55" fitToHeight="0" orientation="portrait" r:id="rId1"/>
  <headerFooter alignWithMargins="0">
    <oddFooter>&amp;R&amp;K01+000V44&amp;K000000
EFF 01.01.22</oddFooter>
  </headerFooter>
  <rowBreaks count="4" manualBreakCount="4">
    <brk id="74" max="10" man="1"/>
    <brk id="152" max="10" man="1"/>
    <brk id="225" max="10" man="1"/>
    <brk id="307"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A8DF5-D96C-4E69-B9C4-B70A791B6288}">
  <dimension ref="B1:F42"/>
  <sheetViews>
    <sheetView workbookViewId="0">
      <selection activeCell="C24" sqref="C24"/>
    </sheetView>
  </sheetViews>
  <sheetFormatPr defaultRowHeight="15"/>
  <cols>
    <col min="2" max="2" width="16.7109375" customWidth="1"/>
    <col min="3" max="5" width="23.5703125" customWidth="1"/>
    <col min="6" max="6" width="5.42578125" customWidth="1"/>
    <col min="7" max="7" width="23.5703125" customWidth="1"/>
  </cols>
  <sheetData>
    <row r="1" spans="2:6">
      <c r="B1" s="466"/>
      <c r="C1" s="423"/>
      <c r="D1" s="423"/>
      <c r="E1" s="423"/>
      <c r="F1" s="423"/>
    </row>
    <row r="2" spans="2:6" s="51" customFormat="1" ht="12.75">
      <c r="B2" s="983" t="s">
        <v>1288</v>
      </c>
      <c r="C2" s="47"/>
    </row>
    <row r="3" spans="2:6" s="51" customFormat="1" ht="12.75">
      <c r="B3" s="983" t="s">
        <v>1289</v>
      </c>
      <c r="C3" s="47"/>
    </row>
    <row r="4" spans="2:6">
      <c r="B4" s="471"/>
      <c r="C4" s="546"/>
      <c r="D4" s="546"/>
      <c r="E4" s="546"/>
      <c r="F4" s="546"/>
    </row>
    <row r="5" spans="2:6">
      <c r="B5" s="8" t="s">
        <v>349</v>
      </c>
      <c r="C5" s="468"/>
      <c r="D5" s="468"/>
      <c r="E5" s="468"/>
      <c r="F5" s="468"/>
    </row>
    <row r="6" spans="2:6">
      <c r="B6" s="8" t="s">
        <v>1246</v>
      </c>
      <c r="C6" s="468"/>
      <c r="D6" s="468"/>
      <c r="E6" s="468"/>
      <c r="F6" s="468"/>
    </row>
    <row r="7" spans="2:6">
      <c r="B7" s="8" t="s">
        <v>1149</v>
      </c>
      <c r="C7" s="468"/>
      <c r="D7" s="468"/>
      <c r="E7" s="468"/>
      <c r="F7" s="468"/>
    </row>
    <row r="8" spans="2:6">
      <c r="B8" s="471"/>
      <c r="C8" s="18"/>
      <c r="D8" s="18"/>
      <c r="E8" s="18"/>
      <c r="F8" s="18"/>
    </row>
    <row r="9" spans="2:6" ht="38.25">
      <c r="B9" s="12" t="s">
        <v>348</v>
      </c>
      <c r="C9" s="13" t="s">
        <v>1145</v>
      </c>
      <c r="D9" s="13" t="s">
        <v>1146</v>
      </c>
      <c r="E9" s="13" t="s">
        <v>1147</v>
      </c>
      <c r="F9" s="13"/>
    </row>
    <row r="10" spans="2:6">
      <c r="B10" s="471" t="s">
        <v>351</v>
      </c>
      <c r="C10" s="473"/>
      <c r="D10" s="473"/>
      <c r="E10" s="474"/>
      <c r="F10" s="13"/>
    </row>
    <row r="11" spans="2:6">
      <c r="B11" s="512">
        <v>45992</v>
      </c>
      <c r="C11" s="475">
        <v>244323418</v>
      </c>
      <c r="D11" s="475">
        <v>62729955</v>
      </c>
      <c r="E11" s="475">
        <v>181593463</v>
      </c>
      <c r="F11" s="13"/>
    </row>
    <row r="12" spans="2:6">
      <c r="B12" s="512">
        <v>46023</v>
      </c>
      <c r="C12" s="475">
        <v>244323418</v>
      </c>
      <c r="D12" s="475">
        <v>62729955</v>
      </c>
      <c r="E12" s="475">
        <v>181593463</v>
      </c>
      <c r="F12" s="13"/>
    </row>
    <row r="13" spans="2:6">
      <c r="B13" s="513">
        <v>46054</v>
      </c>
      <c r="C13" s="475">
        <v>244323418</v>
      </c>
      <c r="D13" s="475">
        <v>62729955</v>
      </c>
      <c r="E13" s="475">
        <v>181593463</v>
      </c>
      <c r="F13" s="13"/>
    </row>
    <row r="14" spans="2:6">
      <c r="B14" s="513">
        <v>46082</v>
      </c>
      <c r="C14" s="475">
        <v>244323418</v>
      </c>
      <c r="D14" s="475">
        <v>62729955</v>
      </c>
      <c r="E14" s="475">
        <v>181593463</v>
      </c>
      <c r="F14" s="13"/>
    </row>
    <row r="15" spans="2:6">
      <c r="B15" s="513">
        <v>46113</v>
      </c>
      <c r="C15" s="475">
        <v>244323418</v>
      </c>
      <c r="D15" s="475">
        <v>62729955</v>
      </c>
      <c r="E15" s="475">
        <v>181593463</v>
      </c>
      <c r="F15" s="13"/>
    </row>
    <row r="16" spans="2:6">
      <c r="B16" s="513">
        <v>46143</v>
      </c>
      <c r="C16" s="475">
        <v>244323418</v>
      </c>
      <c r="D16" s="475">
        <v>62729955</v>
      </c>
      <c r="E16" s="475">
        <v>181593463</v>
      </c>
      <c r="F16" s="13"/>
    </row>
    <row r="17" spans="2:6">
      <c r="B17" s="513">
        <v>46174</v>
      </c>
      <c r="C17" s="475">
        <v>244323418</v>
      </c>
      <c r="D17" s="475">
        <v>62729955</v>
      </c>
      <c r="E17" s="475">
        <v>181593463</v>
      </c>
      <c r="F17" s="13"/>
    </row>
    <row r="18" spans="2:6">
      <c r="B18" s="513">
        <v>46204</v>
      </c>
      <c r="C18" s="475">
        <v>244323418</v>
      </c>
      <c r="D18" s="475">
        <v>62729955</v>
      </c>
      <c r="E18" s="475">
        <v>181593463</v>
      </c>
      <c r="F18" s="13"/>
    </row>
    <row r="19" spans="2:6">
      <c r="B19" s="513">
        <v>46235</v>
      </c>
      <c r="C19" s="475">
        <v>244323418</v>
      </c>
      <c r="D19" s="475">
        <v>62729955</v>
      </c>
      <c r="E19" s="475">
        <v>181593463</v>
      </c>
      <c r="F19" s="13"/>
    </row>
    <row r="20" spans="2:6">
      <c r="B20" s="513">
        <v>46266</v>
      </c>
      <c r="C20" s="475">
        <v>244323418</v>
      </c>
      <c r="D20" s="475">
        <v>62729955</v>
      </c>
      <c r="E20" s="475">
        <v>181593463</v>
      </c>
      <c r="F20" s="13"/>
    </row>
    <row r="21" spans="2:6">
      <c r="B21" s="513">
        <v>46296</v>
      </c>
      <c r="C21" s="475">
        <v>244323418</v>
      </c>
      <c r="D21" s="475">
        <v>62729955</v>
      </c>
      <c r="E21" s="475">
        <v>181593463</v>
      </c>
      <c r="F21" s="13"/>
    </row>
    <row r="22" spans="2:6">
      <c r="B22" s="513">
        <v>46327</v>
      </c>
      <c r="C22" s="475">
        <v>244323418</v>
      </c>
      <c r="D22" s="475">
        <v>62729955</v>
      </c>
      <c r="E22" s="475">
        <v>181593463</v>
      </c>
      <c r="F22" s="13"/>
    </row>
    <row r="23" spans="2:6">
      <c r="B23" s="512">
        <v>46357</v>
      </c>
      <c r="C23" s="475">
        <v>244323418</v>
      </c>
      <c r="D23" s="475">
        <v>62729955</v>
      </c>
      <c r="E23" s="475">
        <v>181593463</v>
      </c>
      <c r="F23" s="13"/>
    </row>
    <row r="24" spans="2:6" ht="15.75" thickBot="1">
      <c r="B24" s="469" t="s">
        <v>352</v>
      </c>
      <c r="C24" s="517">
        <f>SUM(C11:C23)/13</f>
        <v>244323418</v>
      </c>
      <c r="D24" s="517">
        <f t="shared" ref="D24:E24" si="0">SUM(D11:D23)/13</f>
        <v>62729955</v>
      </c>
      <c r="E24" s="517">
        <f t="shared" si="0"/>
        <v>181593463</v>
      </c>
      <c r="F24" s="13"/>
    </row>
    <row r="25" spans="2:6" ht="15.75" thickTop="1">
      <c r="F25" s="13"/>
    </row>
    <row r="26" spans="2:6" ht="38.25">
      <c r="C26" s="13" t="s">
        <v>1148</v>
      </c>
    </row>
    <row r="27" spans="2:6">
      <c r="C27" s="474"/>
    </row>
    <row r="28" spans="2:6">
      <c r="C28" s="475"/>
    </row>
    <row r="29" spans="2:6">
      <c r="B29" s="512">
        <v>46023</v>
      </c>
      <c r="C29" s="475">
        <v>1467769</v>
      </c>
    </row>
    <row r="30" spans="2:6">
      <c r="B30" s="513">
        <v>46054</v>
      </c>
      <c r="C30" s="475">
        <v>1467769</v>
      </c>
    </row>
    <row r="31" spans="2:6">
      <c r="B31" s="513">
        <v>46082</v>
      </c>
      <c r="C31" s="475">
        <v>1467769</v>
      </c>
    </row>
    <row r="32" spans="2:6">
      <c r="B32" s="513">
        <v>46113</v>
      </c>
      <c r="C32" s="475">
        <v>1467769</v>
      </c>
    </row>
    <row r="33" spans="2:3">
      <c r="B33" s="513">
        <v>46143</v>
      </c>
      <c r="C33" s="475">
        <v>1467769</v>
      </c>
    </row>
    <row r="34" spans="2:3">
      <c r="B34" s="513">
        <v>46174</v>
      </c>
      <c r="C34" s="475">
        <v>1467769</v>
      </c>
    </row>
    <row r="35" spans="2:3">
      <c r="B35" s="513">
        <v>46204</v>
      </c>
      <c r="C35" s="475">
        <v>1467769</v>
      </c>
    </row>
    <row r="36" spans="2:3">
      <c r="B36" s="513">
        <v>46235</v>
      </c>
      <c r="C36" s="475">
        <v>1467769</v>
      </c>
    </row>
    <row r="37" spans="2:3">
      <c r="B37" s="513">
        <v>46266</v>
      </c>
      <c r="C37" s="475">
        <v>1467769</v>
      </c>
    </row>
    <row r="38" spans="2:3">
      <c r="B38" s="513">
        <v>46296</v>
      </c>
      <c r="C38" s="475">
        <v>1467769</v>
      </c>
    </row>
    <row r="39" spans="2:3">
      <c r="B39" s="513">
        <v>46327</v>
      </c>
      <c r="C39" s="475">
        <v>1467769</v>
      </c>
    </row>
    <row r="40" spans="2:3">
      <c r="B40" s="512">
        <v>46357</v>
      </c>
      <c r="C40" s="475">
        <v>1467769</v>
      </c>
    </row>
    <row r="41" spans="2:3" ht="15.75" thickBot="1">
      <c r="B41" s="512" t="s">
        <v>15</v>
      </c>
      <c r="C41" s="517">
        <f>SUM(C29:C40)</f>
        <v>17613228</v>
      </c>
    </row>
    <row r="42" spans="2:3" ht="15.75" thickTop="1">
      <c r="B42" s="46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15476-3167-4CAD-B947-9D5817F9CA3A}">
  <sheetPr codeName="Sheet13">
    <pageSetUpPr fitToPage="1"/>
  </sheetPr>
  <dimension ref="A1:D22"/>
  <sheetViews>
    <sheetView zoomScaleNormal="100" zoomScaleSheetLayoutView="100" workbookViewId="0">
      <selection activeCell="C19" sqref="C19"/>
    </sheetView>
  </sheetViews>
  <sheetFormatPr defaultColWidth="9.140625" defaultRowHeight="12.75"/>
  <cols>
    <col min="1" max="1" width="9.140625" style="51"/>
    <col min="2" max="2" width="30" style="51" bestFit="1" customWidth="1"/>
    <col min="3" max="3" width="21" style="51" customWidth="1"/>
    <col min="4" max="4" width="14" style="51" bestFit="1" customWidth="1"/>
    <col min="5" max="16384" width="9.140625" style="51"/>
  </cols>
  <sheetData>
    <row r="1" spans="1:4">
      <c r="D1" s="55"/>
    </row>
    <row r="2" spans="1:4">
      <c r="B2" s="56" t="s">
        <v>409</v>
      </c>
      <c r="C2" s="47"/>
    </row>
    <row r="3" spans="1:4">
      <c r="B3" s="56" t="s">
        <v>410</v>
      </c>
      <c r="C3" s="47"/>
    </row>
    <row r="5" spans="1:4" ht="25.5">
      <c r="B5" s="47"/>
      <c r="C5" s="30" t="s">
        <v>411</v>
      </c>
    </row>
    <row r="6" spans="1:4">
      <c r="B6" s="4"/>
      <c r="C6" s="35"/>
    </row>
    <row r="7" spans="1:4">
      <c r="A7" s="541"/>
      <c r="B7" s="543">
        <v>46023</v>
      </c>
      <c r="C7" s="480">
        <v>2851493.45</v>
      </c>
    </row>
    <row r="8" spans="1:4">
      <c r="A8" s="541"/>
      <c r="B8" s="543">
        <v>46054</v>
      </c>
      <c r="C8" s="480">
        <v>2250043.9499999997</v>
      </c>
    </row>
    <row r="9" spans="1:4">
      <c r="A9" s="541"/>
      <c r="B9" s="543">
        <v>46082</v>
      </c>
      <c r="C9" s="480">
        <v>2076069.28</v>
      </c>
    </row>
    <row r="10" spans="1:4">
      <c r="A10" s="541"/>
      <c r="B10" s="543">
        <v>46113</v>
      </c>
      <c r="C10" s="480">
        <v>1979493.08</v>
      </c>
    </row>
    <row r="11" spans="1:4">
      <c r="A11" s="541"/>
      <c r="B11" s="543">
        <v>46143</v>
      </c>
      <c r="C11" s="480">
        <v>1911762</v>
      </c>
    </row>
    <row r="12" spans="1:4">
      <c r="A12" s="541"/>
      <c r="B12" s="543">
        <v>46174</v>
      </c>
      <c r="C12" s="480">
        <v>1650964</v>
      </c>
    </row>
    <row r="13" spans="1:4">
      <c r="A13" s="541"/>
      <c r="B13" s="543">
        <v>46204</v>
      </c>
      <c r="C13" s="480">
        <v>1505017</v>
      </c>
    </row>
    <row r="14" spans="1:4">
      <c r="A14" s="541"/>
      <c r="B14" s="543">
        <v>46235</v>
      </c>
      <c r="C14" s="480">
        <v>1587297</v>
      </c>
    </row>
    <row r="15" spans="1:4">
      <c r="A15" s="541"/>
      <c r="B15" s="543">
        <v>46266</v>
      </c>
      <c r="C15" s="480">
        <v>1561291</v>
      </c>
    </row>
    <row r="16" spans="1:4">
      <c r="A16" s="541"/>
      <c r="B16" s="543">
        <v>46296</v>
      </c>
      <c r="C16" s="480">
        <v>1527618</v>
      </c>
    </row>
    <row r="17" spans="1:3">
      <c r="A17" s="541"/>
      <c r="B17" s="543">
        <v>46327</v>
      </c>
      <c r="C17" s="480">
        <v>1461213</v>
      </c>
    </row>
    <row r="18" spans="1:3">
      <c r="A18" s="541"/>
      <c r="B18" s="543">
        <v>46357</v>
      </c>
      <c r="C18" s="480">
        <v>1432868.5</v>
      </c>
    </row>
    <row r="19" spans="1:3" ht="15">
      <c r="B19" s="482" t="s">
        <v>15</v>
      </c>
      <c r="C19" s="483">
        <f>SUM(C7:C18)</f>
        <v>21795130.260000002</v>
      </c>
    </row>
    <row r="22" spans="1:3" ht="15">
      <c r="C22"/>
    </row>
  </sheetData>
  <pageMargins left="0.7" right="0.7" top="0.75" bottom="0.75" header="0.3" footer="0.3"/>
  <pageSetup orientation="portrait" r:id="rId1"/>
  <headerFooter>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35BC3-03E5-48F7-A921-8F0E37FE44B5}">
  <sheetPr codeName="Sheet29">
    <tabColor rgb="FF00FFFF"/>
  </sheetPr>
  <dimension ref="A1:V340"/>
  <sheetViews>
    <sheetView topLeftCell="B90" zoomScale="70" zoomScaleNormal="70" zoomScaleSheetLayoutView="70" workbookViewId="0">
      <selection activeCell="M129" sqref="M129"/>
    </sheetView>
  </sheetViews>
  <sheetFormatPr defaultColWidth="9.140625" defaultRowHeight="15"/>
  <cols>
    <col min="1" max="1" width="7.7109375" style="757" customWidth="1"/>
    <col min="2" max="2" width="1.85546875" style="757" customWidth="1"/>
    <col min="3" max="3" width="85.85546875" style="757" customWidth="1"/>
    <col min="4" max="4" width="20.5703125" style="757" customWidth="1"/>
    <col min="5" max="5" width="26.7109375" style="757" customWidth="1"/>
    <col min="6" max="6" width="20.5703125" style="757" customWidth="1"/>
    <col min="7" max="7" width="18.140625" style="757" customWidth="1"/>
    <col min="8" max="8" width="19.28515625" style="757" bestFit="1" customWidth="1"/>
    <col min="9" max="9" width="17.7109375" style="757" customWidth="1"/>
    <col min="10" max="10" width="16.42578125" style="757" customWidth="1"/>
    <col min="11" max="11" width="20" style="757" customWidth="1"/>
    <col min="12" max="12" width="18.5703125" style="757" customWidth="1"/>
    <col min="13" max="13" width="20.5703125" style="757" customWidth="1"/>
    <col min="14" max="14" width="16.42578125" style="757" customWidth="1"/>
    <col min="15" max="15" width="17.85546875" style="757" customWidth="1"/>
    <col min="16" max="16" width="2.42578125" style="757" customWidth="1"/>
    <col min="17" max="17" width="16.7109375" style="757" customWidth="1"/>
    <col min="18" max="16384" width="9.140625" style="757"/>
  </cols>
  <sheetData>
    <row r="1" spans="1:19" ht="15.75">
      <c r="O1" s="820"/>
      <c r="Q1" s="860"/>
    </row>
    <row r="2" spans="1:19">
      <c r="O2" s="820"/>
    </row>
    <row r="4" spans="1:19">
      <c r="O4" s="820" t="s">
        <v>491</v>
      </c>
    </row>
    <row r="5" spans="1:19" ht="15.75">
      <c r="C5" s="856" t="s">
        <v>537</v>
      </c>
      <c r="D5" s="856"/>
      <c r="E5" s="856"/>
      <c r="F5" s="856"/>
      <c r="G5" s="859" t="s">
        <v>536</v>
      </c>
      <c r="H5" s="856"/>
      <c r="I5" s="856"/>
      <c r="J5" s="856"/>
      <c r="K5" s="856"/>
      <c r="L5" s="856"/>
      <c r="M5" s="858"/>
      <c r="N5" s="853"/>
      <c r="O5" s="857" t="s">
        <v>1290</v>
      </c>
      <c r="P5" s="792"/>
      <c r="Q5" s="852"/>
      <c r="R5" s="852"/>
      <c r="S5" s="792"/>
    </row>
    <row r="6" spans="1:19">
      <c r="C6" s="856"/>
      <c r="D6" s="856"/>
      <c r="E6" s="772" t="s">
        <v>3</v>
      </c>
      <c r="F6" s="772"/>
      <c r="G6" s="772" t="s">
        <v>490</v>
      </c>
      <c r="H6" s="772"/>
      <c r="I6" s="772"/>
      <c r="J6" s="772"/>
      <c r="K6" s="856"/>
      <c r="L6" s="856"/>
      <c r="N6" s="774"/>
      <c r="O6" s="856"/>
      <c r="P6" s="792"/>
      <c r="Q6" s="855"/>
      <c r="R6" s="852"/>
      <c r="S6" s="792"/>
    </row>
    <row r="7" spans="1:19">
      <c r="C7" s="774"/>
      <c r="D7" s="774"/>
      <c r="E7" s="774"/>
      <c r="F7" s="774"/>
      <c r="G7" s="774"/>
      <c r="H7" s="774"/>
      <c r="I7" s="774"/>
      <c r="J7" s="774"/>
      <c r="K7" s="774"/>
      <c r="L7" s="774"/>
      <c r="N7" s="774"/>
      <c r="O7" s="774" t="s">
        <v>535</v>
      </c>
      <c r="P7" s="792"/>
      <c r="Q7" s="852"/>
      <c r="R7" s="852"/>
      <c r="S7" s="792"/>
    </row>
    <row r="8" spans="1:19">
      <c r="A8" s="816"/>
      <c r="C8" s="774"/>
      <c r="D8" s="774"/>
      <c r="E8" s="774"/>
      <c r="F8" s="853"/>
      <c r="G8" s="854" t="s">
        <v>5</v>
      </c>
      <c r="H8" s="853"/>
      <c r="I8" s="774"/>
      <c r="J8" s="774"/>
      <c r="K8" s="774"/>
      <c r="L8" s="774"/>
      <c r="M8" s="774"/>
      <c r="N8" s="774"/>
      <c r="O8" s="774"/>
      <c r="P8" s="792"/>
      <c r="Q8" s="852"/>
      <c r="R8" s="852"/>
      <c r="S8" s="792"/>
    </row>
    <row r="9" spans="1:19">
      <c r="A9" s="816"/>
      <c r="C9" s="774"/>
      <c r="D9" s="774"/>
      <c r="E9" s="774"/>
      <c r="F9" s="774"/>
      <c r="G9" s="851"/>
      <c r="H9" s="774"/>
      <c r="I9" s="774"/>
      <c r="J9" s="774"/>
      <c r="K9" s="774"/>
      <c r="L9" s="774"/>
      <c r="M9" s="774"/>
      <c r="N9" s="774"/>
      <c r="O9" s="774"/>
      <c r="P9" s="792"/>
      <c r="Q9" s="852"/>
      <c r="R9" s="852"/>
      <c r="S9" s="792"/>
    </row>
    <row r="10" spans="1:19">
      <c r="A10" s="816"/>
      <c r="C10" s="774" t="s">
        <v>534</v>
      </c>
      <c r="D10" s="774"/>
      <c r="E10" s="774"/>
      <c r="F10" s="774"/>
      <c r="G10" s="851"/>
      <c r="H10" s="774"/>
      <c r="I10" s="774"/>
      <c r="J10" s="774"/>
      <c r="K10" s="774"/>
      <c r="L10" s="774"/>
      <c r="M10" s="774"/>
      <c r="N10" s="774"/>
      <c r="O10" s="774"/>
      <c r="P10" s="792"/>
      <c r="Q10" s="852"/>
      <c r="R10" s="852"/>
      <c r="S10" s="792"/>
    </row>
    <row r="11" spans="1:19">
      <c r="A11" s="816"/>
      <c r="C11" s="774"/>
      <c r="D11" s="774"/>
      <c r="E11" s="774"/>
      <c r="F11" s="774"/>
      <c r="G11" s="851"/>
      <c r="M11" s="774"/>
      <c r="N11" s="774"/>
      <c r="O11" s="774"/>
      <c r="P11" s="792"/>
      <c r="Q11" s="792"/>
      <c r="R11" s="792"/>
      <c r="S11" s="792"/>
    </row>
    <row r="12" spans="1:19">
      <c r="A12" s="816"/>
      <c r="C12" s="774"/>
      <c r="D12" s="774"/>
      <c r="E12" s="774"/>
      <c r="F12" s="774"/>
      <c r="G12" s="774"/>
      <c r="M12" s="772"/>
      <c r="N12" s="774"/>
      <c r="O12" s="774"/>
      <c r="P12" s="792"/>
      <c r="Q12" s="792"/>
      <c r="R12" s="792"/>
      <c r="S12" s="792"/>
    </row>
    <row r="13" spans="1:19">
      <c r="C13" s="818" t="s">
        <v>62</v>
      </c>
      <c r="D13" s="818"/>
      <c r="E13" s="818" t="s">
        <v>63</v>
      </c>
      <c r="F13" s="818"/>
      <c r="G13" s="818" t="s">
        <v>64</v>
      </c>
      <c r="M13" s="776" t="s">
        <v>65</v>
      </c>
      <c r="N13" s="772"/>
      <c r="O13" s="776"/>
      <c r="P13" s="793"/>
      <c r="Q13" s="776"/>
      <c r="R13" s="793"/>
      <c r="S13" s="792"/>
    </row>
    <row r="14" spans="1:19" ht="15.75">
      <c r="C14" s="774"/>
      <c r="D14" s="774"/>
      <c r="E14" s="833" t="s">
        <v>533</v>
      </c>
      <c r="F14" s="833"/>
      <c r="G14" s="772"/>
      <c r="N14" s="772"/>
      <c r="P14" s="793"/>
      <c r="Q14" s="821"/>
      <c r="R14" s="821"/>
      <c r="S14" s="792"/>
    </row>
    <row r="15" spans="1:19" ht="15.75">
      <c r="A15" s="816" t="s">
        <v>8</v>
      </c>
      <c r="C15" s="774"/>
      <c r="D15" s="774"/>
      <c r="E15" s="850" t="s">
        <v>69</v>
      </c>
      <c r="F15" s="850"/>
      <c r="G15" s="849" t="s">
        <v>68</v>
      </c>
      <c r="M15" s="849" t="s">
        <v>16</v>
      </c>
      <c r="N15" s="772"/>
      <c r="P15" s="792"/>
      <c r="Q15" s="848"/>
      <c r="R15" s="821"/>
      <c r="S15" s="792"/>
    </row>
    <row r="16" spans="1:19" ht="15.75">
      <c r="A16" s="816" t="s">
        <v>10</v>
      </c>
      <c r="C16" s="817"/>
      <c r="D16" s="817"/>
      <c r="E16" s="772"/>
      <c r="F16" s="772"/>
      <c r="G16" s="772"/>
      <c r="M16" s="772"/>
      <c r="N16" s="772"/>
      <c r="O16" s="772"/>
      <c r="P16" s="792"/>
      <c r="Q16" s="793"/>
      <c r="R16" s="793"/>
      <c r="S16" s="792"/>
    </row>
    <row r="17" spans="1:19" ht="15.75">
      <c r="A17" s="847"/>
      <c r="C17" s="774"/>
      <c r="D17" s="774"/>
      <c r="E17" s="772"/>
      <c r="F17" s="772"/>
      <c r="G17" s="772"/>
      <c r="M17" s="772"/>
      <c r="N17" s="772"/>
      <c r="O17" s="772"/>
      <c r="P17" s="792"/>
      <c r="Q17" s="793"/>
      <c r="R17" s="793"/>
      <c r="S17" s="792"/>
    </row>
    <row r="18" spans="1:19">
      <c r="A18" s="822">
        <v>1</v>
      </c>
      <c r="C18" s="774" t="s">
        <v>532</v>
      </c>
      <c r="D18" s="774"/>
      <c r="E18" s="836" t="s">
        <v>1157</v>
      </c>
      <c r="F18" s="836"/>
      <c r="G18" s="840">
        <f>'ATC Attach O ER22-1602'!D87+'ATC Attach O ER22-1602'!D88-K146</f>
        <v>9243097305</v>
      </c>
      <c r="H18" s="897"/>
      <c r="I18" s="895"/>
      <c r="N18" s="772"/>
      <c r="O18" s="772"/>
      <c r="P18" s="792"/>
      <c r="Q18" s="793"/>
      <c r="R18" s="793"/>
      <c r="S18" s="792"/>
    </row>
    <row r="19" spans="1:19">
      <c r="A19" s="822">
        <v>2</v>
      </c>
      <c r="C19" s="774" t="s">
        <v>531</v>
      </c>
      <c r="D19" s="774"/>
      <c r="E19" s="836" t="s">
        <v>1158</v>
      </c>
      <c r="F19" s="836"/>
      <c r="G19" s="840">
        <f>'ATC Attach O ER22-1602'!D110+'ATC Attach O ER22-1602'!D111-I148</f>
        <v>6625737301</v>
      </c>
      <c r="H19" s="897"/>
      <c r="I19" s="895"/>
      <c r="N19" s="772"/>
      <c r="O19" s="772"/>
      <c r="P19" s="792"/>
      <c r="Q19" s="793"/>
      <c r="R19" s="793"/>
      <c r="S19" s="792"/>
    </row>
    <row r="20" spans="1:19">
      <c r="A20" s="822"/>
      <c r="E20" s="836"/>
      <c r="F20" s="836"/>
      <c r="G20" s="895"/>
      <c r="H20" s="895"/>
      <c r="I20" s="895"/>
      <c r="J20" s="895"/>
      <c r="N20" s="772"/>
      <c r="O20" s="772"/>
      <c r="P20" s="792"/>
      <c r="Q20" s="793"/>
      <c r="R20" s="793"/>
      <c r="S20" s="792"/>
    </row>
    <row r="21" spans="1:19">
      <c r="A21" s="822"/>
      <c r="C21" s="774" t="s">
        <v>530</v>
      </c>
      <c r="D21" s="774"/>
      <c r="E21" s="836"/>
      <c r="F21" s="836"/>
      <c r="G21" s="772"/>
      <c r="H21" s="895"/>
      <c r="M21" s="772"/>
      <c r="N21" s="772"/>
      <c r="O21" s="772"/>
      <c r="P21" s="793"/>
      <c r="Q21" s="793"/>
      <c r="R21" s="793"/>
      <c r="S21" s="792"/>
    </row>
    <row r="22" spans="1:19">
      <c r="A22" s="822">
        <v>3</v>
      </c>
      <c r="C22" s="774" t="s">
        <v>529</v>
      </c>
      <c r="D22" s="774"/>
      <c r="E22" s="836" t="s">
        <v>528</v>
      </c>
      <c r="F22" s="836"/>
      <c r="G22" s="840">
        <f>'ATC Attach O ER22-1602'!I173</f>
        <v>193131345.90570536</v>
      </c>
      <c r="H22" s="897"/>
      <c r="M22" s="772"/>
      <c r="N22" s="772"/>
      <c r="O22" s="772"/>
      <c r="P22" s="793"/>
      <c r="Q22" s="793"/>
      <c r="R22" s="793"/>
      <c r="S22" s="792"/>
    </row>
    <row r="23" spans="1:19">
      <c r="A23" s="822" t="s">
        <v>527</v>
      </c>
      <c r="B23" s="845"/>
      <c r="C23" s="774" t="s">
        <v>526</v>
      </c>
      <c r="D23" s="774"/>
      <c r="E23" s="836" t="s">
        <v>525</v>
      </c>
      <c r="F23" s="836"/>
      <c r="G23" s="846">
        <f>'Precert Exp'!C19</f>
        <v>21795130.260000002</v>
      </c>
      <c r="H23" s="897"/>
      <c r="M23" s="772"/>
      <c r="N23" s="772"/>
      <c r="O23" s="772"/>
      <c r="P23" s="793"/>
      <c r="Q23" s="793"/>
      <c r="R23" s="793"/>
      <c r="S23" s="792"/>
    </row>
    <row r="24" spans="1:19">
      <c r="A24" s="822" t="s">
        <v>524</v>
      </c>
      <c r="B24" s="845"/>
      <c r="C24" s="774" t="s">
        <v>523</v>
      </c>
      <c r="D24" s="774"/>
      <c r="E24" s="836" t="s">
        <v>522</v>
      </c>
      <c r="F24" s="836"/>
      <c r="G24" s="844">
        <f>+G22-G23</f>
        <v>171336215.64570537</v>
      </c>
      <c r="H24" s="897"/>
      <c r="N24" s="772"/>
      <c r="O24" s="772"/>
      <c r="P24" s="793"/>
      <c r="Q24" s="793"/>
      <c r="R24" s="793"/>
      <c r="S24" s="792"/>
    </row>
    <row r="25" spans="1:19" ht="15.75">
      <c r="A25" s="822">
        <v>4</v>
      </c>
      <c r="C25" s="774" t="s">
        <v>521</v>
      </c>
      <c r="D25" s="774"/>
      <c r="E25" s="836" t="s">
        <v>520</v>
      </c>
      <c r="F25" s="836"/>
      <c r="G25" s="825">
        <f>IF(G24=0,0,G24/G18)</f>
        <v>1.8536666876050524E-2</v>
      </c>
      <c r="H25" s="896"/>
      <c r="M25" s="838">
        <f>G25</f>
        <v>1.8536666876050524E-2</v>
      </c>
      <c r="N25" s="772"/>
      <c r="O25" s="824"/>
      <c r="P25" s="806"/>
      <c r="Q25" s="842"/>
      <c r="R25" s="793"/>
      <c r="S25" s="792"/>
    </row>
    <row r="26" spans="1:19" ht="15.75">
      <c r="A26" s="822"/>
      <c r="C26" s="774"/>
      <c r="D26" s="774"/>
      <c r="E26" s="836"/>
      <c r="F26" s="836"/>
      <c r="G26" s="825"/>
      <c r="H26" s="895"/>
      <c r="M26" s="838"/>
      <c r="N26" s="772"/>
      <c r="O26" s="824"/>
      <c r="P26" s="806"/>
      <c r="Q26" s="842"/>
      <c r="R26" s="793"/>
      <c r="S26" s="792"/>
    </row>
    <row r="27" spans="1:19" ht="30.75">
      <c r="A27" s="826"/>
      <c r="C27" s="919" t="s">
        <v>976</v>
      </c>
      <c r="D27" s="774"/>
      <c r="E27" s="773"/>
      <c r="F27" s="773"/>
      <c r="G27" s="772"/>
      <c r="H27" s="895"/>
      <c r="M27" s="772"/>
      <c r="N27" s="772"/>
      <c r="O27" s="824"/>
      <c r="P27" s="806"/>
      <c r="Q27" s="842"/>
      <c r="R27" s="793"/>
      <c r="S27" s="792"/>
    </row>
    <row r="28" spans="1:19" ht="15.75">
      <c r="A28" s="826" t="s">
        <v>519</v>
      </c>
      <c r="C28" s="774" t="s">
        <v>1122</v>
      </c>
      <c r="D28" s="774"/>
      <c r="E28" s="836" t="s">
        <v>1159</v>
      </c>
      <c r="F28" s="836"/>
      <c r="G28" s="840">
        <f>'ATC Attach O ER22-1602'!I177+'ATC Attach O ER22-1602'!I179+'ATC Attach O ER22-1602'!I180+I150</f>
        <v>42817242</v>
      </c>
      <c r="H28" s="897"/>
      <c r="N28" s="772"/>
      <c r="O28" s="824"/>
      <c r="P28" s="806"/>
      <c r="Q28" s="842"/>
      <c r="R28" s="793"/>
      <c r="S28" s="792"/>
    </row>
    <row r="29" spans="1:19" ht="15.75">
      <c r="A29" s="826" t="s">
        <v>517</v>
      </c>
      <c r="C29" s="774" t="s">
        <v>516</v>
      </c>
      <c r="D29" s="774"/>
      <c r="E29" s="836" t="s">
        <v>515</v>
      </c>
      <c r="F29" s="836"/>
      <c r="G29" s="825">
        <f>IF(G28=0,0,G28/G18)</f>
        <v>4.632347857772552E-3</v>
      </c>
      <c r="H29" s="896"/>
      <c r="M29" s="838">
        <f>G29</f>
        <v>4.632347857772552E-3</v>
      </c>
      <c r="N29" s="772"/>
      <c r="O29" s="824"/>
      <c r="P29" s="806"/>
      <c r="Q29" s="842"/>
      <c r="R29" s="793"/>
      <c r="S29" s="792"/>
    </row>
    <row r="30" spans="1:19" ht="15.75">
      <c r="A30" s="822"/>
      <c r="C30" s="774"/>
      <c r="D30" s="774"/>
      <c r="E30" s="836"/>
      <c r="F30" s="836"/>
      <c r="G30" s="825"/>
      <c r="H30" s="895"/>
      <c r="M30" s="838"/>
      <c r="N30" s="772"/>
      <c r="O30" s="824"/>
      <c r="P30" s="806"/>
      <c r="Q30" s="842"/>
      <c r="R30" s="793"/>
      <c r="S30" s="792"/>
    </row>
    <row r="31" spans="1:19">
      <c r="A31" s="826"/>
      <c r="C31" s="774" t="s">
        <v>514</v>
      </c>
      <c r="D31" s="774"/>
      <c r="E31" s="773"/>
      <c r="F31" s="773"/>
      <c r="G31" s="772"/>
      <c r="H31" s="895"/>
      <c r="M31" s="772"/>
      <c r="N31" s="772"/>
      <c r="O31" s="772"/>
      <c r="P31" s="793"/>
      <c r="Q31" s="772"/>
      <c r="R31" s="793"/>
      <c r="S31" s="792"/>
    </row>
    <row r="32" spans="1:19" ht="15.75">
      <c r="A32" s="826" t="s">
        <v>513</v>
      </c>
      <c r="C32" s="774" t="s">
        <v>512</v>
      </c>
      <c r="D32" s="774"/>
      <c r="E32" s="836" t="s">
        <v>511</v>
      </c>
      <c r="F32" s="836"/>
      <c r="G32" s="840">
        <f>'ATC Attach O ER22-1602'!I192</f>
        <v>36496384</v>
      </c>
      <c r="H32" s="897"/>
      <c r="N32" s="772"/>
      <c r="O32" s="843"/>
      <c r="P32" s="793"/>
      <c r="Q32" s="822"/>
      <c r="R32" s="821"/>
      <c r="S32" s="792"/>
    </row>
    <row r="33" spans="1:19" ht="15.75">
      <c r="A33" s="826" t="s">
        <v>510</v>
      </c>
      <c r="C33" s="774" t="s">
        <v>509</v>
      </c>
      <c r="D33" s="774"/>
      <c r="E33" s="836" t="s">
        <v>508</v>
      </c>
      <c r="F33" s="836"/>
      <c r="G33" s="825">
        <f>IF(G32=0,0,G32/G18)</f>
        <v>3.9485015461491997E-3</v>
      </c>
      <c r="H33" s="896"/>
      <c r="M33" s="838">
        <f>G33</f>
        <v>3.9485015461491997E-3</v>
      </c>
      <c r="N33" s="772"/>
      <c r="O33" s="824"/>
      <c r="P33" s="793"/>
      <c r="Q33" s="842"/>
      <c r="R33" s="821"/>
      <c r="S33" s="792"/>
    </row>
    <row r="34" spans="1:19">
      <c r="A34" s="826"/>
      <c r="C34" s="774"/>
      <c r="D34" s="774"/>
      <c r="E34" s="836"/>
      <c r="F34" s="836"/>
      <c r="G34" s="772"/>
      <c r="H34" s="895"/>
      <c r="M34" s="772"/>
      <c r="N34" s="772"/>
      <c r="R34" s="793"/>
      <c r="S34" s="792"/>
    </row>
    <row r="35" spans="1:19" ht="15.75">
      <c r="A35" s="835" t="s">
        <v>507</v>
      </c>
      <c r="B35" s="834"/>
      <c r="C35" s="817" t="s">
        <v>482</v>
      </c>
      <c r="D35" s="817"/>
      <c r="E35" s="833" t="s">
        <v>506</v>
      </c>
      <c r="F35" s="833"/>
      <c r="G35" s="832"/>
      <c r="H35" s="895"/>
      <c r="M35" s="831">
        <f>M25+M29+M33</f>
        <v>2.7117516279972276E-2</v>
      </c>
      <c r="N35" s="772"/>
      <c r="R35" s="793"/>
      <c r="S35" s="792"/>
    </row>
    <row r="36" spans="1:19">
      <c r="A36" s="826"/>
      <c r="C36" s="774"/>
      <c r="D36" s="774"/>
      <c r="E36" s="836"/>
      <c r="F36" s="836"/>
      <c r="G36" s="772"/>
      <c r="H36" s="895"/>
      <c r="M36" s="772"/>
      <c r="N36" s="772"/>
      <c r="O36" s="772"/>
      <c r="P36" s="793"/>
      <c r="Q36" s="841"/>
      <c r="R36" s="793"/>
      <c r="S36" s="792"/>
    </row>
    <row r="37" spans="1:19">
      <c r="A37" s="826"/>
      <c r="B37" s="775"/>
      <c r="C37" s="772" t="s">
        <v>505</v>
      </c>
      <c r="D37" s="772"/>
      <c r="E37" s="836"/>
      <c r="F37" s="836"/>
      <c r="G37" s="772"/>
      <c r="H37" s="895"/>
      <c r="M37" s="772"/>
      <c r="N37" s="772"/>
      <c r="R37" s="821"/>
      <c r="S37" s="793" t="s">
        <v>3</v>
      </c>
    </row>
    <row r="38" spans="1:19">
      <c r="A38" s="826" t="s">
        <v>504</v>
      </c>
      <c r="B38" s="775"/>
      <c r="C38" s="772" t="s">
        <v>440</v>
      </c>
      <c r="D38" s="772"/>
      <c r="E38" s="836" t="s">
        <v>503</v>
      </c>
      <c r="F38" s="836"/>
      <c r="G38" s="840">
        <f>'ATC Attach O ER22-1602'!I207</f>
        <v>96183657.201031044</v>
      </c>
      <c r="H38" s="897"/>
      <c r="M38" s="772"/>
      <c r="N38" s="772"/>
      <c r="R38" s="821"/>
      <c r="S38" s="793"/>
    </row>
    <row r="39" spans="1:19" ht="15.75">
      <c r="A39" s="826" t="s">
        <v>502</v>
      </c>
      <c r="B39" s="775"/>
      <c r="C39" s="772" t="s">
        <v>501</v>
      </c>
      <c r="D39" s="772"/>
      <c r="E39" s="836" t="s">
        <v>500</v>
      </c>
      <c r="F39" s="836"/>
      <c r="G39" s="825">
        <f>IF(G38=0,0,G38/G19)</f>
        <v>1.4516672308531516E-2</v>
      </c>
      <c r="H39" s="896"/>
      <c r="M39" s="838">
        <f>G39</f>
        <v>1.4516672308531516E-2</v>
      </c>
      <c r="N39" s="772"/>
      <c r="P39" s="793"/>
      <c r="Q39" s="793"/>
      <c r="R39" s="821"/>
      <c r="S39" s="793"/>
    </row>
    <row r="40" spans="1:19">
      <c r="A40" s="826"/>
      <c r="C40" s="772"/>
      <c r="D40" s="772"/>
      <c r="E40" s="836"/>
      <c r="F40" s="836"/>
      <c r="G40" s="772"/>
      <c r="H40" s="895"/>
      <c r="M40" s="772"/>
      <c r="N40" s="772"/>
      <c r="P40" s="792"/>
      <c r="Q40" s="793"/>
      <c r="R40" s="792"/>
      <c r="S40" s="792"/>
    </row>
    <row r="41" spans="1:19">
      <c r="A41" s="826"/>
      <c r="C41" s="774" t="s">
        <v>183</v>
      </c>
      <c r="D41" s="774"/>
      <c r="E41" s="830"/>
      <c r="F41" s="830"/>
      <c r="H41" s="895"/>
      <c r="N41" s="772"/>
      <c r="P41" s="793"/>
      <c r="Q41" s="793"/>
      <c r="R41" s="793"/>
      <c r="S41" s="792"/>
    </row>
    <row r="42" spans="1:19">
      <c r="A42" s="826" t="s">
        <v>499</v>
      </c>
      <c r="C42" s="774" t="s">
        <v>498</v>
      </c>
      <c r="D42" s="774"/>
      <c r="E42" s="836" t="s">
        <v>497</v>
      </c>
      <c r="F42" s="836"/>
      <c r="G42" s="840">
        <f>'ATC Attach O ER22-1602'!I209</f>
        <v>469140300.32271814</v>
      </c>
      <c r="H42" s="897"/>
      <c r="M42" s="772"/>
      <c r="N42" s="772"/>
      <c r="P42" s="793"/>
      <c r="Q42" s="793"/>
      <c r="R42" s="793"/>
      <c r="S42" s="792"/>
    </row>
    <row r="43" spans="1:19" ht="15.75">
      <c r="A43" s="826" t="s">
        <v>496</v>
      </c>
      <c r="B43" s="775"/>
      <c r="C43" s="772" t="s">
        <v>495</v>
      </c>
      <c r="D43" s="772"/>
      <c r="E43" s="836" t="s">
        <v>494</v>
      </c>
      <c r="F43" s="836"/>
      <c r="G43" s="839">
        <f>IF(G42=0,0,G42/G19)</f>
        <v>7.0805750214683633E-2</v>
      </c>
      <c r="H43" s="896"/>
      <c r="M43" s="838">
        <f>G43</f>
        <v>7.0805750214683633E-2</v>
      </c>
      <c r="N43" s="772"/>
      <c r="Q43" s="837"/>
      <c r="R43" s="821"/>
      <c r="S43" s="793"/>
    </row>
    <row r="44" spans="1:19">
      <c r="A44" s="826"/>
      <c r="C44" s="774"/>
      <c r="D44" s="774"/>
      <c r="E44" s="836"/>
      <c r="F44" s="836"/>
      <c r="G44" s="772"/>
      <c r="H44" s="895"/>
      <c r="M44" s="772"/>
      <c r="N44" s="772"/>
      <c r="O44" s="830"/>
      <c r="P44" s="793"/>
      <c r="Q44" s="793"/>
      <c r="R44" s="793"/>
      <c r="S44" s="792"/>
    </row>
    <row r="45" spans="1:19" ht="15.75">
      <c r="A45" s="835" t="s">
        <v>493</v>
      </c>
      <c r="B45" s="834"/>
      <c r="C45" s="817" t="s">
        <v>479</v>
      </c>
      <c r="D45" s="817"/>
      <c r="E45" s="833" t="s">
        <v>492</v>
      </c>
      <c r="F45" s="833"/>
      <c r="G45" s="832"/>
      <c r="M45" s="831">
        <f>M39+M43</f>
        <v>8.5322422523215147E-2</v>
      </c>
      <c r="N45" s="772"/>
      <c r="O45" s="830"/>
      <c r="P45" s="793"/>
      <c r="Q45" s="793"/>
      <c r="R45" s="793"/>
      <c r="S45" s="792"/>
    </row>
    <row r="46" spans="1:19">
      <c r="N46" s="774"/>
      <c r="O46" s="774"/>
      <c r="P46" s="793"/>
      <c r="Q46" s="793"/>
      <c r="R46" s="793"/>
      <c r="S46" s="792"/>
    </row>
    <row r="47" spans="1:19">
      <c r="N47" s="774"/>
      <c r="O47" s="774"/>
      <c r="P47" s="793"/>
      <c r="Q47" s="793"/>
      <c r="R47" s="793"/>
      <c r="S47" s="792"/>
    </row>
    <row r="48" spans="1:19">
      <c r="N48" s="774"/>
      <c r="O48" s="774"/>
      <c r="P48" s="793"/>
      <c r="Q48" s="793"/>
      <c r="R48" s="793"/>
      <c r="S48" s="792"/>
    </row>
    <row r="49" spans="1:19">
      <c r="N49" s="774"/>
      <c r="O49" s="774"/>
      <c r="P49" s="792"/>
      <c r="Q49" s="792"/>
      <c r="R49" s="792"/>
      <c r="S49" s="792"/>
    </row>
    <row r="50" spans="1:19">
      <c r="N50" s="772"/>
      <c r="O50" s="772"/>
      <c r="P50" s="793"/>
      <c r="Q50" s="792"/>
      <c r="R50" s="793"/>
      <c r="S50" s="792"/>
    </row>
    <row r="51" spans="1:19" ht="15.75">
      <c r="N51" s="772"/>
      <c r="O51" s="824"/>
      <c r="P51" s="793"/>
      <c r="Q51" s="793"/>
      <c r="R51" s="822"/>
      <c r="S51" s="793"/>
    </row>
    <row r="52" spans="1:19" ht="15.75">
      <c r="N52" s="772"/>
      <c r="O52" s="824"/>
      <c r="P52" s="793"/>
      <c r="Q52" s="793"/>
      <c r="R52" s="822"/>
      <c r="S52" s="793"/>
    </row>
    <row r="53" spans="1:19" ht="15.75">
      <c r="N53" s="772"/>
      <c r="O53" s="824"/>
      <c r="P53" s="793"/>
      <c r="Q53" s="793"/>
      <c r="R53" s="822"/>
      <c r="S53" s="793"/>
    </row>
    <row r="54" spans="1:19" ht="15.75">
      <c r="A54" s="826"/>
      <c r="B54" s="775"/>
      <c r="C54" s="767"/>
      <c r="D54" s="767"/>
      <c r="E54" s="773"/>
      <c r="F54" s="773"/>
      <c r="G54" s="772"/>
      <c r="H54" s="767"/>
      <c r="I54" s="767"/>
      <c r="J54" s="825"/>
      <c r="K54" s="767"/>
      <c r="L54" s="767"/>
      <c r="M54" s="772"/>
      <c r="N54" s="772"/>
      <c r="O54" s="824"/>
      <c r="P54" s="793"/>
      <c r="Q54" s="793"/>
      <c r="R54" s="822"/>
      <c r="S54" s="793"/>
    </row>
    <row r="55" spans="1:19" ht="15.75">
      <c r="A55" s="826"/>
      <c r="B55" s="775"/>
      <c r="C55" s="767"/>
      <c r="D55" s="767"/>
      <c r="E55" s="773"/>
      <c r="F55" s="773"/>
      <c r="G55" s="772"/>
      <c r="H55" s="767"/>
      <c r="I55" s="767"/>
      <c r="J55" s="825"/>
      <c r="K55" s="767"/>
      <c r="L55" s="767"/>
      <c r="M55" s="772"/>
      <c r="N55" s="772"/>
      <c r="O55" s="824"/>
      <c r="P55" s="793"/>
      <c r="Q55" s="793"/>
      <c r="R55" s="822"/>
      <c r="S55" s="793"/>
    </row>
    <row r="56" spans="1:19" ht="15.75">
      <c r="A56" s="828"/>
      <c r="C56" s="826"/>
      <c r="D56" s="826"/>
      <c r="E56" s="773"/>
      <c r="F56" s="773"/>
      <c r="G56" s="772"/>
      <c r="H56" s="767"/>
      <c r="I56" s="767"/>
      <c r="J56" s="825"/>
      <c r="K56" s="767"/>
      <c r="L56" s="767"/>
      <c r="N56" s="772"/>
      <c r="O56" s="829"/>
      <c r="P56" s="823"/>
      <c r="Q56" s="793"/>
      <c r="R56" s="822"/>
      <c r="S56" s="793"/>
    </row>
    <row r="57" spans="1:19" ht="15.75">
      <c r="A57" s="828"/>
      <c r="C57" s="826"/>
      <c r="D57" s="826"/>
      <c r="E57" s="773"/>
      <c r="F57" s="773"/>
      <c r="G57" s="772"/>
      <c r="H57" s="767"/>
      <c r="I57" s="767"/>
      <c r="J57" s="825"/>
      <c r="K57" s="767"/>
      <c r="L57" s="767"/>
      <c r="N57" s="772"/>
      <c r="O57" s="824"/>
      <c r="P57" s="823"/>
      <c r="Q57" s="793"/>
      <c r="R57" s="822"/>
      <c r="S57" s="793"/>
    </row>
    <row r="58" spans="1:19" ht="15.75">
      <c r="A58" s="827"/>
      <c r="C58" s="826"/>
      <c r="D58" s="826"/>
      <c r="E58" s="773"/>
      <c r="F58" s="773"/>
      <c r="G58" s="772"/>
      <c r="H58" s="767"/>
      <c r="I58" s="767"/>
      <c r="J58" s="825"/>
      <c r="K58" s="767"/>
      <c r="L58" s="767"/>
      <c r="N58" s="772"/>
      <c r="O58" s="824"/>
      <c r="P58" s="823"/>
      <c r="Q58" s="793"/>
      <c r="R58" s="822"/>
      <c r="S58" s="793"/>
    </row>
    <row r="59" spans="1:19">
      <c r="A59" s="816"/>
      <c r="C59" s="767"/>
      <c r="D59" s="767"/>
      <c r="E59" s="767"/>
      <c r="F59" s="767"/>
      <c r="G59" s="772"/>
      <c r="H59" s="767"/>
      <c r="I59" s="767"/>
      <c r="J59" s="767"/>
      <c r="K59" s="767"/>
      <c r="L59" s="767"/>
      <c r="N59" s="772"/>
      <c r="O59" s="772"/>
      <c r="P59" s="793"/>
      <c r="Q59" s="793"/>
      <c r="R59" s="821"/>
      <c r="S59" s="793" t="s">
        <v>3</v>
      </c>
    </row>
    <row r="60" spans="1:19">
      <c r="O60" s="820"/>
    </row>
    <row r="61" spans="1:19">
      <c r="O61" s="820"/>
    </row>
    <row r="63" spans="1:19">
      <c r="A63" s="816"/>
      <c r="C63" s="767"/>
      <c r="D63" s="767"/>
      <c r="E63" s="767"/>
      <c r="F63" s="767"/>
      <c r="G63" s="772"/>
      <c r="H63" s="767"/>
      <c r="I63" s="767"/>
      <c r="J63" s="767"/>
      <c r="K63" s="767"/>
      <c r="L63" s="767"/>
      <c r="N63" s="772"/>
      <c r="O63" s="820" t="s">
        <v>491</v>
      </c>
      <c r="P63" s="793"/>
      <c r="Q63" s="792"/>
      <c r="R63" s="793"/>
      <c r="S63" s="792"/>
    </row>
    <row r="64" spans="1:19">
      <c r="A64" s="816"/>
      <c r="C64" s="774" t="str">
        <f>C5</f>
        <v>Formula Rate calculation</v>
      </c>
      <c r="D64" s="774"/>
      <c r="E64" s="767"/>
      <c r="F64" s="767"/>
      <c r="G64" s="773" t="str">
        <f>G5</f>
        <v xml:space="preserve">     Rate Formula Template</v>
      </c>
      <c r="H64" s="767"/>
      <c r="I64" s="767"/>
      <c r="J64" s="767"/>
      <c r="K64" s="767"/>
      <c r="L64" s="767"/>
      <c r="N64" s="772"/>
      <c r="O64" s="819" t="str">
        <f>+O5</f>
        <v>For  the 12 months ended 12/31/2026</v>
      </c>
      <c r="P64" s="793"/>
      <c r="Q64" s="792"/>
      <c r="R64" s="793"/>
      <c r="S64" s="792"/>
    </row>
    <row r="65" spans="1:22">
      <c r="A65" s="816"/>
      <c r="C65" s="774"/>
      <c r="D65" s="774"/>
      <c r="E65" s="767"/>
      <c r="F65" s="767"/>
      <c r="G65" s="773" t="s">
        <v>490</v>
      </c>
      <c r="H65" s="767"/>
      <c r="I65" s="767"/>
      <c r="J65" s="767"/>
      <c r="K65" s="767"/>
      <c r="L65" s="767"/>
      <c r="M65" s="772"/>
      <c r="N65" s="772"/>
      <c r="P65" s="793"/>
      <c r="Q65" s="792"/>
      <c r="R65" s="793"/>
      <c r="S65" s="792"/>
    </row>
    <row r="66" spans="1:22" ht="14.25" customHeight="1">
      <c r="A66" s="816"/>
      <c r="C66" s="767"/>
      <c r="D66" s="767"/>
      <c r="E66" s="767"/>
      <c r="F66" s="767"/>
      <c r="G66" s="773"/>
      <c r="H66" s="767"/>
      <c r="I66" s="767"/>
      <c r="J66" s="767"/>
      <c r="K66" s="767"/>
      <c r="L66" s="767"/>
      <c r="N66" s="772"/>
      <c r="O66" s="767" t="s">
        <v>489</v>
      </c>
      <c r="P66" s="793"/>
      <c r="Q66" s="792"/>
      <c r="R66" s="793"/>
      <c r="S66" s="792"/>
    </row>
    <row r="67" spans="1:22">
      <c r="A67" s="816"/>
      <c r="E67" s="767"/>
      <c r="F67" s="767"/>
      <c r="G67" s="773" t="str">
        <f>G8</f>
        <v>American Transmission Company LLC</v>
      </c>
      <c r="H67" s="767"/>
      <c r="I67" s="767"/>
      <c r="J67" s="767"/>
      <c r="K67" s="767"/>
      <c r="L67" s="767"/>
      <c r="M67" s="767"/>
      <c r="N67" s="772"/>
      <c r="O67" s="772"/>
      <c r="P67" s="793"/>
      <c r="Q67" s="792"/>
      <c r="R67" s="793"/>
      <c r="S67" s="792"/>
    </row>
    <row r="68" spans="1:22">
      <c r="A68" s="816"/>
      <c r="E68" s="774"/>
      <c r="F68" s="774"/>
      <c r="G68" s="818"/>
      <c r="H68" s="774"/>
      <c r="I68" s="774"/>
      <c r="J68" s="774"/>
      <c r="K68" s="774"/>
      <c r="L68" s="774"/>
      <c r="M68" s="774"/>
      <c r="N68" s="774"/>
      <c r="O68" s="774"/>
      <c r="P68" s="793"/>
      <c r="Q68" s="792"/>
      <c r="R68" s="793"/>
      <c r="S68" s="792"/>
    </row>
    <row r="69" spans="1:22" ht="15.75">
      <c r="A69" s="816"/>
      <c r="C69" s="767"/>
      <c r="D69" s="767"/>
      <c r="E69" s="817" t="s">
        <v>488</v>
      </c>
      <c r="F69" s="817"/>
      <c r="G69" s="765"/>
      <c r="H69" s="774"/>
      <c r="I69" s="774"/>
      <c r="J69" s="774"/>
      <c r="K69" s="774"/>
      <c r="L69" s="774"/>
      <c r="M69" s="774"/>
      <c r="N69" s="772"/>
      <c r="O69" s="772"/>
      <c r="P69" s="793"/>
      <c r="Q69" s="792"/>
      <c r="R69" s="793"/>
      <c r="S69" s="792"/>
    </row>
    <row r="70" spans="1:22" ht="15.75">
      <c r="A70" s="816"/>
      <c r="C70" s="767"/>
      <c r="D70" s="767"/>
      <c r="E70" s="817"/>
      <c r="F70" s="817"/>
      <c r="H70" s="774"/>
      <c r="I70" s="774"/>
      <c r="J70" s="774"/>
      <c r="K70" s="774"/>
      <c r="L70" s="774"/>
      <c r="M70" s="774"/>
      <c r="N70" s="772"/>
      <c r="O70" s="772"/>
      <c r="P70" s="793"/>
      <c r="Q70" s="792"/>
      <c r="R70" s="793"/>
      <c r="S70" s="792"/>
    </row>
    <row r="71" spans="1:22" ht="15.75">
      <c r="A71" s="816"/>
      <c r="C71" s="815">
        <v>-1</v>
      </c>
      <c r="D71" s="815">
        <v>-2</v>
      </c>
      <c r="E71" s="815">
        <v>-3</v>
      </c>
      <c r="F71" s="815">
        <v>-4</v>
      </c>
      <c r="G71" s="815">
        <v>-5</v>
      </c>
      <c r="H71" s="815">
        <v>-6</v>
      </c>
      <c r="I71" s="815">
        <v>-7</v>
      </c>
      <c r="J71" s="815">
        <v>-8</v>
      </c>
      <c r="K71" s="815">
        <v>-9</v>
      </c>
      <c r="L71" s="815" t="s">
        <v>487</v>
      </c>
      <c r="M71" s="815">
        <v>-10</v>
      </c>
      <c r="N71" s="815">
        <v>-11</v>
      </c>
      <c r="O71" s="815">
        <v>-12</v>
      </c>
      <c r="P71" s="793"/>
      <c r="Q71" s="792"/>
      <c r="R71" s="793"/>
      <c r="S71" s="792"/>
    </row>
    <row r="72" spans="1:22" ht="63">
      <c r="A72" s="814" t="s">
        <v>486</v>
      </c>
      <c r="B72" s="813"/>
      <c r="C72" s="813" t="s">
        <v>485</v>
      </c>
      <c r="D72" s="812" t="s">
        <v>484</v>
      </c>
      <c r="E72" s="810" t="s">
        <v>483</v>
      </c>
      <c r="F72" s="810" t="s">
        <v>482</v>
      </c>
      <c r="G72" s="811" t="s">
        <v>481</v>
      </c>
      <c r="H72" s="810" t="s">
        <v>480</v>
      </c>
      <c r="I72" s="810" t="s">
        <v>479</v>
      </c>
      <c r="J72" s="811" t="s">
        <v>478</v>
      </c>
      <c r="K72" s="810" t="s">
        <v>477</v>
      </c>
      <c r="L72" s="809" t="s">
        <v>476</v>
      </c>
      <c r="M72" s="807" t="s">
        <v>475</v>
      </c>
      <c r="N72" s="808" t="s">
        <v>474</v>
      </c>
      <c r="O72" s="807" t="s">
        <v>473</v>
      </c>
      <c r="P72" s="806"/>
      <c r="Q72" s="792"/>
      <c r="R72" s="793"/>
      <c r="S72" s="792"/>
    </row>
    <row r="73" spans="1:22" ht="46.5" customHeight="1">
      <c r="A73" s="805"/>
      <c r="B73" s="804"/>
      <c r="C73" s="804"/>
      <c r="D73" s="804"/>
      <c r="E73" s="802" t="s">
        <v>33</v>
      </c>
      <c r="F73" s="802" t="s">
        <v>472</v>
      </c>
      <c r="G73" s="803" t="s">
        <v>471</v>
      </c>
      <c r="H73" s="802" t="s">
        <v>35</v>
      </c>
      <c r="I73" s="802" t="s">
        <v>470</v>
      </c>
      <c r="J73" s="803" t="s">
        <v>469</v>
      </c>
      <c r="K73" s="802" t="s">
        <v>57</v>
      </c>
      <c r="L73" s="801" t="s">
        <v>468</v>
      </c>
      <c r="M73" s="800" t="s">
        <v>467</v>
      </c>
      <c r="N73" s="799" t="s">
        <v>466</v>
      </c>
      <c r="O73" s="798" t="s">
        <v>465</v>
      </c>
      <c r="P73" s="793"/>
      <c r="Q73" s="792"/>
      <c r="R73" s="793"/>
      <c r="S73" s="792"/>
    </row>
    <row r="74" spans="1:22">
      <c r="A74" s="797"/>
      <c r="B74" s="774"/>
      <c r="C74" s="774"/>
      <c r="D74" s="774"/>
      <c r="E74" s="774"/>
      <c r="F74" s="774"/>
      <c r="G74" s="795"/>
      <c r="H74" s="774"/>
      <c r="I74" s="774"/>
      <c r="J74" s="795"/>
      <c r="K74" s="774"/>
      <c r="L74" s="796"/>
      <c r="M74" s="795"/>
      <c r="N74" s="772"/>
      <c r="O74" s="794"/>
      <c r="P74" s="793"/>
      <c r="Q74" s="792"/>
      <c r="R74" s="793"/>
      <c r="S74" s="792"/>
    </row>
    <row r="75" spans="1:22" ht="15.75">
      <c r="A75" s="789" t="s">
        <v>140</v>
      </c>
      <c r="B75" s="788"/>
      <c r="C75" s="787" t="s">
        <v>863</v>
      </c>
      <c r="D75" s="786">
        <v>345</v>
      </c>
      <c r="E75" s="515">
        <f>ROUND(SUMIF('GG Support Data'!$C$9:$BE$9,$D75,'GG Support Data'!$C$25:$BE$25),2)</f>
        <v>141489622.5</v>
      </c>
      <c r="F75" s="785">
        <f>$M$35</f>
        <v>2.7117516279972276E-2</v>
      </c>
      <c r="G75" s="791">
        <f>ROUND(E75*F75,0)</f>
        <v>3836847</v>
      </c>
      <c r="H75" s="515">
        <f>ROUND(SUMIF('GG Support Data'!$C$9:$BE$9,$D75,'GG Support Data'!$C$58:$BE$58),2)</f>
        <v>86167124.849999994</v>
      </c>
      <c r="I75" s="785">
        <f>$M$45</f>
        <v>8.5322422523215147E-2</v>
      </c>
      <c r="J75" s="790">
        <f>ROUND(H75*I75,0)</f>
        <v>7351988</v>
      </c>
      <c r="K75" s="515">
        <f>ROUND(SUMIF('GG Support Data'!$C$9:$BE$9,$D75,'GG Support Data'!$C$63:$BE$63),2)</f>
        <v>3312802.51</v>
      </c>
      <c r="L75" s="515">
        <f>ROUND(SUMIF('GG Support Data'!$C$9:$BE$9,$D75,'GG Support Data'!$C$68:$BE$68),2)</f>
        <v>0</v>
      </c>
      <c r="M75" s="782">
        <f>G75+J75+K75+L75</f>
        <v>14501637.51</v>
      </c>
      <c r="N75" s="516">
        <f>SUMIF('GG True-up Template'!$A$46:$A$98,$D75,'GG True-up Template'!$AG$46:$AG$98)</f>
        <v>-170370.2941399347</v>
      </c>
      <c r="O75" s="782">
        <f>M75+N75</f>
        <v>14331267.215860065</v>
      </c>
      <c r="P75" s="758"/>
      <c r="Q75" s="777"/>
      <c r="R75" s="758"/>
      <c r="S75" s="758"/>
      <c r="T75" s="758"/>
      <c r="U75" s="758"/>
      <c r="V75" s="758"/>
    </row>
    <row r="76" spans="1:22" ht="15.75">
      <c r="A76" s="789" t="s">
        <v>464</v>
      </c>
      <c r="B76" s="788"/>
      <c r="C76" s="787" t="s">
        <v>865</v>
      </c>
      <c r="D76" s="786">
        <v>352</v>
      </c>
      <c r="E76" s="515">
        <f>ROUND(SUMIF('GG Support Data'!$C$9:$BE$9,$D76,'GG Support Data'!$C$25:$BE$25),2)</f>
        <v>88185651.480000004</v>
      </c>
      <c r="F76" s="785">
        <f>$M$35</f>
        <v>2.7117516279972276E-2</v>
      </c>
      <c r="G76" s="791">
        <f>ROUND(E76*F76,0)</f>
        <v>2391376</v>
      </c>
      <c r="H76" s="515">
        <f>ROUND(SUMIF('GG Support Data'!$C$9:$BE$9,$D76,'GG Support Data'!$C$58:$BE$58),2)</f>
        <v>50630626.25</v>
      </c>
      <c r="I76" s="785">
        <f>$M$45</f>
        <v>8.5322422523215147E-2</v>
      </c>
      <c r="J76" s="790">
        <f>ROUND(H76*I76,0)</f>
        <v>4319928</v>
      </c>
      <c r="K76" s="515">
        <f>ROUND(SUMIF('GG Support Data'!$C$9:$BE$9,$D76,'GG Support Data'!$C$63:$BE$63),2)</f>
        <v>2064405.99</v>
      </c>
      <c r="L76" s="515">
        <f>ROUND(SUMIF('GG Support Data'!$C$9:$BE$9,$D76,'GG Support Data'!$C$68:$BE$68),2)</f>
        <v>0</v>
      </c>
      <c r="M76" s="782">
        <f>G76+J76+K76+L76</f>
        <v>8775709.9900000002</v>
      </c>
      <c r="N76" s="516">
        <f>SUMIF('GG True-up Template'!$A$46:$A$98,$D76,'GG True-up Template'!$AG$46:$AG$98)</f>
        <v>-109065.67237024294</v>
      </c>
      <c r="O76" s="782">
        <f>M76+N76</f>
        <v>8666644.3176297564</v>
      </c>
      <c r="P76" s="758"/>
      <c r="Q76" s="777"/>
      <c r="R76" s="758"/>
      <c r="S76" s="758"/>
      <c r="T76" s="758"/>
      <c r="U76" s="758"/>
      <c r="V76" s="758"/>
    </row>
    <row r="77" spans="1:22" ht="15.75">
      <c r="A77" s="789" t="s">
        <v>463</v>
      </c>
      <c r="B77" s="788"/>
      <c r="C77" s="787" t="s">
        <v>871</v>
      </c>
      <c r="D77" s="786">
        <v>356</v>
      </c>
      <c r="E77" s="515">
        <f>ROUND(SUMIF('GG Support Data'!$C$9:$BE$9,$D77,'GG Support Data'!$C$25:$BE$25),2)</f>
        <v>140831065.21000001</v>
      </c>
      <c r="F77" s="785">
        <f>$M$35</f>
        <v>2.7117516279972276E-2</v>
      </c>
      <c r="G77" s="791">
        <f>ROUND(E77*F77,0)</f>
        <v>3818989</v>
      </c>
      <c r="H77" s="515">
        <f>ROUND(SUMIF('GG Support Data'!$C$9:$BE$9,$D77,'GG Support Data'!$C$58:$BE$58),2)</f>
        <v>97264898.829999998</v>
      </c>
      <c r="I77" s="785">
        <f>$M$45</f>
        <v>8.5322422523215147E-2</v>
      </c>
      <c r="J77" s="790">
        <f>ROUND(H77*I77,0)</f>
        <v>8298877</v>
      </c>
      <c r="K77" s="515">
        <f>ROUND(SUMIF('GG Support Data'!$C$9:$BE$9,$D77,'GG Support Data'!$C$63:$BE$63),2)</f>
        <v>3113339.82</v>
      </c>
      <c r="L77" s="515">
        <f>ROUND(SUMIF('GG Support Data'!$C$9:$BE$9,$D77,'GG Support Data'!$C$68:$BE$68),2)</f>
        <v>0</v>
      </c>
      <c r="M77" s="782">
        <f>G77+J77+K77+L77</f>
        <v>15231205.82</v>
      </c>
      <c r="N77" s="516">
        <f>SUMIF('GG True-up Template'!$A$46:$A$98,$D77,'GG True-up Template'!$AG$46:$AG$98)</f>
        <v>-176654.66306257332</v>
      </c>
      <c r="O77" s="782">
        <f>M77+N77</f>
        <v>15054551.156937428</v>
      </c>
      <c r="P77" s="758"/>
      <c r="Q77" s="777"/>
      <c r="R77" s="758"/>
      <c r="S77" s="758"/>
      <c r="T77" s="758"/>
      <c r="U77" s="758"/>
      <c r="V77" s="758"/>
    </row>
    <row r="78" spans="1:22" ht="15.75">
      <c r="A78" s="789" t="s">
        <v>462</v>
      </c>
      <c r="B78" s="788"/>
      <c r="C78" s="787" t="s">
        <v>864</v>
      </c>
      <c r="D78" s="786">
        <v>1453</v>
      </c>
      <c r="E78" s="515">
        <f>ROUND(SUMIF('GG Support Data'!$C$9:$BE$9,$D78,'GG Support Data'!$C$25:$BE$25),2)</f>
        <v>8744623.3699999992</v>
      </c>
      <c r="F78" s="785">
        <f t="shared" ref="F78:F124" si="0">$M$35</f>
        <v>2.7117516279972276E-2</v>
      </c>
      <c r="G78" s="791">
        <f t="shared" ref="G78:G121" si="1">ROUND(E78*F78,0)</f>
        <v>237132</v>
      </c>
      <c r="H78" s="515">
        <f>ROUND(SUMIF('GG Support Data'!$C$9:$BE$9,$D78,'GG Support Data'!$C$58:$BE$58),2)</f>
        <v>4265196.53</v>
      </c>
      <c r="I78" s="785">
        <f t="shared" ref="I78:I124" si="2">$M$45</f>
        <v>8.5322422523215147E-2</v>
      </c>
      <c r="J78" s="790">
        <f t="shared" ref="J78:J121" si="3">ROUND(H78*I78,0)</f>
        <v>363917</v>
      </c>
      <c r="K78" s="515">
        <f>ROUND(SUMIF('GG Support Data'!$C$9:$BE$9,$D78,'GG Support Data'!$C$63:$BE$63),2)</f>
        <v>255566.7</v>
      </c>
      <c r="L78" s="515">
        <f>ROUND(SUMIF('GG Support Data'!$C$9:$BE$9,$D78,'GG Support Data'!$C$68:$BE$68),2)</f>
        <v>0</v>
      </c>
      <c r="M78" s="782">
        <f t="shared" ref="M78:M121" si="4">G78+J78+K78+L78</f>
        <v>856615.7</v>
      </c>
      <c r="N78" s="516">
        <f>SUMIF('GG True-up Template'!$A$46:$A$98,$D78,'GG True-up Template'!$AG$46:$AG$98)</f>
        <v>-10636.794062578871</v>
      </c>
      <c r="O78" s="782">
        <f t="shared" ref="O78:O121" si="5">M78+N78</f>
        <v>845978.90593742114</v>
      </c>
      <c r="P78" s="758"/>
      <c r="Q78" s="777"/>
      <c r="R78" s="758"/>
      <c r="S78" s="758"/>
      <c r="T78" s="758"/>
      <c r="U78" s="758"/>
      <c r="V78" s="758"/>
    </row>
    <row r="79" spans="1:22" ht="15.75">
      <c r="A79" s="789" t="s">
        <v>914</v>
      </c>
      <c r="B79" s="788"/>
      <c r="C79" s="787" t="s">
        <v>872</v>
      </c>
      <c r="D79" s="786">
        <v>1616</v>
      </c>
      <c r="E79" s="515">
        <f>ROUND(SUMIF('GG Support Data'!$C$9:$BE$9,$D79,'GG Support Data'!$C$25:$BE$25),2)</f>
        <v>1259092.7</v>
      </c>
      <c r="F79" s="785">
        <f t="shared" si="0"/>
        <v>2.7117516279972276E-2</v>
      </c>
      <c r="G79" s="791">
        <f t="shared" si="1"/>
        <v>34143</v>
      </c>
      <c r="H79" s="515">
        <f>ROUND(SUMIF('GG Support Data'!$C$9:$BE$9,$D79,'GG Support Data'!$C$58:$BE$58),2)</f>
        <v>862697.22</v>
      </c>
      <c r="I79" s="785">
        <f t="shared" si="2"/>
        <v>8.5322422523215147E-2</v>
      </c>
      <c r="J79" s="790">
        <f t="shared" si="3"/>
        <v>73607</v>
      </c>
      <c r="K79" s="515">
        <f>ROUND(SUMIF('GG Support Data'!$C$9:$BE$9,$D79,'GG Support Data'!$C$63:$BE$63),2)</f>
        <v>32489.25</v>
      </c>
      <c r="L79" s="515">
        <f>ROUND(SUMIF('GG Support Data'!$C$9:$BE$9,$D79,'GG Support Data'!$C$68:$BE$68),2)</f>
        <v>0</v>
      </c>
      <c r="M79" s="782">
        <f t="shared" si="4"/>
        <v>140239.25</v>
      </c>
      <c r="N79" s="516">
        <f>SUMIF('GG True-up Template'!$A$46:$A$98,$D79,'GG True-up Template'!$AG$46:$AG$98)</f>
        <v>-15127.517942156705</v>
      </c>
      <c r="O79" s="782">
        <f t="shared" si="5"/>
        <v>125111.7320578433</v>
      </c>
      <c r="P79" s="758"/>
      <c r="Q79" s="777"/>
      <c r="R79" s="758"/>
      <c r="S79" s="758"/>
      <c r="T79" s="758"/>
      <c r="U79" s="758"/>
      <c r="V79" s="758"/>
    </row>
    <row r="80" spans="1:22" ht="15.75">
      <c r="A80" s="789" t="s">
        <v>915</v>
      </c>
      <c r="B80" s="788"/>
      <c r="C80" s="787" t="s">
        <v>876</v>
      </c>
      <c r="D80" s="786">
        <v>1950</v>
      </c>
      <c r="E80" s="515">
        <f>ROUND(SUMIF('GG Support Data'!$C$9:$BE$9,$D80,'GG Support Data'!$C$25:$BE$25),2)</f>
        <v>14480989.640000001</v>
      </c>
      <c r="F80" s="785">
        <f t="shared" si="0"/>
        <v>2.7117516279972276E-2</v>
      </c>
      <c r="G80" s="791">
        <f t="shared" si="1"/>
        <v>392688</v>
      </c>
      <c r="H80" s="515">
        <f>ROUND(SUMIF('GG Support Data'!$C$9:$BE$9,$D80,'GG Support Data'!$C$58:$BE$58),2)</f>
        <v>8972615.6999999993</v>
      </c>
      <c r="I80" s="785">
        <f t="shared" si="2"/>
        <v>8.5322422523215147E-2</v>
      </c>
      <c r="J80" s="790">
        <f t="shared" si="3"/>
        <v>765565</v>
      </c>
      <c r="K80" s="515">
        <f>ROUND(SUMIF('GG Support Data'!$C$9:$BE$9,$D80,'GG Support Data'!$C$63:$BE$63),2)</f>
        <v>407889.48</v>
      </c>
      <c r="L80" s="515">
        <f>ROUND(SUMIF('GG Support Data'!$C$9:$BE$9,$D80,'GG Support Data'!$C$68:$BE$68),2)</f>
        <v>0</v>
      </c>
      <c r="M80" s="782">
        <f t="shared" si="4"/>
        <v>1566142.48</v>
      </c>
      <c r="N80" s="516">
        <f>SUMIF('GG True-up Template'!$A$46:$A$98,$D80,'GG True-up Template'!$AG$46:$AG$98)</f>
        <v>-15227.728499947287</v>
      </c>
      <c r="O80" s="782">
        <f t="shared" si="5"/>
        <v>1550914.7515000526</v>
      </c>
      <c r="P80" s="758"/>
      <c r="Q80" s="777"/>
      <c r="R80" s="758"/>
      <c r="S80" s="758"/>
      <c r="T80" s="758"/>
      <c r="U80" s="758"/>
      <c r="V80" s="758"/>
    </row>
    <row r="81" spans="1:22" ht="15.75">
      <c r="A81" s="789" t="s">
        <v>461</v>
      </c>
      <c r="B81" s="788"/>
      <c r="C81" s="787" t="s">
        <v>873</v>
      </c>
      <c r="D81" s="786">
        <v>2452</v>
      </c>
      <c r="E81" s="515">
        <f>ROUND(SUMIF('GG Support Data'!$C$9:$BE$9,$D81,'GG Support Data'!$C$25:$BE$25),2)</f>
        <v>1964606.76</v>
      </c>
      <c r="F81" s="785">
        <f t="shared" si="0"/>
        <v>2.7117516279972276E-2</v>
      </c>
      <c r="G81" s="791">
        <f t="shared" si="1"/>
        <v>53275</v>
      </c>
      <c r="H81" s="515">
        <f>ROUND(SUMIF('GG Support Data'!$C$9:$BE$9,$D81,'GG Support Data'!$C$58:$BE$58),2)</f>
        <v>1449390.25</v>
      </c>
      <c r="I81" s="785">
        <f t="shared" si="2"/>
        <v>8.5322422523215147E-2</v>
      </c>
      <c r="J81" s="790">
        <f t="shared" si="3"/>
        <v>123665</v>
      </c>
      <c r="K81" s="515">
        <f>ROUND(SUMIF('GG Support Data'!$C$9:$BE$9,$D81,'GG Support Data'!$C$63:$BE$63),2)</f>
        <v>53379.12</v>
      </c>
      <c r="L81" s="515">
        <f>ROUND(SUMIF('GG Support Data'!$C$9:$BE$9,$D81,'GG Support Data'!$C$68:$BE$68),2)</f>
        <v>0</v>
      </c>
      <c r="M81" s="782">
        <f t="shared" si="4"/>
        <v>230319.12</v>
      </c>
      <c r="N81" s="516">
        <f>SUMIF('GG True-up Template'!$A$46:$A$98,$D81,'GG True-up Template'!$AG$46:$AG$98)</f>
        <v>-19092.55574365073</v>
      </c>
      <c r="O81" s="782">
        <f t="shared" si="5"/>
        <v>211226.56425634926</v>
      </c>
      <c r="P81" s="758"/>
      <c r="Q81" s="777"/>
      <c r="R81" s="758"/>
      <c r="S81" s="758"/>
      <c r="T81" s="758"/>
      <c r="U81" s="758"/>
      <c r="V81" s="758"/>
    </row>
    <row r="82" spans="1:22" ht="15.75">
      <c r="A82" s="789" t="s">
        <v>460</v>
      </c>
      <c r="B82" s="788"/>
      <c r="C82" s="787" t="s">
        <v>875</v>
      </c>
      <c r="D82" s="786">
        <v>2793</v>
      </c>
      <c r="E82" s="515">
        <f>ROUND(SUMIF('GG Support Data'!$C$9:$BE$9,$D82,'GG Support Data'!$C$25:$BE$25),2)</f>
        <v>14404.66</v>
      </c>
      <c r="F82" s="785">
        <f t="shared" si="0"/>
        <v>2.7117516279972276E-2</v>
      </c>
      <c r="G82" s="791">
        <f t="shared" si="1"/>
        <v>391</v>
      </c>
      <c r="H82" s="515">
        <f>ROUND(SUMIF('GG Support Data'!$C$9:$BE$9,$D82,'GG Support Data'!$C$58:$BE$58),2)</f>
        <v>354977.58</v>
      </c>
      <c r="I82" s="785">
        <f t="shared" si="2"/>
        <v>8.5322422523215147E-2</v>
      </c>
      <c r="J82" s="790">
        <f t="shared" si="3"/>
        <v>30288</v>
      </c>
      <c r="K82" s="515">
        <f>ROUND(SUMIF('GG Support Data'!$C$9:$BE$9,$D82,'GG Support Data'!$C$63:$BE$63),2)</f>
        <v>726.18</v>
      </c>
      <c r="L82" s="515">
        <f>ROUND(SUMIF('GG Support Data'!$C$9:$BE$9,$D82,'GG Support Data'!$C$68:$BE$68),2)</f>
        <v>0</v>
      </c>
      <c r="M82" s="782">
        <f t="shared" si="4"/>
        <v>31405.18</v>
      </c>
      <c r="N82" s="516">
        <f>SUMIF('GG True-up Template'!$A$46:$A$98,$D82,'GG True-up Template'!$AG$46:$AG$98)</f>
        <v>16893.212694677059</v>
      </c>
      <c r="O82" s="782">
        <f t="shared" si="5"/>
        <v>48298.392694677059</v>
      </c>
      <c r="P82" s="758"/>
      <c r="Q82" s="777"/>
      <c r="R82" s="758"/>
      <c r="S82" s="758"/>
      <c r="T82" s="758"/>
      <c r="U82" s="758"/>
      <c r="V82" s="758"/>
    </row>
    <row r="83" spans="1:22" ht="15.75">
      <c r="A83" s="789" t="s">
        <v>458</v>
      </c>
      <c r="B83" s="788"/>
      <c r="C83" s="787" t="s">
        <v>874</v>
      </c>
      <c r="D83" s="786">
        <v>2837</v>
      </c>
      <c r="E83" s="515">
        <f>ROUND(SUMIF('GG Support Data'!$C$9:$BE$9,$D83,'GG Support Data'!$C$25:$BE$25),2)</f>
        <v>313645.67</v>
      </c>
      <c r="F83" s="785">
        <f t="shared" si="0"/>
        <v>2.7117516279972276E-2</v>
      </c>
      <c r="G83" s="791">
        <f t="shared" si="1"/>
        <v>8505</v>
      </c>
      <c r="H83" s="515">
        <f>ROUND(SUMIF('GG Support Data'!$C$9:$BE$9,$D83,'GG Support Data'!$C$58:$BE$58),2)</f>
        <v>412945.79</v>
      </c>
      <c r="I83" s="785">
        <f t="shared" si="2"/>
        <v>8.5322422523215147E-2</v>
      </c>
      <c r="J83" s="790">
        <f t="shared" si="3"/>
        <v>35234</v>
      </c>
      <c r="K83" s="515">
        <f>ROUND(SUMIF('GG Support Data'!$C$9:$BE$9,$D83,'GG Support Data'!$C$63:$BE$63),2)</f>
        <v>8862.5400000000009</v>
      </c>
      <c r="L83" s="515">
        <f>ROUND(SUMIF('GG Support Data'!$C$9:$BE$9,$D83,'GG Support Data'!$C$68:$BE$68),2)</f>
        <v>0</v>
      </c>
      <c r="M83" s="782">
        <f t="shared" si="4"/>
        <v>52601.54</v>
      </c>
      <c r="N83" s="516">
        <f>SUMIF('GG True-up Template'!$A$46:$A$98,$D83,'GG True-up Template'!$AG$46:$AG$98)</f>
        <v>-5398.4117465150885</v>
      </c>
      <c r="O83" s="782">
        <f t="shared" si="5"/>
        <v>47203.128253484916</v>
      </c>
      <c r="P83" s="758"/>
      <c r="Q83" s="777"/>
      <c r="R83" s="758"/>
      <c r="S83" s="758"/>
      <c r="T83" s="758"/>
      <c r="U83" s="758"/>
      <c r="V83" s="758"/>
    </row>
    <row r="84" spans="1:22" ht="15.75">
      <c r="A84" s="789" t="s">
        <v>457</v>
      </c>
      <c r="B84" s="788"/>
      <c r="C84" s="787" t="s">
        <v>878</v>
      </c>
      <c r="D84" s="786">
        <v>2846</v>
      </c>
      <c r="E84" s="515">
        <f>ROUND(SUMIF('GG Support Data'!$C$9:$BE$9,$D84,'GG Support Data'!$C$25:$BE$25),2)</f>
        <v>120152855.73999999</v>
      </c>
      <c r="F84" s="785">
        <f t="shared" si="0"/>
        <v>2.7117516279972276E-2</v>
      </c>
      <c r="G84" s="791">
        <f t="shared" si="1"/>
        <v>3258247</v>
      </c>
      <c r="H84" s="515">
        <f>ROUND(SUMIF('GG Support Data'!$C$9:$BE$9,$D84,'GG Support Data'!$C$58:$BE$58),2)</f>
        <v>71552145.969999999</v>
      </c>
      <c r="I84" s="785">
        <f t="shared" si="2"/>
        <v>8.5322422523215147E-2</v>
      </c>
      <c r="J84" s="790">
        <f t="shared" si="3"/>
        <v>6105002</v>
      </c>
      <c r="K84" s="515">
        <f>ROUND(SUMIF('GG Support Data'!$C$9:$BE$9,$D84,'GG Support Data'!$C$63:$BE$63),2)</f>
        <v>4284031.6900000004</v>
      </c>
      <c r="L84" s="515">
        <f>ROUND(SUMIF('GG Support Data'!$C$9:$BE$9,$D84,'GG Support Data'!$C$68:$BE$68),2)</f>
        <v>0</v>
      </c>
      <c r="M84" s="782">
        <f t="shared" si="4"/>
        <v>13647280.690000001</v>
      </c>
      <c r="N84" s="516">
        <f>SUMIF('GG True-up Template'!$A$46:$A$98,$D84,'GG True-up Template'!$AG$46:$AG$98)</f>
        <v>-151771.39210861962</v>
      </c>
      <c r="O84" s="782">
        <f t="shared" si="5"/>
        <v>13495509.297891382</v>
      </c>
      <c r="P84" s="758"/>
      <c r="Q84" s="777"/>
      <c r="R84" s="758"/>
      <c r="S84" s="758"/>
      <c r="T84" s="758"/>
      <c r="U84" s="758"/>
      <c r="V84" s="758"/>
    </row>
    <row r="85" spans="1:22" ht="15.75">
      <c r="A85" s="789" t="s">
        <v>456</v>
      </c>
      <c r="B85" s="788"/>
      <c r="C85" s="787" t="s">
        <v>880</v>
      </c>
      <c r="D85" s="786">
        <v>3125</v>
      </c>
      <c r="E85" s="515">
        <f>ROUND(SUMIF('GG Support Data'!$C$9:$BE$9,$D85,'GG Support Data'!$C$25:$BE$25),2)</f>
        <v>26280956.879999999</v>
      </c>
      <c r="F85" s="785">
        <f t="shared" si="0"/>
        <v>2.7117516279972276E-2</v>
      </c>
      <c r="G85" s="791">
        <f t="shared" si="1"/>
        <v>712674</v>
      </c>
      <c r="H85" s="515">
        <f>ROUND(SUMIF('GG Support Data'!$C$9:$BE$9,$D85,'GG Support Data'!$C$58:$BE$58),2)</f>
        <v>18391090.25</v>
      </c>
      <c r="I85" s="785">
        <f t="shared" si="2"/>
        <v>8.5322422523215147E-2</v>
      </c>
      <c r="J85" s="790">
        <f t="shared" si="3"/>
        <v>1569172</v>
      </c>
      <c r="K85" s="515">
        <f>ROUND(SUMIF('GG Support Data'!$C$9:$BE$9,$D85,'GG Support Data'!$C$63:$BE$63),2)</f>
        <v>741704.29</v>
      </c>
      <c r="L85" s="515">
        <f>ROUND(SUMIF('GG Support Data'!$C$9:$BE$9,$D85,'GG Support Data'!$C$68:$BE$68),2)</f>
        <v>0</v>
      </c>
      <c r="M85" s="782">
        <f t="shared" si="4"/>
        <v>3023550.29</v>
      </c>
      <c r="N85" s="516">
        <f>SUMIF('GG True-up Template'!$A$46:$A$98,$D85,'GG True-up Template'!$AG$46:$AG$98)</f>
        <v>-41132.545412510568</v>
      </c>
      <c r="O85" s="782">
        <f t="shared" si="5"/>
        <v>2982417.7445874894</v>
      </c>
      <c r="P85" s="758"/>
      <c r="Q85" s="777"/>
      <c r="R85" s="758"/>
      <c r="S85" s="758"/>
      <c r="T85" s="758"/>
      <c r="U85" s="758"/>
      <c r="V85" s="758"/>
    </row>
    <row r="86" spans="1:22" ht="15.75">
      <c r="A86" s="789" t="s">
        <v>455</v>
      </c>
      <c r="B86" s="788"/>
      <c r="C86" s="787" t="s">
        <v>877</v>
      </c>
      <c r="D86" s="786">
        <v>3206</v>
      </c>
      <c r="E86" s="515">
        <f>ROUND(SUMIF('GG Support Data'!$C$9:$BE$9,$D86,'GG Support Data'!$C$25:$BE$25),2)</f>
        <v>25747209.859999999</v>
      </c>
      <c r="F86" s="785">
        <f t="shared" si="0"/>
        <v>2.7117516279972276E-2</v>
      </c>
      <c r="G86" s="791">
        <f t="shared" si="1"/>
        <v>698200</v>
      </c>
      <c r="H86" s="515">
        <f>ROUND(SUMIF('GG Support Data'!$C$9:$BE$9,$D86,'GG Support Data'!$C$58:$BE$58),2)</f>
        <v>20425049.5</v>
      </c>
      <c r="I86" s="785">
        <f t="shared" si="2"/>
        <v>8.5322422523215147E-2</v>
      </c>
      <c r="J86" s="790">
        <f t="shared" si="3"/>
        <v>1742715</v>
      </c>
      <c r="K86" s="515">
        <f>ROUND(SUMIF('GG Support Data'!$C$9:$BE$9,$D86,'GG Support Data'!$C$63:$BE$63),2)</f>
        <v>658029.6</v>
      </c>
      <c r="L86" s="515">
        <f>ROUND(SUMIF('GG Support Data'!$C$9:$BE$9,$D86,'GG Support Data'!$C$68:$BE$68),2)</f>
        <v>0</v>
      </c>
      <c r="M86" s="782">
        <f t="shared" si="4"/>
        <v>3098944.6</v>
      </c>
      <c r="N86" s="516">
        <f>SUMIF('GG True-up Template'!$A$46:$A$98,$D86,'GG True-up Template'!$AG$46:$AG$98)</f>
        <v>-35337.880475894672</v>
      </c>
      <c r="O86" s="782">
        <f t="shared" si="5"/>
        <v>3063606.7195241055</v>
      </c>
      <c r="P86" s="758"/>
      <c r="Q86" s="777"/>
      <c r="R86" s="758"/>
      <c r="S86" s="758"/>
      <c r="T86" s="758"/>
      <c r="U86" s="758"/>
      <c r="V86" s="758"/>
    </row>
    <row r="87" spans="1:22" ht="15.75">
      <c r="A87" s="789" t="s">
        <v>454</v>
      </c>
      <c r="B87" s="788"/>
      <c r="C87" s="787" t="s">
        <v>881</v>
      </c>
      <c r="D87" s="786">
        <v>3679</v>
      </c>
      <c r="E87" s="515">
        <f>ROUND(SUMIF('GG Support Data'!$C$9:$BE$9,$D87,'GG Support Data'!$C$25:$BE$25),2)</f>
        <v>226582493.37</v>
      </c>
      <c r="F87" s="785">
        <f t="shared" si="0"/>
        <v>2.7117516279972276E-2</v>
      </c>
      <c r="G87" s="791">
        <f t="shared" si="1"/>
        <v>6144354</v>
      </c>
      <c r="H87" s="515">
        <f>ROUND(SUMIF('GG Support Data'!$C$9:$BE$9,$D87,'GG Support Data'!$C$58:$BE$58),2)</f>
        <v>178567199.88</v>
      </c>
      <c r="I87" s="785">
        <f t="shared" si="2"/>
        <v>8.5322422523215147E-2</v>
      </c>
      <c r="J87" s="790">
        <f t="shared" si="3"/>
        <v>15235786</v>
      </c>
      <c r="K87" s="515">
        <f>ROUND(SUMIF('GG Support Data'!$C$9:$BE$9,$D87,'GG Support Data'!$C$63:$BE$63),2)</f>
        <v>5485037.6799999997</v>
      </c>
      <c r="L87" s="515">
        <f>ROUND(SUMIF('GG Support Data'!$C$9:$BE$9,$D87,'GG Support Data'!$C$68:$BE$68),2)</f>
        <v>0</v>
      </c>
      <c r="M87" s="782">
        <f t="shared" si="4"/>
        <v>26865177.68</v>
      </c>
      <c r="N87" s="516">
        <f>SUMIF('GG True-up Template'!$A$46:$A$98,$D87,'GG True-up Template'!$AG$46:$AG$98)</f>
        <v>-409361.65330476646</v>
      </c>
      <c r="O87" s="782">
        <f t="shared" si="5"/>
        <v>26455816.026695233</v>
      </c>
      <c r="P87" s="758"/>
      <c r="Q87" s="777"/>
      <c r="R87" s="758"/>
      <c r="S87" s="758"/>
      <c r="T87" s="758"/>
      <c r="U87" s="758"/>
      <c r="V87" s="758"/>
    </row>
    <row r="88" spans="1:22" ht="30">
      <c r="A88" s="789" t="s">
        <v>453</v>
      </c>
      <c r="B88" s="788"/>
      <c r="C88" s="787" t="s">
        <v>882</v>
      </c>
      <c r="D88" s="786">
        <v>12284</v>
      </c>
      <c r="E88" s="515">
        <f>ROUND(SUMIF('GG Support Data'!$C$9:$BE$9,$D88,'GG Support Data'!$C$25:$BE$25),2)</f>
        <v>7445003.0599999996</v>
      </c>
      <c r="F88" s="785">
        <f t="shared" si="0"/>
        <v>2.7117516279972276E-2</v>
      </c>
      <c r="G88" s="791">
        <f t="shared" si="1"/>
        <v>201890</v>
      </c>
      <c r="H88" s="515">
        <f>ROUND(SUMIF('GG Support Data'!$C$9:$BE$9,$D88,'GG Support Data'!$C$58:$BE$58),2)</f>
        <v>5949504.9100000001</v>
      </c>
      <c r="I88" s="785">
        <f t="shared" si="2"/>
        <v>8.5322422523215147E-2</v>
      </c>
      <c r="J88" s="790">
        <f t="shared" si="3"/>
        <v>507626</v>
      </c>
      <c r="K88" s="515">
        <f>ROUND(SUMIF('GG Support Data'!$C$9:$BE$9,$D88,'GG Support Data'!$C$63:$BE$63),2)</f>
        <v>193112.28</v>
      </c>
      <c r="L88" s="515">
        <f>ROUND(SUMIF('GG Support Data'!$C$9:$BE$9,$D88,'GG Support Data'!$C$68:$BE$68),2)</f>
        <v>0</v>
      </c>
      <c r="M88" s="782">
        <f t="shared" si="4"/>
        <v>902628.28</v>
      </c>
      <c r="N88" s="516">
        <f>SUMIF('GG True-up Template'!$A$46:$A$98,$D88,'GG True-up Template'!$AG$46:$AG$98)</f>
        <v>-52842.73886330919</v>
      </c>
      <c r="O88" s="782">
        <f t="shared" si="5"/>
        <v>849785.54113669088</v>
      </c>
      <c r="P88" s="758"/>
      <c r="Q88" s="777"/>
      <c r="R88" s="758"/>
      <c r="S88" s="758"/>
      <c r="T88" s="758"/>
      <c r="U88" s="758"/>
      <c r="V88" s="758"/>
    </row>
    <row r="89" spans="1:22" ht="15.75">
      <c r="A89" s="789" t="s">
        <v>452</v>
      </c>
      <c r="B89" s="788"/>
      <c r="C89" s="787" t="s">
        <v>883</v>
      </c>
      <c r="D89" s="786">
        <v>13103</v>
      </c>
      <c r="E89" s="515">
        <f>ROUND(SUMIF('GG Support Data'!$C$9:$BE$9,$D89,'GG Support Data'!$C$25:$BE$25),2)</f>
        <v>19801267.059999999</v>
      </c>
      <c r="F89" s="785">
        <f t="shared" si="0"/>
        <v>2.7117516279972276E-2</v>
      </c>
      <c r="G89" s="791">
        <f t="shared" si="1"/>
        <v>536961</v>
      </c>
      <c r="H89" s="515">
        <f>ROUND(SUMIF('GG Support Data'!$C$9:$BE$9,$D89,'GG Support Data'!$C$58:$BE$58),2)</f>
        <v>17296227.27</v>
      </c>
      <c r="I89" s="785">
        <f t="shared" si="2"/>
        <v>8.5322422523215147E-2</v>
      </c>
      <c r="J89" s="790">
        <f t="shared" si="3"/>
        <v>1475756</v>
      </c>
      <c r="K89" s="515">
        <f>ROUND(SUMIF('GG Support Data'!$C$9:$BE$9,$D89,'GG Support Data'!$C$63:$BE$63),2)</f>
        <v>511744.44</v>
      </c>
      <c r="L89" s="515">
        <f>ROUND(SUMIF('GG Support Data'!$C$9:$BE$9,$D89,'GG Support Data'!$C$68:$BE$68),2)</f>
        <v>0</v>
      </c>
      <c r="M89" s="782">
        <f t="shared" si="4"/>
        <v>2524461.44</v>
      </c>
      <c r="N89" s="516">
        <f>SUMIF('GG True-up Template'!$A$46:$A$98,$D89,'GG True-up Template'!$AG$46:$AG$98)</f>
        <v>-96513.658711894983</v>
      </c>
      <c r="O89" s="782">
        <f t="shared" si="5"/>
        <v>2427947.7812881051</v>
      </c>
      <c r="P89" s="758"/>
      <c r="Q89" s="777"/>
      <c r="R89" s="758"/>
      <c r="S89" s="758"/>
      <c r="T89" s="758"/>
      <c r="U89" s="758"/>
      <c r="V89" s="758"/>
    </row>
    <row r="90" spans="1:22" ht="15.75">
      <c r="A90" s="789" t="s">
        <v>451</v>
      </c>
      <c r="B90" s="788"/>
      <c r="C90" s="787" t="s">
        <v>992</v>
      </c>
      <c r="D90" s="786">
        <v>13769</v>
      </c>
      <c r="E90" s="515">
        <f>ROUND(SUMIF('GG Support Data'!$C$9:$BE$9,$D90,'GG Support Data'!$C$25:$BE$25),2)</f>
        <v>8380624.5</v>
      </c>
      <c r="F90" s="785">
        <f t="shared" si="0"/>
        <v>2.7117516279972276E-2</v>
      </c>
      <c r="G90" s="791">
        <f t="shared" si="1"/>
        <v>227262</v>
      </c>
      <c r="H90" s="515">
        <f>ROUND(SUMIF('GG Support Data'!$C$9:$BE$9,$D90,'GG Support Data'!$C$58:$BE$58),2)</f>
        <v>6715721.1200000001</v>
      </c>
      <c r="I90" s="785">
        <f t="shared" si="2"/>
        <v>8.5322422523215147E-2</v>
      </c>
      <c r="J90" s="790">
        <f t="shared" si="3"/>
        <v>573002</v>
      </c>
      <c r="K90" s="515">
        <f>ROUND(SUMIF('GG Support Data'!$C$9:$BE$9,$D90,'GG Support Data'!$C$63:$BE$63),2)</f>
        <v>238091.28</v>
      </c>
      <c r="L90" s="515">
        <f>ROUND(SUMIF('GG Support Data'!$C$9:$BE$9,$D90,'GG Support Data'!$C$68:$BE$68),2)</f>
        <v>0</v>
      </c>
      <c r="M90" s="782">
        <f t="shared" si="4"/>
        <v>1038355.28</v>
      </c>
      <c r="N90" s="516">
        <f>SUMIF('GG True-up Template'!$A$46:$A$98,$D90,'GG True-up Template'!$AG$46:$AG$98)</f>
        <v>-56579.052329430036</v>
      </c>
      <c r="O90" s="782">
        <f t="shared" si="5"/>
        <v>981776.22767057002</v>
      </c>
      <c r="P90" s="758"/>
      <c r="Q90" s="777"/>
      <c r="R90" s="758"/>
      <c r="S90" s="758"/>
      <c r="T90" s="758"/>
      <c r="U90" s="758"/>
      <c r="V90" s="758"/>
    </row>
    <row r="91" spans="1:22" ht="15.75">
      <c r="A91" s="789" t="s">
        <v>800</v>
      </c>
      <c r="B91" s="788"/>
      <c r="C91" s="787" t="s">
        <v>993</v>
      </c>
      <c r="D91" s="786">
        <v>13784</v>
      </c>
      <c r="E91" s="515">
        <f>ROUND(SUMIF('GG Support Data'!$C$9:$BE$9,$D91,'GG Support Data'!$C$25:$BE$25),2)</f>
        <v>6619943.8700000001</v>
      </c>
      <c r="F91" s="785">
        <f t="shared" si="0"/>
        <v>2.7117516279972276E-2</v>
      </c>
      <c r="G91" s="791">
        <f t="shared" si="1"/>
        <v>179516</v>
      </c>
      <c r="H91" s="515">
        <f>ROUND(SUMIF('GG Support Data'!$C$9:$BE$9,$D91,'GG Support Data'!$C$58:$BE$58),2)</f>
        <v>5388999.2300000004</v>
      </c>
      <c r="I91" s="785">
        <f t="shared" si="2"/>
        <v>8.5322422523215147E-2</v>
      </c>
      <c r="J91" s="790">
        <f t="shared" si="3"/>
        <v>459802</v>
      </c>
      <c r="K91" s="515">
        <f>ROUND(SUMIF('GG Support Data'!$C$9:$BE$9,$D91,'GG Support Data'!$C$63:$BE$63),2)</f>
        <v>184536.9</v>
      </c>
      <c r="L91" s="515">
        <f>ROUND(SUMIF('GG Support Data'!$C$9:$BE$9,$D91,'GG Support Data'!$C$68:$BE$68),2)</f>
        <v>0</v>
      </c>
      <c r="M91" s="782">
        <f t="shared" si="4"/>
        <v>823854.9</v>
      </c>
      <c r="N91" s="516">
        <f>SUMIF('GG True-up Template'!$A$46:$A$98,$D91,'GG True-up Template'!$AG$46:$AG$98)</f>
        <v>-44728.742928870794</v>
      </c>
      <c r="O91" s="782">
        <f t="shared" si="5"/>
        <v>779126.15707112919</v>
      </c>
      <c r="P91" s="758"/>
      <c r="Q91" s="777"/>
      <c r="R91" s="758"/>
      <c r="S91" s="758"/>
      <c r="T91" s="758"/>
      <c r="U91" s="758"/>
      <c r="V91" s="758"/>
    </row>
    <row r="92" spans="1:22" ht="15.75">
      <c r="A92" s="789" t="s">
        <v>801</v>
      </c>
      <c r="B92" s="788"/>
      <c r="C92" s="787" t="s">
        <v>991</v>
      </c>
      <c r="D92" s="786">
        <v>14925</v>
      </c>
      <c r="E92" s="515">
        <f>ROUND(SUMIF('GG Support Data'!$C$9:$BE$9,$D92,'GG Support Data'!$C$25:$BE$25),2)</f>
        <v>2664959.21</v>
      </c>
      <c r="F92" s="785">
        <f t="shared" si="0"/>
        <v>2.7117516279972276E-2</v>
      </c>
      <c r="G92" s="791">
        <f t="shared" si="1"/>
        <v>72267</v>
      </c>
      <c r="H92" s="515">
        <f>ROUND(SUMIF('GG Support Data'!$C$9:$BE$9,$D92,'GG Support Data'!$C$58:$BE$58),2)</f>
        <v>2306423.86</v>
      </c>
      <c r="I92" s="785">
        <f t="shared" si="2"/>
        <v>8.5322422523215147E-2</v>
      </c>
      <c r="J92" s="790">
        <f t="shared" si="3"/>
        <v>196790</v>
      </c>
      <c r="K92" s="515">
        <f>ROUND(SUMIF('GG Support Data'!$C$9:$BE$9,$D92,'GG Support Data'!$C$63:$BE$63),2)</f>
        <v>76176.66</v>
      </c>
      <c r="L92" s="515">
        <f>ROUND(SUMIF('GG Support Data'!$C$9:$BE$9,$D92,'GG Support Data'!$C$68:$BE$68),2)</f>
        <v>0</v>
      </c>
      <c r="M92" s="782">
        <f t="shared" si="4"/>
        <v>345233.66000000003</v>
      </c>
      <c r="N92" s="516">
        <f>SUMIF('GG True-up Template'!$A$46:$A$98,$D92,'GG True-up Template'!$AG$46:$AG$98)</f>
        <v>-9089.4683334189249</v>
      </c>
      <c r="O92" s="782">
        <f t="shared" si="5"/>
        <v>336144.19166658109</v>
      </c>
      <c r="P92" s="758"/>
      <c r="Q92" s="777"/>
      <c r="R92" s="758"/>
      <c r="S92" s="758"/>
      <c r="T92" s="758"/>
      <c r="U92" s="758"/>
      <c r="V92" s="758"/>
    </row>
    <row r="93" spans="1:22" ht="15.75">
      <c r="A93" s="789" t="s">
        <v>802</v>
      </c>
      <c r="B93" s="788"/>
      <c r="C93" s="787" t="s">
        <v>866</v>
      </c>
      <c r="D93" s="786">
        <v>16494</v>
      </c>
      <c r="E93" s="515">
        <f>ROUND(SUMIF('GG Support Data'!$C$9:$BE$9,$D93,'GG Support Data'!$C$25:$BE$25),2)</f>
        <v>216107.65</v>
      </c>
      <c r="F93" s="785">
        <f t="shared" si="0"/>
        <v>2.7117516279972276E-2</v>
      </c>
      <c r="G93" s="791">
        <f t="shared" si="1"/>
        <v>5860</v>
      </c>
      <c r="H93" s="515">
        <f>ROUND(SUMIF('GG Support Data'!$C$9:$BE$9,$D93,'GG Support Data'!$C$58:$BE$58),2)</f>
        <v>186279.3</v>
      </c>
      <c r="I93" s="785">
        <f t="shared" si="2"/>
        <v>8.5322422523215147E-2</v>
      </c>
      <c r="J93" s="790">
        <f t="shared" si="3"/>
        <v>15894</v>
      </c>
      <c r="K93" s="515">
        <f>ROUND(SUMIF('GG Support Data'!$C$9:$BE$9,$D93,'GG Support Data'!$C$63:$BE$63),2)</f>
        <v>7018.08</v>
      </c>
      <c r="L93" s="515">
        <f>ROUND(SUMIF('GG Support Data'!$C$9:$BE$9,$D93,'GG Support Data'!$C$68:$BE$68),2)</f>
        <v>0</v>
      </c>
      <c r="M93" s="782">
        <f t="shared" si="4"/>
        <v>28772.080000000002</v>
      </c>
      <c r="N93" s="516">
        <f>SUMIF('GG True-up Template'!$A$46:$A$98,$D93,'GG True-up Template'!$AG$46:$AG$98)</f>
        <v>-667.04687082894236</v>
      </c>
      <c r="O93" s="782">
        <f t="shared" si="5"/>
        <v>28105.033129171061</v>
      </c>
      <c r="P93" s="758"/>
      <c r="Q93" s="777"/>
      <c r="R93" s="758"/>
      <c r="S93" s="758"/>
      <c r="T93" s="758"/>
      <c r="U93" s="758"/>
      <c r="V93" s="758"/>
    </row>
    <row r="94" spans="1:22" ht="15.75">
      <c r="A94" s="789" t="s">
        <v>803</v>
      </c>
      <c r="B94" s="788"/>
      <c r="C94" s="787" t="s">
        <v>867</v>
      </c>
      <c r="D94" s="786">
        <v>17064</v>
      </c>
      <c r="E94" s="515">
        <f>ROUND(SUMIF('GG Support Data'!$C$9:$BE$9,$D94,'GG Support Data'!$C$25:$BE$25),2)</f>
        <v>52197.69</v>
      </c>
      <c r="F94" s="785">
        <f t="shared" si="0"/>
        <v>2.7117516279972276E-2</v>
      </c>
      <c r="G94" s="791">
        <f t="shared" si="1"/>
        <v>1415</v>
      </c>
      <c r="H94" s="515">
        <f>ROUND(SUMIF('GG Support Data'!$C$9:$BE$9,$D94,'GG Support Data'!$C$58:$BE$58),2)</f>
        <v>45036.58</v>
      </c>
      <c r="I94" s="785">
        <f t="shared" si="2"/>
        <v>8.5322422523215147E-2</v>
      </c>
      <c r="J94" s="790">
        <f t="shared" si="3"/>
        <v>3843</v>
      </c>
      <c r="K94" s="515">
        <f>ROUND(SUMIF('GG Support Data'!$C$9:$BE$9,$D94,'GG Support Data'!$C$63:$BE$63),2)</f>
        <v>1695.12</v>
      </c>
      <c r="L94" s="515">
        <f>ROUND(SUMIF('GG Support Data'!$C$9:$BE$9,$D94,'GG Support Data'!$C$68:$BE$68),2)</f>
        <v>0</v>
      </c>
      <c r="M94" s="782">
        <f t="shared" si="4"/>
        <v>6953.12</v>
      </c>
      <c r="N94" s="516">
        <f>SUMIF('GG True-up Template'!$A$46:$A$98,$D94,'GG True-up Template'!$AG$46:$AG$98)</f>
        <v>107.2253694522128</v>
      </c>
      <c r="O94" s="782">
        <f t="shared" si="5"/>
        <v>7060.3453694522123</v>
      </c>
      <c r="P94" s="758"/>
      <c r="Q94" s="777"/>
      <c r="R94" s="758"/>
      <c r="S94" s="758"/>
      <c r="T94" s="758"/>
      <c r="U94" s="758"/>
      <c r="V94" s="758"/>
    </row>
    <row r="95" spans="1:22" ht="15.75">
      <c r="A95" s="789" t="s">
        <v>854</v>
      </c>
      <c r="B95" s="788"/>
      <c r="C95" s="787" t="s">
        <v>868</v>
      </c>
      <c r="D95" s="786">
        <v>17525</v>
      </c>
      <c r="E95" s="515">
        <f>ROUND(SUMIF('GG Support Data'!$C$9:$BE$9,$D95,'GG Support Data'!$C$25:$BE$25),2)</f>
        <v>7276440.8300000001</v>
      </c>
      <c r="F95" s="785">
        <f t="shared" si="0"/>
        <v>2.7117516279972276E-2</v>
      </c>
      <c r="G95" s="791">
        <f t="shared" si="1"/>
        <v>197319</v>
      </c>
      <c r="H95" s="515">
        <f>ROUND(SUMIF('GG Support Data'!$C$9:$BE$9,$D95,'GG Support Data'!$C$58:$BE$58),2)</f>
        <v>6551425.96</v>
      </c>
      <c r="I95" s="785">
        <f t="shared" si="2"/>
        <v>8.5322422523215147E-2</v>
      </c>
      <c r="J95" s="790">
        <f t="shared" si="3"/>
        <v>558984</v>
      </c>
      <c r="K95" s="515">
        <f>ROUND(SUMIF('GG Support Data'!$C$9:$BE$9,$D95,'GG Support Data'!$C$63:$BE$63),2)</f>
        <v>204528.18</v>
      </c>
      <c r="L95" s="515">
        <f>ROUND(SUMIF('GG Support Data'!$C$9:$BE$9,$D95,'GG Support Data'!$C$68:$BE$68),2)</f>
        <v>0</v>
      </c>
      <c r="M95" s="782">
        <f t="shared" si="4"/>
        <v>960831.17999999993</v>
      </c>
      <c r="N95" s="516">
        <f>SUMIF('GG True-up Template'!$A$46:$A$98,$D95,'GG True-up Template'!$AG$46:$AG$98)</f>
        <v>111719.33062552568</v>
      </c>
      <c r="O95" s="782">
        <f t="shared" si="5"/>
        <v>1072550.5106255256</v>
      </c>
      <c r="P95" s="758"/>
      <c r="Q95" s="777"/>
      <c r="R95" s="758"/>
      <c r="S95" s="758"/>
      <c r="T95" s="758"/>
      <c r="U95" s="758"/>
      <c r="V95" s="758"/>
    </row>
    <row r="96" spans="1:22" ht="15.75">
      <c r="A96" s="789" t="s">
        <v>844</v>
      </c>
      <c r="B96" s="788"/>
      <c r="C96" s="787" t="s">
        <v>981</v>
      </c>
      <c r="D96" s="786">
        <v>17526</v>
      </c>
      <c r="E96" s="515">
        <f>ROUND(SUMIF('GG Support Data'!$C$9:$BE$9,$D96,'GG Support Data'!$C$25:$BE$25),2)</f>
        <v>539931.55000000005</v>
      </c>
      <c r="F96" s="785">
        <f t="shared" si="0"/>
        <v>2.7117516279972276E-2</v>
      </c>
      <c r="G96" s="791">
        <f t="shared" si="1"/>
        <v>14642</v>
      </c>
      <c r="H96" s="515">
        <f>ROUND(SUMIF('GG Support Data'!$C$9:$BE$9,$D96,'GG Support Data'!$C$58:$BE$58),2)</f>
        <v>398703.8</v>
      </c>
      <c r="I96" s="785">
        <f t="shared" si="2"/>
        <v>8.5322422523215147E-2</v>
      </c>
      <c r="J96" s="790">
        <f t="shared" si="3"/>
        <v>34018</v>
      </c>
      <c r="K96" s="515">
        <f>ROUND(SUMIF('GG Support Data'!$C$9:$BE$9,$D96,'GG Support Data'!$C$63:$BE$63),2)</f>
        <v>18063.66</v>
      </c>
      <c r="L96" s="515">
        <f>ROUND(SUMIF('GG Support Data'!$C$9:$BE$9,$D96,'GG Support Data'!$C$68:$BE$68),2)</f>
        <v>0</v>
      </c>
      <c r="M96" s="782">
        <f t="shared" si="4"/>
        <v>66723.66</v>
      </c>
      <c r="N96" s="516">
        <f>SUMIF('GG True-up Template'!$A$46:$A$98,$D96,'GG True-up Template'!$AG$46:$AG$98)</f>
        <v>-4735.3387922020675</v>
      </c>
      <c r="O96" s="782">
        <f t="shared" si="5"/>
        <v>61988.321207797933</v>
      </c>
      <c r="P96" s="758"/>
      <c r="Q96" s="777"/>
      <c r="R96" s="758"/>
      <c r="S96" s="758"/>
      <c r="T96" s="758"/>
      <c r="U96" s="758"/>
      <c r="V96" s="758"/>
    </row>
    <row r="97" spans="1:22" ht="15.75">
      <c r="A97" s="789" t="s">
        <v>845</v>
      </c>
      <c r="B97" s="788"/>
      <c r="C97" s="787" t="s">
        <v>908</v>
      </c>
      <c r="D97" s="786">
        <v>18665</v>
      </c>
      <c r="E97" s="515">
        <f>ROUND(SUMIF('GG Support Data'!$C$9:$BE$9,$D97,'GG Support Data'!$C$25:$BE$25),2)</f>
        <v>2437256.5699999998</v>
      </c>
      <c r="F97" s="785">
        <f t="shared" si="0"/>
        <v>2.7117516279972276E-2</v>
      </c>
      <c r="G97" s="791">
        <f t="shared" si="1"/>
        <v>66092</v>
      </c>
      <c r="H97" s="515">
        <f>ROUND(SUMIF('GG Support Data'!$C$9:$BE$9,$D97,'GG Support Data'!$C$58:$BE$58),2)</f>
        <v>2265540.0499999998</v>
      </c>
      <c r="I97" s="785">
        <f t="shared" si="2"/>
        <v>8.5322422523215147E-2</v>
      </c>
      <c r="J97" s="790">
        <f t="shared" si="3"/>
        <v>193301</v>
      </c>
      <c r="K97" s="515">
        <f>ROUND(SUMIF('GG Support Data'!$C$9:$BE$9,$D97,'GG Support Data'!$C$63:$BE$63),2)</f>
        <v>65508.3</v>
      </c>
      <c r="L97" s="515">
        <f>ROUND(SUMIF('GG Support Data'!$C$9:$BE$9,$D97,'GG Support Data'!$C$68:$BE$68),2)</f>
        <v>0</v>
      </c>
      <c r="M97" s="782">
        <f t="shared" si="4"/>
        <v>324901.3</v>
      </c>
      <c r="N97" s="516">
        <f>SUMIF('GG True-up Template'!$A$46:$A$98,$D97,'GG True-up Template'!$AG$46:$AG$98)</f>
        <v>-1918.1205330810501</v>
      </c>
      <c r="O97" s="782">
        <f t="shared" si="5"/>
        <v>322983.17946691893</v>
      </c>
      <c r="P97" s="758"/>
      <c r="Q97" s="777"/>
      <c r="R97" s="758"/>
      <c r="S97" s="758"/>
      <c r="T97" s="758"/>
      <c r="U97" s="758"/>
      <c r="V97" s="758"/>
    </row>
    <row r="98" spans="1:22" ht="15.75">
      <c r="A98" s="789" t="s">
        <v>846</v>
      </c>
      <c r="B98" s="788"/>
      <c r="C98" s="787" t="s">
        <v>982</v>
      </c>
      <c r="D98" s="786">
        <v>18849</v>
      </c>
      <c r="E98" s="515">
        <f>ROUND(SUMIF('GG Support Data'!$C$9:$BE$9,$D98,'GG Support Data'!$C$25:$BE$25),2)</f>
        <v>3367348.18</v>
      </c>
      <c r="F98" s="785">
        <f t="shared" si="0"/>
        <v>2.7117516279972276E-2</v>
      </c>
      <c r="G98" s="791">
        <f t="shared" si="1"/>
        <v>91314</v>
      </c>
      <c r="H98" s="515">
        <f>ROUND(SUMIF('GG Support Data'!$C$9:$BE$9,$D98,'GG Support Data'!$C$58:$BE$58),2)</f>
        <v>3073472.37</v>
      </c>
      <c r="I98" s="785">
        <f t="shared" si="2"/>
        <v>8.5322422523215147E-2</v>
      </c>
      <c r="J98" s="790">
        <f t="shared" si="3"/>
        <v>262236</v>
      </c>
      <c r="K98" s="515">
        <f>ROUND(SUMIF('GG Support Data'!$C$9:$BE$9,$D98,'GG Support Data'!$C$63:$BE$63),2)</f>
        <v>90415.92</v>
      </c>
      <c r="L98" s="515">
        <f>ROUND(SUMIF('GG Support Data'!$C$9:$BE$9,$D98,'GG Support Data'!$C$68:$BE$68),2)</f>
        <v>0</v>
      </c>
      <c r="M98" s="782">
        <f t="shared" si="4"/>
        <v>443965.92</v>
      </c>
      <c r="N98" s="516">
        <f>SUMIF('GG True-up Template'!$A$46:$A$98,$D98,'GG True-up Template'!$AG$46:$AG$98)</f>
        <v>-22294.382217161576</v>
      </c>
      <c r="O98" s="782">
        <f t="shared" si="5"/>
        <v>421671.53778283839</v>
      </c>
      <c r="P98" s="758"/>
      <c r="Q98" s="777"/>
      <c r="R98" s="758"/>
      <c r="S98" s="758"/>
      <c r="T98" s="758"/>
      <c r="U98" s="758"/>
      <c r="V98" s="758"/>
    </row>
    <row r="99" spans="1:22" ht="15.75">
      <c r="A99" s="789" t="s">
        <v>851</v>
      </c>
      <c r="B99" s="788"/>
      <c r="C99" s="934" t="s">
        <v>1039</v>
      </c>
      <c r="D99" s="935">
        <v>18925</v>
      </c>
      <c r="E99" s="515">
        <f>ROUND(SUMIF('GG Support Data'!$C$9:$BE$9,$D99,'GG Support Data'!$C$25:$BE$25),2)</f>
        <v>0</v>
      </c>
      <c r="F99" s="785">
        <f t="shared" si="0"/>
        <v>2.7117516279972276E-2</v>
      </c>
      <c r="G99" s="791">
        <f t="shared" si="1"/>
        <v>0</v>
      </c>
      <c r="H99" s="515">
        <f>ROUND(SUMIF('GG Support Data'!$C$9:$BE$9,$D99,'GG Support Data'!$C$58:$BE$58),2)</f>
        <v>0</v>
      </c>
      <c r="I99" s="785">
        <f t="shared" si="2"/>
        <v>8.5322422523215147E-2</v>
      </c>
      <c r="J99" s="790">
        <f t="shared" si="3"/>
        <v>0</v>
      </c>
      <c r="K99" s="515">
        <f>ROUND(SUMIF('GG Support Data'!$C$9:$BE$9,$D99,'GG Support Data'!$C$63:$BE$63),2)</f>
        <v>0</v>
      </c>
      <c r="L99" s="515">
        <f>ROUND(SUMIF('GG Support Data'!$C$9:$BE$9,$D99,'GG Support Data'!$C$68:$BE$68),2)</f>
        <v>0</v>
      </c>
      <c r="M99" s="782">
        <f t="shared" si="4"/>
        <v>0</v>
      </c>
      <c r="N99" s="516">
        <f>SUMIF('GG True-up Template'!$A$46:$A$98,$D99,'GG True-up Template'!$AG$46:$AG$98)</f>
        <v>-264.96959802198199</v>
      </c>
      <c r="O99" s="782">
        <f t="shared" si="5"/>
        <v>-264.96959802198199</v>
      </c>
      <c r="P99" s="758"/>
      <c r="Q99" s="777"/>
      <c r="R99" s="758"/>
      <c r="S99" s="758"/>
      <c r="T99" s="758"/>
      <c r="U99" s="758"/>
      <c r="V99" s="758"/>
    </row>
    <row r="100" spans="1:22" ht="15.75">
      <c r="A100" s="789" t="s">
        <v>852</v>
      </c>
      <c r="B100" s="788"/>
      <c r="C100" s="934" t="s">
        <v>908</v>
      </c>
      <c r="D100" s="935">
        <v>18985</v>
      </c>
      <c r="E100" s="515">
        <f>ROUND(SUMIF('GG Support Data'!$C$9:$BE$9,$D100,'GG Support Data'!$C$25:$BE$25),2)</f>
        <v>16492424.640000001</v>
      </c>
      <c r="F100" s="785">
        <f t="shared" si="0"/>
        <v>2.7117516279972276E-2</v>
      </c>
      <c r="G100" s="791">
        <f t="shared" si="1"/>
        <v>447234</v>
      </c>
      <c r="H100" s="515">
        <f>ROUND(SUMIF('GG Support Data'!$C$9:$BE$9,$D100,'GG Support Data'!$C$58:$BE$58),2)</f>
        <v>15953497.09</v>
      </c>
      <c r="I100" s="785">
        <f t="shared" si="2"/>
        <v>8.5322422523215147E-2</v>
      </c>
      <c r="J100" s="790">
        <f t="shared" si="3"/>
        <v>1361191</v>
      </c>
      <c r="K100" s="515">
        <f>ROUND(SUMIF('GG Support Data'!$C$9:$BE$9,$D100,'GG Support Data'!$C$63:$BE$63),2)</f>
        <v>431142.16</v>
      </c>
      <c r="L100" s="515">
        <f>ROUND(SUMIF('GG Support Data'!$C$9:$BE$9,$D100,'GG Support Data'!$C$68:$BE$68),2)</f>
        <v>0</v>
      </c>
      <c r="M100" s="782">
        <f t="shared" si="4"/>
        <v>2239567.16</v>
      </c>
      <c r="N100" s="516">
        <f>SUMIF('GG True-up Template'!$A$46:$A$98,$D100,'GG True-up Template'!$AG$46:$AG$98)</f>
        <v>0</v>
      </c>
      <c r="O100" s="782">
        <f t="shared" si="5"/>
        <v>2239567.16</v>
      </c>
      <c r="P100" s="758"/>
      <c r="Q100" s="777"/>
      <c r="R100" s="758"/>
      <c r="S100" s="758"/>
      <c r="T100" s="758"/>
      <c r="U100" s="758"/>
      <c r="V100" s="758"/>
    </row>
    <row r="101" spans="1:22" ht="15.75">
      <c r="A101" s="789" t="s">
        <v>853</v>
      </c>
      <c r="B101" s="788"/>
      <c r="C101" s="934" t="s">
        <v>983</v>
      </c>
      <c r="D101" s="935">
        <v>19145</v>
      </c>
      <c r="E101" s="515">
        <f>ROUND(SUMIF('GG Support Data'!$C$9:$BE$9,$D101,'GG Support Data'!$C$25:$BE$25),2)</f>
        <v>6319203.1500000004</v>
      </c>
      <c r="F101" s="785">
        <f t="shared" si="0"/>
        <v>2.7117516279972276E-2</v>
      </c>
      <c r="G101" s="791">
        <f t="shared" si="1"/>
        <v>171361</v>
      </c>
      <c r="H101" s="515">
        <f>ROUND(SUMIF('GG Support Data'!$C$9:$BE$9,$D101,'GG Support Data'!$C$58:$BE$58),2)</f>
        <v>5959357.71</v>
      </c>
      <c r="I101" s="785">
        <f t="shared" si="2"/>
        <v>8.5322422523215147E-2</v>
      </c>
      <c r="J101" s="790">
        <f t="shared" si="3"/>
        <v>508467</v>
      </c>
      <c r="K101" s="515">
        <f>ROUND(SUMIF('GG Support Data'!$C$9:$BE$9,$D101,'GG Support Data'!$C$63:$BE$63),2)</f>
        <v>171024.01</v>
      </c>
      <c r="L101" s="515">
        <f>ROUND(SUMIF('GG Support Data'!$C$9:$BE$9,$D101,'GG Support Data'!$C$68:$BE$68),2)</f>
        <v>0</v>
      </c>
      <c r="M101" s="782">
        <f t="shared" si="4"/>
        <v>850852.01</v>
      </c>
      <c r="N101" s="516">
        <f>SUMIF('GG True-up Template'!$A$46:$A$98,$D101,'GG True-up Template'!$AG$46:$AG$98)</f>
        <v>-9295.977552949993</v>
      </c>
      <c r="O101" s="782">
        <f t="shared" si="5"/>
        <v>841556.03244704998</v>
      </c>
      <c r="P101" s="758"/>
      <c r="Q101" s="777"/>
      <c r="R101" s="758"/>
      <c r="S101" s="758"/>
      <c r="T101" s="758"/>
      <c r="U101" s="758"/>
      <c r="V101" s="758"/>
    </row>
    <row r="102" spans="1:22" ht="15.75">
      <c r="A102" s="789" t="s">
        <v>900</v>
      </c>
      <c r="B102" s="788"/>
      <c r="C102" s="934" t="s">
        <v>1197</v>
      </c>
      <c r="D102" s="935">
        <v>19146</v>
      </c>
      <c r="E102" s="515">
        <f>ROUND(SUMIF('GG Support Data'!$C$9:$BE$9,$D102,'GG Support Data'!$C$25:$BE$25),2)</f>
        <v>7490843.4699999997</v>
      </c>
      <c r="F102" s="785">
        <f t="shared" si="0"/>
        <v>2.7117516279972276E-2</v>
      </c>
      <c r="G102" s="791">
        <f t="shared" si="1"/>
        <v>203133</v>
      </c>
      <c r="H102" s="515">
        <f>ROUND(SUMIF('GG Support Data'!$C$9:$BE$9,$D102,'GG Support Data'!$C$58:$BE$58),2)</f>
        <v>7217785.0099999998</v>
      </c>
      <c r="I102" s="785">
        <f t="shared" si="2"/>
        <v>8.5322422523215147E-2</v>
      </c>
      <c r="J102" s="790">
        <f t="shared" si="3"/>
        <v>615839</v>
      </c>
      <c r="K102" s="515">
        <f>ROUND(SUMIF('GG Support Data'!$C$9:$BE$9,$D102,'GG Support Data'!$C$63:$BE$63),2)</f>
        <v>218474.38</v>
      </c>
      <c r="L102" s="515">
        <f>ROUND(SUMIF('GG Support Data'!$C$9:$BE$9,$D102,'GG Support Data'!$C$68:$BE$68),2)</f>
        <v>0</v>
      </c>
      <c r="M102" s="782">
        <f t="shared" si="4"/>
        <v>1037446.38</v>
      </c>
      <c r="N102" s="516">
        <f>SUMIF('GG True-up Template'!$A$46:$A$98,$D102,'GG True-up Template'!$AG$46:$AG$98)</f>
        <v>0</v>
      </c>
      <c r="O102" s="782">
        <f t="shared" si="5"/>
        <v>1037446.38</v>
      </c>
      <c r="P102" s="758"/>
      <c r="Q102" s="777"/>
      <c r="R102" s="758"/>
      <c r="S102" s="758"/>
      <c r="T102" s="758"/>
      <c r="U102" s="758"/>
      <c r="V102" s="758"/>
    </row>
    <row r="103" spans="1:22" ht="15.75">
      <c r="A103" s="789" t="s">
        <v>902</v>
      </c>
      <c r="B103" s="788"/>
      <c r="C103" s="934" t="s">
        <v>925</v>
      </c>
      <c r="D103" s="935">
        <v>19246</v>
      </c>
      <c r="E103" s="515">
        <f>ROUND(SUMIF('GG Support Data'!$C$9:$BE$9,$D103,'GG Support Data'!$C$25:$BE$25),2)</f>
        <v>182733.29</v>
      </c>
      <c r="F103" s="785">
        <f t="shared" si="0"/>
        <v>2.7117516279972276E-2</v>
      </c>
      <c r="G103" s="791">
        <f t="shared" si="1"/>
        <v>4955</v>
      </c>
      <c r="H103" s="515">
        <f>ROUND(SUMIF('GG Support Data'!$C$9:$BE$9,$D103,'GG Support Data'!$C$58:$BE$58),2)</f>
        <v>170737.82</v>
      </c>
      <c r="I103" s="785">
        <f t="shared" si="2"/>
        <v>8.5322422523215147E-2</v>
      </c>
      <c r="J103" s="790">
        <f t="shared" si="3"/>
        <v>14568</v>
      </c>
      <c r="K103" s="515">
        <f>ROUND(SUMIF('GG Support Data'!$C$9:$BE$9,$D103,'GG Support Data'!$C$63:$BE$63),2)</f>
        <v>4552.2</v>
      </c>
      <c r="L103" s="515">
        <f>ROUND(SUMIF('GG Support Data'!$C$9:$BE$9,$D103,'GG Support Data'!$C$68:$BE$68),2)</f>
        <v>0</v>
      </c>
      <c r="M103" s="782">
        <f t="shared" si="4"/>
        <v>24075.200000000001</v>
      </c>
      <c r="N103" s="516">
        <f>SUMIF('GG True-up Template'!$A$46:$A$98,$D103,'GG True-up Template'!$AG$46:$AG$98)</f>
        <v>11214.977577408341</v>
      </c>
      <c r="O103" s="782">
        <f t="shared" si="5"/>
        <v>35290.177577408343</v>
      </c>
      <c r="P103" s="758"/>
      <c r="Q103" s="777"/>
      <c r="R103" s="758"/>
      <c r="S103" s="758"/>
      <c r="T103" s="758"/>
      <c r="U103" s="758"/>
      <c r="V103" s="758"/>
    </row>
    <row r="104" spans="1:22" ht="15.75">
      <c r="A104" s="789" t="s">
        <v>903</v>
      </c>
      <c r="B104" s="788"/>
      <c r="C104" s="934" t="s">
        <v>918</v>
      </c>
      <c r="D104" s="935">
        <v>19248</v>
      </c>
      <c r="E104" s="515">
        <f>ROUND(SUMIF('GG Support Data'!$C$9:$BE$9,$D104,'GG Support Data'!$C$25:$BE$25),2)</f>
        <v>108109.08</v>
      </c>
      <c r="F104" s="785">
        <f t="shared" si="0"/>
        <v>2.7117516279972276E-2</v>
      </c>
      <c r="G104" s="791">
        <f t="shared" si="1"/>
        <v>2932</v>
      </c>
      <c r="H104" s="515">
        <f>ROUND(SUMIF('GG Support Data'!$C$9:$BE$9,$D104,'GG Support Data'!$C$58:$BE$58),2)</f>
        <v>101725.29</v>
      </c>
      <c r="I104" s="785">
        <f t="shared" si="2"/>
        <v>8.5322422523215147E-2</v>
      </c>
      <c r="J104" s="790">
        <f t="shared" si="3"/>
        <v>8679</v>
      </c>
      <c r="K104" s="515">
        <f>ROUND(SUMIF('GG Support Data'!$C$9:$BE$9,$D104,'GG Support Data'!$C$63:$BE$63),2)</f>
        <v>3004.99</v>
      </c>
      <c r="L104" s="515">
        <f>ROUND(SUMIF('GG Support Data'!$C$9:$BE$9,$D104,'GG Support Data'!$C$68:$BE$68),2)</f>
        <v>0</v>
      </c>
      <c r="M104" s="782">
        <f t="shared" si="4"/>
        <v>14615.99</v>
      </c>
      <c r="N104" s="516">
        <f>SUMIF('GG True-up Template'!$A$46:$A$98,$D104,'GG True-up Template'!$AG$46:$AG$98)</f>
        <v>820.59862837427374</v>
      </c>
      <c r="O104" s="782">
        <f t="shared" si="5"/>
        <v>15436.588628374273</v>
      </c>
      <c r="P104" s="758"/>
      <c r="Q104" s="777"/>
      <c r="R104" s="758"/>
      <c r="S104" s="758"/>
      <c r="T104" s="758"/>
      <c r="U104" s="758"/>
      <c r="V104" s="758"/>
    </row>
    <row r="105" spans="1:22" ht="15.75">
      <c r="A105" s="789" t="s">
        <v>904</v>
      </c>
      <c r="B105" s="788"/>
      <c r="C105" s="934" t="s">
        <v>984</v>
      </c>
      <c r="D105" s="935">
        <v>19265</v>
      </c>
      <c r="E105" s="515">
        <f>ROUND(SUMIF('GG Support Data'!$C$9:$BE$9,$D105,'GG Support Data'!$C$25:$BE$25),2)</f>
        <v>1612837.6</v>
      </c>
      <c r="F105" s="785">
        <f t="shared" si="0"/>
        <v>2.7117516279972276E-2</v>
      </c>
      <c r="G105" s="791">
        <f t="shared" si="1"/>
        <v>43736</v>
      </c>
      <c r="H105" s="515">
        <f>ROUND(SUMIF('GG Support Data'!$C$9:$BE$9,$D105,'GG Support Data'!$C$58:$BE$58),2)</f>
        <v>1535902.95</v>
      </c>
      <c r="I105" s="785">
        <f t="shared" si="2"/>
        <v>8.5322422523215147E-2</v>
      </c>
      <c r="J105" s="790">
        <f t="shared" si="3"/>
        <v>131047</v>
      </c>
      <c r="K105" s="515">
        <f>ROUND(SUMIF('GG Support Data'!$C$9:$BE$9,$D105,'GG Support Data'!$C$63:$BE$63),2)</f>
        <v>51290</v>
      </c>
      <c r="L105" s="515">
        <f>ROUND(SUMIF('GG Support Data'!$C$9:$BE$9,$D105,'GG Support Data'!$C$68:$BE$68),2)</f>
        <v>0</v>
      </c>
      <c r="M105" s="782">
        <f t="shared" si="4"/>
        <v>226073</v>
      </c>
      <c r="N105" s="516">
        <f>SUMIF('GG True-up Template'!$A$46:$A$98,$D105,'GG True-up Template'!$AG$46:$AG$98)</f>
        <v>-182824.50620185997</v>
      </c>
      <c r="O105" s="782">
        <f t="shared" si="5"/>
        <v>43248.493798140029</v>
      </c>
      <c r="P105" s="758"/>
      <c r="Q105" s="777"/>
      <c r="R105" s="758"/>
      <c r="S105" s="758"/>
      <c r="T105" s="758"/>
      <c r="U105" s="758"/>
      <c r="V105" s="758"/>
    </row>
    <row r="106" spans="1:22" ht="15.75">
      <c r="A106" s="789" t="s">
        <v>905</v>
      </c>
      <c r="B106" s="788"/>
      <c r="C106" s="934" t="s">
        <v>917</v>
      </c>
      <c r="D106" s="935">
        <v>19267</v>
      </c>
      <c r="E106" s="515">
        <f>ROUND(SUMIF('GG Support Data'!$C$9:$BE$9,$D106,'GG Support Data'!$C$25:$BE$25),2)</f>
        <v>66596.289999999994</v>
      </c>
      <c r="F106" s="785">
        <f t="shared" si="0"/>
        <v>2.7117516279972276E-2</v>
      </c>
      <c r="G106" s="791">
        <f t="shared" si="1"/>
        <v>1806</v>
      </c>
      <c r="H106" s="515">
        <f>ROUND(SUMIF('GG Support Data'!$C$9:$BE$9,$D106,'GG Support Data'!$C$58:$BE$58),2)</f>
        <v>62449.77</v>
      </c>
      <c r="I106" s="785">
        <f t="shared" si="2"/>
        <v>8.5322422523215147E-2</v>
      </c>
      <c r="J106" s="790">
        <f t="shared" si="3"/>
        <v>5328</v>
      </c>
      <c r="K106" s="515">
        <f>ROUND(SUMIF('GG Support Data'!$C$9:$BE$9,$D106,'GG Support Data'!$C$63:$BE$63),2)</f>
        <v>1851.42</v>
      </c>
      <c r="L106" s="515">
        <f>ROUND(SUMIF('GG Support Data'!$C$9:$BE$9,$D106,'GG Support Data'!$C$68:$BE$68),2)</f>
        <v>0</v>
      </c>
      <c r="M106" s="782">
        <f t="shared" si="4"/>
        <v>8985.42</v>
      </c>
      <c r="N106" s="516">
        <f>SUMIF('GG True-up Template'!$A$46:$A$98,$D106,'GG True-up Template'!$AG$46:$AG$98)</f>
        <v>1136.6775471591898</v>
      </c>
      <c r="O106" s="782">
        <f t="shared" si="5"/>
        <v>10122.09754715919</v>
      </c>
      <c r="P106" s="758"/>
      <c r="Q106" s="777"/>
      <c r="R106" s="758"/>
      <c r="S106" s="758"/>
      <c r="T106" s="758"/>
      <c r="U106" s="758"/>
      <c r="V106" s="758"/>
    </row>
    <row r="107" spans="1:22" ht="15.75">
      <c r="A107" s="789" t="s">
        <v>909</v>
      </c>
      <c r="B107" s="788"/>
      <c r="C107" s="934" t="s">
        <v>870</v>
      </c>
      <c r="D107" s="935">
        <v>19269</v>
      </c>
      <c r="E107" s="515">
        <f>ROUND(SUMIF('GG Support Data'!$C$9:$BE$9,$D107,'GG Support Data'!$C$25:$BE$25),2)</f>
        <v>237889.27</v>
      </c>
      <c r="F107" s="785">
        <f t="shared" si="0"/>
        <v>2.7117516279972276E-2</v>
      </c>
      <c r="G107" s="791">
        <f t="shared" si="1"/>
        <v>6451</v>
      </c>
      <c r="H107" s="515">
        <f>ROUND(SUMIF('GG Support Data'!$C$9:$BE$9,$D107,'GG Support Data'!$C$58:$BE$58),2)</f>
        <v>210533.34</v>
      </c>
      <c r="I107" s="785">
        <f t="shared" si="2"/>
        <v>8.5322422523215147E-2</v>
      </c>
      <c r="J107" s="790">
        <f t="shared" si="3"/>
        <v>17963</v>
      </c>
      <c r="K107" s="515">
        <f>ROUND(SUMIF('GG Support Data'!$C$9:$BE$9,$D107,'GG Support Data'!$C$63:$BE$63),2)</f>
        <v>7957.44</v>
      </c>
      <c r="L107" s="515">
        <f>ROUND(SUMIF('GG Support Data'!$C$9:$BE$9,$D107,'GG Support Data'!$C$68:$BE$68),2)</f>
        <v>0</v>
      </c>
      <c r="M107" s="782">
        <f t="shared" si="4"/>
        <v>32371.439999999999</v>
      </c>
      <c r="N107" s="516">
        <f>SUMIF('GG True-up Template'!$A$46:$A$98,$D107,'GG True-up Template'!$AG$46:$AG$98)</f>
        <v>-1777.6527908621615</v>
      </c>
      <c r="O107" s="782">
        <f t="shared" si="5"/>
        <v>30593.787209137838</v>
      </c>
      <c r="P107" s="758"/>
      <c r="Q107" s="777"/>
      <c r="R107" s="758"/>
      <c r="S107" s="758"/>
      <c r="T107" s="758"/>
      <c r="U107" s="758"/>
      <c r="V107" s="758"/>
    </row>
    <row r="108" spans="1:22" ht="15.75">
      <c r="A108" s="789" t="s">
        <v>910</v>
      </c>
      <c r="B108" s="788"/>
      <c r="C108" s="934" t="s">
        <v>985</v>
      </c>
      <c r="D108" s="935">
        <v>20625</v>
      </c>
      <c r="E108" s="515">
        <f>ROUND(SUMIF('GG Support Data'!$C$9:$BE$9,$D108,'GG Support Data'!$C$25:$BE$25),2)</f>
        <v>4540500.33</v>
      </c>
      <c r="F108" s="785">
        <f t="shared" si="0"/>
        <v>2.7117516279972276E-2</v>
      </c>
      <c r="G108" s="791">
        <f t="shared" si="1"/>
        <v>123127</v>
      </c>
      <c r="H108" s="515">
        <f>ROUND(SUMIF('GG Support Data'!$C$9:$BE$9,$D108,'GG Support Data'!$C$58:$BE$58),2)</f>
        <v>4121776.52</v>
      </c>
      <c r="I108" s="785">
        <f t="shared" si="2"/>
        <v>8.5322422523215147E-2</v>
      </c>
      <c r="J108" s="790">
        <f t="shared" si="3"/>
        <v>351680</v>
      </c>
      <c r="K108" s="515">
        <f>ROUND(SUMIF('GG Support Data'!$C$9:$BE$9,$D108,'GG Support Data'!$C$63:$BE$63),2)</f>
        <v>130485.42</v>
      </c>
      <c r="L108" s="515">
        <f>ROUND(SUMIF('GG Support Data'!$C$9:$BE$9,$D108,'GG Support Data'!$C$68:$BE$68),2)</f>
        <v>0</v>
      </c>
      <c r="M108" s="782">
        <f t="shared" si="4"/>
        <v>605292.42000000004</v>
      </c>
      <c r="N108" s="516">
        <f>SUMIF('GG True-up Template'!$A$46:$A$98,$D108,'GG True-up Template'!$AG$46:$AG$98)</f>
        <v>-34672.744979765244</v>
      </c>
      <c r="O108" s="782">
        <f t="shared" si="5"/>
        <v>570619.67502023478</v>
      </c>
      <c r="P108" s="758"/>
      <c r="Q108" s="777"/>
      <c r="R108" s="758"/>
      <c r="S108" s="758"/>
      <c r="T108" s="758"/>
      <c r="U108" s="758"/>
      <c r="V108" s="758"/>
    </row>
    <row r="109" spans="1:22" ht="15.75">
      <c r="A109" s="789" t="s">
        <v>911</v>
      </c>
      <c r="B109" s="788"/>
      <c r="C109" s="934" t="s">
        <v>988</v>
      </c>
      <c r="D109" s="935">
        <v>21648</v>
      </c>
      <c r="E109" s="515">
        <f>ROUND(SUMIF('GG Support Data'!$C$9:$BE$9,$D109,'GG Support Data'!$C$25:$BE$25),2)</f>
        <v>3277291.21</v>
      </c>
      <c r="F109" s="785">
        <f t="shared" si="0"/>
        <v>2.7117516279972276E-2</v>
      </c>
      <c r="G109" s="791">
        <f t="shared" si="1"/>
        <v>88872</v>
      </c>
      <c r="H109" s="515">
        <f>ROUND(SUMIF('GG Support Data'!$C$9:$BE$9,$D109,'GG Support Data'!$C$58:$BE$58),2)</f>
        <v>3078634.02</v>
      </c>
      <c r="I109" s="785">
        <f t="shared" si="2"/>
        <v>8.5322422523215147E-2</v>
      </c>
      <c r="J109" s="790">
        <f t="shared" si="3"/>
        <v>262677</v>
      </c>
      <c r="K109" s="515">
        <f>ROUND(SUMIF('GG Support Data'!$C$9:$BE$9,$D109,'GG Support Data'!$C$63:$BE$63),2)</f>
        <v>85797.24</v>
      </c>
      <c r="L109" s="515">
        <f>ROUND(SUMIF('GG Support Data'!$C$9:$BE$9,$D109,'GG Support Data'!$C$68:$BE$68),2)</f>
        <v>0</v>
      </c>
      <c r="M109" s="782">
        <f t="shared" si="4"/>
        <v>437346.24</v>
      </c>
      <c r="N109" s="516">
        <f>SUMIF('GG True-up Template'!$A$46:$A$98,$D109,'GG True-up Template'!$AG$46:$AG$98)</f>
        <v>107002.27725979091</v>
      </c>
      <c r="O109" s="782">
        <f t="shared" si="5"/>
        <v>544348.51725979091</v>
      </c>
      <c r="P109" s="758"/>
      <c r="Q109" s="777"/>
      <c r="R109" s="758"/>
      <c r="S109" s="758"/>
      <c r="T109" s="758"/>
      <c r="U109" s="758"/>
      <c r="V109" s="758"/>
    </row>
    <row r="110" spans="1:22" ht="15.75">
      <c r="A110" s="789" t="s">
        <v>912</v>
      </c>
      <c r="B110" s="788"/>
      <c r="C110" s="934" t="s">
        <v>978</v>
      </c>
      <c r="D110" s="935">
        <v>21812</v>
      </c>
      <c r="E110" s="515">
        <f>ROUND(SUMIF('GG Support Data'!$C$9:$BE$9,$D110,'GG Support Data'!$C$25:$BE$25),2)</f>
        <v>502255.58</v>
      </c>
      <c r="F110" s="785">
        <f t="shared" si="0"/>
        <v>2.7117516279972276E-2</v>
      </c>
      <c r="G110" s="791">
        <f t="shared" si="1"/>
        <v>13620</v>
      </c>
      <c r="H110" s="515">
        <f>ROUND(SUMIF('GG Support Data'!$C$9:$BE$9,$D110,'GG Support Data'!$C$58:$BE$58),2)</f>
        <v>469232.86</v>
      </c>
      <c r="I110" s="785">
        <f t="shared" si="2"/>
        <v>8.5322422523215147E-2</v>
      </c>
      <c r="J110" s="790">
        <f t="shared" si="3"/>
        <v>40036</v>
      </c>
      <c r="K110" s="515">
        <f>ROUND(SUMIF('GG Support Data'!$C$9:$BE$9,$D110,'GG Support Data'!$C$63:$BE$63),2)</f>
        <v>14238.12</v>
      </c>
      <c r="L110" s="515">
        <f>ROUND(SUMIF('GG Support Data'!$C$9:$BE$9,$D110,'GG Support Data'!$C$68:$BE$68),2)</f>
        <v>0</v>
      </c>
      <c r="M110" s="782">
        <f t="shared" si="4"/>
        <v>67894.12</v>
      </c>
      <c r="N110" s="516">
        <f>SUMIF('GG True-up Template'!$A$46:$A$98,$D110,'GG True-up Template'!$AG$46:$AG$98)</f>
        <v>-942.25450157054638</v>
      </c>
      <c r="O110" s="782">
        <f t="shared" si="5"/>
        <v>66951.865498429455</v>
      </c>
      <c r="P110" s="758"/>
      <c r="Q110" s="777"/>
      <c r="R110" s="758"/>
      <c r="S110" s="758"/>
      <c r="T110" s="758"/>
      <c r="U110" s="758"/>
      <c r="V110" s="758"/>
    </row>
    <row r="111" spans="1:22" ht="15.75">
      <c r="A111" s="789" t="s">
        <v>916</v>
      </c>
      <c r="B111" s="788"/>
      <c r="C111" s="934" t="s">
        <v>979</v>
      </c>
      <c r="D111" s="935">
        <v>21814</v>
      </c>
      <c r="E111" s="515">
        <f>ROUND(SUMIF('GG Support Data'!$C$9:$BE$9,$D111,'GG Support Data'!$C$25:$BE$25),2)</f>
        <v>2806960.22</v>
      </c>
      <c r="F111" s="785">
        <f t="shared" si="0"/>
        <v>2.7117516279972276E-2</v>
      </c>
      <c r="G111" s="791">
        <f t="shared" si="1"/>
        <v>76118</v>
      </c>
      <c r="H111" s="515">
        <f>ROUND(SUMIF('GG Support Data'!$C$9:$BE$9,$D111,'GG Support Data'!$C$58:$BE$58),2)</f>
        <v>2692038.4</v>
      </c>
      <c r="I111" s="785">
        <f t="shared" si="2"/>
        <v>8.5322422523215147E-2</v>
      </c>
      <c r="J111" s="790">
        <f t="shared" si="3"/>
        <v>229691</v>
      </c>
      <c r="K111" s="515">
        <f>ROUND(SUMIF('GG Support Data'!$C$9:$BE$9,$D111,'GG Support Data'!$C$63:$BE$63),2)</f>
        <v>81064.800000000003</v>
      </c>
      <c r="L111" s="515">
        <f>ROUND(SUMIF('GG Support Data'!$C$9:$BE$9,$D111,'GG Support Data'!$C$68:$BE$68),2)</f>
        <v>0</v>
      </c>
      <c r="M111" s="782">
        <f t="shared" si="4"/>
        <v>386873.8</v>
      </c>
      <c r="N111" s="516">
        <f>SUMIF('GG True-up Template'!$A$46:$A$98,$D111,'GG True-up Template'!$AG$46:$AG$98)</f>
        <v>-80449.641665372328</v>
      </c>
      <c r="O111" s="782">
        <f t="shared" si="5"/>
        <v>306424.15833462763</v>
      </c>
      <c r="P111" s="758"/>
      <c r="Q111" s="777"/>
      <c r="R111" s="758"/>
      <c r="S111" s="758"/>
      <c r="T111" s="758"/>
      <c r="U111" s="758"/>
      <c r="V111" s="758"/>
    </row>
    <row r="112" spans="1:22" ht="15.75">
      <c r="A112" s="789" t="s">
        <v>913</v>
      </c>
      <c r="B112" s="788"/>
      <c r="C112" s="934" t="s">
        <v>920</v>
      </c>
      <c r="D112" s="935">
        <v>22045</v>
      </c>
      <c r="E112" s="515">
        <f>ROUND(SUMIF('GG Support Data'!$C$9:$BE$9,$D112,'GG Support Data'!$C$25:$BE$25),2)</f>
        <v>22439.57</v>
      </c>
      <c r="F112" s="785">
        <f t="shared" si="0"/>
        <v>2.7117516279972276E-2</v>
      </c>
      <c r="G112" s="791">
        <f t="shared" si="1"/>
        <v>609</v>
      </c>
      <c r="H112" s="515">
        <f>ROUND(SUMIF('GG Support Data'!$C$9:$BE$9,$D112,'GG Support Data'!$C$58:$BE$58),2)</f>
        <v>20844.8</v>
      </c>
      <c r="I112" s="785">
        <f t="shared" si="2"/>
        <v>8.5322422523215147E-2</v>
      </c>
      <c r="J112" s="790">
        <f t="shared" si="3"/>
        <v>1779</v>
      </c>
      <c r="K112" s="515">
        <f>ROUND(SUMIF('GG Support Data'!$C$9:$BE$9,$D112,'GG Support Data'!$C$63:$BE$63),2)</f>
        <v>623.82000000000005</v>
      </c>
      <c r="L112" s="515">
        <f>ROUND(SUMIF('GG Support Data'!$C$9:$BE$9,$D112,'GG Support Data'!$C$68:$BE$68),2)</f>
        <v>0</v>
      </c>
      <c r="M112" s="782">
        <f t="shared" si="4"/>
        <v>3011.82</v>
      </c>
      <c r="N112" s="516">
        <f>SUMIF('GG True-up Template'!$A$46:$A$98,$D112,'GG True-up Template'!$AG$46:$AG$98)</f>
        <v>549.78724396617997</v>
      </c>
      <c r="O112" s="782">
        <f t="shared" si="5"/>
        <v>3561.6072439661802</v>
      </c>
      <c r="P112" s="758"/>
      <c r="Q112" s="777"/>
      <c r="R112" s="758"/>
      <c r="S112" s="758"/>
      <c r="T112" s="758"/>
      <c r="U112" s="758"/>
      <c r="V112" s="758"/>
    </row>
    <row r="113" spans="1:22" ht="15.75">
      <c r="A113" s="789" t="s">
        <v>973</v>
      </c>
      <c r="B113" s="788"/>
      <c r="C113" s="934" t="s">
        <v>923</v>
      </c>
      <c r="D113" s="935">
        <v>22047</v>
      </c>
      <c r="E113" s="515">
        <f>ROUND(SUMIF('GG Support Data'!$C$9:$BE$9,$D113,'GG Support Data'!$C$25:$BE$25),2)</f>
        <v>637853.9</v>
      </c>
      <c r="F113" s="785">
        <f t="shared" si="0"/>
        <v>2.7117516279972276E-2</v>
      </c>
      <c r="G113" s="791">
        <f t="shared" si="1"/>
        <v>17297</v>
      </c>
      <c r="H113" s="515">
        <f>ROUND(SUMIF('GG Support Data'!$C$9:$BE$9,$D113,'GG Support Data'!$C$58:$BE$58),2)</f>
        <v>588858.38</v>
      </c>
      <c r="I113" s="785">
        <f t="shared" si="2"/>
        <v>8.5322422523215147E-2</v>
      </c>
      <c r="J113" s="790">
        <f t="shared" si="3"/>
        <v>50243</v>
      </c>
      <c r="K113" s="515">
        <f>ROUND(SUMIF('GG Support Data'!$C$9:$BE$9,$D113,'GG Support Data'!$C$63:$BE$63),2)</f>
        <v>22594.560000000001</v>
      </c>
      <c r="L113" s="515">
        <f>ROUND(SUMIF('GG Support Data'!$C$9:$BE$9,$D113,'GG Support Data'!$C$68:$BE$68),2)</f>
        <v>0</v>
      </c>
      <c r="M113" s="782">
        <f t="shared" si="4"/>
        <v>90134.56</v>
      </c>
      <c r="N113" s="516">
        <f>SUMIF('GG True-up Template'!$A$46:$A$98,$D113,'GG True-up Template'!$AG$46:$AG$98)</f>
        <v>-28936.610768602503</v>
      </c>
      <c r="O113" s="782">
        <f t="shared" si="5"/>
        <v>61197.949231397492</v>
      </c>
      <c r="P113" s="758"/>
      <c r="Q113" s="777"/>
      <c r="R113" s="758"/>
      <c r="S113" s="758"/>
      <c r="T113" s="758"/>
      <c r="U113" s="758"/>
      <c r="V113" s="758"/>
    </row>
    <row r="114" spans="1:22" ht="15.75">
      <c r="A114" s="789" t="s">
        <v>974</v>
      </c>
      <c r="B114" s="788"/>
      <c r="C114" s="934" t="s">
        <v>924</v>
      </c>
      <c r="D114" s="935">
        <v>22048</v>
      </c>
      <c r="E114" s="515">
        <f>ROUND(SUMIF('GG Support Data'!$C$9:$BE$9,$D114,'GG Support Data'!$C$25:$BE$25),2)</f>
        <v>42758.51</v>
      </c>
      <c r="F114" s="785">
        <f t="shared" si="0"/>
        <v>2.7117516279972276E-2</v>
      </c>
      <c r="G114" s="791">
        <f t="shared" si="1"/>
        <v>1160</v>
      </c>
      <c r="H114" s="515">
        <f>ROUND(SUMIF('GG Support Data'!$C$9:$BE$9,$D114,'GG Support Data'!$C$58:$BE$58),2)</f>
        <v>40457.160000000003</v>
      </c>
      <c r="I114" s="785">
        <f t="shared" si="2"/>
        <v>8.5322422523215147E-2</v>
      </c>
      <c r="J114" s="790">
        <f t="shared" si="3"/>
        <v>3452</v>
      </c>
      <c r="K114" s="515">
        <f>ROUND(SUMIF('GG Support Data'!$C$9:$BE$9,$D114,'GG Support Data'!$C$63:$BE$63),2)</f>
        <v>1013.4</v>
      </c>
      <c r="L114" s="515">
        <f>ROUND(SUMIF('GG Support Data'!$C$9:$BE$9,$D114,'GG Support Data'!$C$68:$BE$68),2)</f>
        <v>0</v>
      </c>
      <c r="M114" s="782">
        <f t="shared" si="4"/>
        <v>5625.4</v>
      </c>
      <c r="N114" s="516">
        <f>SUMIF('GG True-up Template'!$A$46:$A$98,$D114,'GG True-up Template'!$AG$46:$AG$98)</f>
        <v>554.45099461771713</v>
      </c>
      <c r="O114" s="782">
        <f t="shared" si="5"/>
        <v>6179.8509946177164</v>
      </c>
      <c r="P114" s="758"/>
      <c r="Q114" s="777"/>
      <c r="R114" s="758"/>
      <c r="S114" s="758"/>
      <c r="T114" s="758"/>
      <c r="U114" s="758"/>
      <c r="V114" s="758"/>
    </row>
    <row r="115" spans="1:22" ht="15.75">
      <c r="A115" s="789" t="s">
        <v>1038</v>
      </c>
      <c r="B115" s="788"/>
      <c r="C115" s="934" t="s">
        <v>1244</v>
      </c>
      <c r="D115" s="935">
        <v>22049</v>
      </c>
      <c r="E115" s="515">
        <f>ROUND(SUMIF('GG Support Data'!$C$9:$BE$9,$D115,'GG Support Data'!$C$25:$BE$25),2)</f>
        <v>16842.060000000001</v>
      </c>
      <c r="F115" s="785">
        <f t="shared" si="0"/>
        <v>2.7117516279972276E-2</v>
      </c>
      <c r="G115" s="791">
        <f t="shared" si="1"/>
        <v>457</v>
      </c>
      <c r="H115" s="515">
        <f>ROUND(SUMIF('GG Support Data'!$C$9:$BE$9,$D115,'GG Support Data'!$C$58:$BE$58),2)</f>
        <v>16784.38</v>
      </c>
      <c r="I115" s="785">
        <f t="shared" si="2"/>
        <v>8.5322422523215147E-2</v>
      </c>
      <c r="J115" s="790">
        <f t="shared" si="3"/>
        <v>1432</v>
      </c>
      <c r="K115" s="515">
        <f>ROUND(SUMIF('GG Support Data'!$C$9:$BE$9,$D115,'GG Support Data'!$C$63:$BE$63),2)</f>
        <v>499.93</v>
      </c>
      <c r="L115" s="515">
        <f>ROUND(SUMIF('GG Support Data'!$C$9:$BE$9,$D115,'GG Support Data'!$C$68:$BE$68),2)</f>
        <v>0</v>
      </c>
      <c r="M115" s="782">
        <f t="shared" si="4"/>
        <v>2388.9299999999998</v>
      </c>
      <c r="N115" s="516">
        <f>SUMIF('GG True-up Template'!$A$46:$A$98,$D115,'GG True-up Template'!$AG$46:$AG$98)</f>
        <v>0</v>
      </c>
      <c r="O115" s="782">
        <f t="shared" si="5"/>
        <v>2388.9299999999998</v>
      </c>
      <c r="P115" s="758"/>
      <c r="Q115" s="777"/>
      <c r="R115" s="758"/>
      <c r="S115" s="758"/>
      <c r="T115" s="758"/>
      <c r="U115" s="758"/>
      <c r="V115" s="758"/>
    </row>
    <row r="116" spans="1:22" ht="15.75">
      <c r="A116" s="789" t="s">
        <v>1077</v>
      </c>
      <c r="B116" s="788"/>
      <c r="C116" s="934" t="s">
        <v>980</v>
      </c>
      <c r="D116" s="935">
        <v>22085</v>
      </c>
      <c r="E116" s="515">
        <f>ROUND(SUMIF('GG Support Data'!$C$9:$BE$9,$D116,'GG Support Data'!$C$25:$BE$25),2)</f>
        <v>0</v>
      </c>
      <c r="F116" s="785">
        <f t="shared" si="0"/>
        <v>2.7117516279972276E-2</v>
      </c>
      <c r="G116" s="791">
        <f t="shared" si="1"/>
        <v>0</v>
      </c>
      <c r="H116" s="515">
        <f>ROUND(SUMIF('GG Support Data'!$C$9:$BE$9,$D116,'GG Support Data'!$C$58:$BE$58),2)</f>
        <v>0</v>
      </c>
      <c r="I116" s="785">
        <f t="shared" si="2"/>
        <v>8.5322422523215147E-2</v>
      </c>
      <c r="J116" s="790">
        <f t="shared" si="3"/>
        <v>0</v>
      </c>
      <c r="K116" s="515">
        <f>ROUND(SUMIF('GG Support Data'!$C$9:$BE$9,$D116,'GG Support Data'!$C$63:$BE$63),2)</f>
        <v>0</v>
      </c>
      <c r="L116" s="515">
        <f>ROUND(SUMIF('GG Support Data'!$C$9:$BE$9,$D116,'GG Support Data'!$C$68:$BE$68),2)</f>
        <v>0</v>
      </c>
      <c r="M116" s="782">
        <f t="shared" si="4"/>
        <v>0</v>
      </c>
      <c r="N116" s="516">
        <f>SUMIF('GG True-up Template'!$A$46:$A$98,$D116,'GG True-up Template'!$AG$46:$AG$98)</f>
        <v>-1550.5982248698017</v>
      </c>
      <c r="O116" s="782">
        <f t="shared" si="5"/>
        <v>-1550.5982248698017</v>
      </c>
      <c r="P116" s="758"/>
      <c r="Q116" s="777"/>
      <c r="R116" s="758"/>
      <c r="S116" s="758"/>
      <c r="T116" s="758"/>
      <c r="U116" s="758"/>
      <c r="V116" s="758"/>
    </row>
    <row r="117" spans="1:22" ht="15.75">
      <c r="A117" s="789" t="s">
        <v>1078</v>
      </c>
      <c r="B117" s="788"/>
      <c r="C117" s="934" t="s">
        <v>986</v>
      </c>
      <c r="D117" s="935">
        <v>22145</v>
      </c>
      <c r="E117" s="515">
        <f>ROUND(SUMIF('GG Support Data'!$C$9:$BE$9,$D117,'GG Support Data'!$C$25:$BE$25),2)</f>
        <v>2950549.85</v>
      </c>
      <c r="F117" s="785">
        <f t="shared" si="0"/>
        <v>2.7117516279972276E-2</v>
      </c>
      <c r="G117" s="791">
        <f t="shared" si="1"/>
        <v>80012</v>
      </c>
      <c r="H117" s="515">
        <f>ROUND(SUMIF('GG Support Data'!$C$9:$BE$9,$D117,'GG Support Data'!$C$58:$BE$58),2)</f>
        <v>2762270.99</v>
      </c>
      <c r="I117" s="785">
        <f t="shared" si="2"/>
        <v>8.5322422523215147E-2</v>
      </c>
      <c r="J117" s="790">
        <f t="shared" si="3"/>
        <v>235684</v>
      </c>
      <c r="K117" s="515">
        <f>ROUND(SUMIF('GG Support Data'!$C$9:$BE$9,$D117,'GG Support Data'!$C$63:$BE$63),2)</f>
        <v>86683.31</v>
      </c>
      <c r="L117" s="515">
        <f>ROUND(SUMIF('GG Support Data'!$C$9:$BE$9,$D117,'GG Support Data'!$C$68:$BE$68),2)</f>
        <v>0</v>
      </c>
      <c r="M117" s="782">
        <f t="shared" si="4"/>
        <v>402379.31</v>
      </c>
      <c r="N117" s="516">
        <f>SUMIF('GG True-up Template'!$A$46:$A$98,$D117,'GG True-up Template'!$AG$46:$AG$98)</f>
        <v>-123400.24954024916</v>
      </c>
      <c r="O117" s="782">
        <f t="shared" si="5"/>
        <v>278979.06045975082</v>
      </c>
      <c r="P117" s="758"/>
      <c r="Q117" s="777"/>
      <c r="R117" s="758"/>
      <c r="S117" s="758"/>
      <c r="T117" s="758"/>
      <c r="U117" s="758"/>
      <c r="V117" s="758"/>
    </row>
    <row r="118" spans="1:22" ht="15.75">
      <c r="A118" s="789" t="s">
        <v>1079</v>
      </c>
      <c r="B118" s="788"/>
      <c r="C118" s="934" t="s">
        <v>987</v>
      </c>
      <c r="D118" s="935">
        <v>22146</v>
      </c>
      <c r="E118" s="515">
        <f>ROUND(SUMIF('GG Support Data'!$C$9:$BE$9,$D118,'GG Support Data'!$C$25:$BE$25),2)</f>
        <v>1253009.6499999999</v>
      </c>
      <c r="F118" s="785">
        <f t="shared" si="0"/>
        <v>2.7117516279972276E-2</v>
      </c>
      <c r="G118" s="791">
        <f t="shared" si="1"/>
        <v>33979</v>
      </c>
      <c r="H118" s="515">
        <f>ROUND(SUMIF('GG Support Data'!$C$9:$BE$9,$D118,'GG Support Data'!$C$58:$BE$58),2)</f>
        <v>1194325.71</v>
      </c>
      <c r="I118" s="785">
        <f t="shared" si="2"/>
        <v>8.5322422523215147E-2</v>
      </c>
      <c r="J118" s="790">
        <f t="shared" si="3"/>
        <v>101903</v>
      </c>
      <c r="K118" s="515">
        <f>ROUND(SUMIF('GG Support Data'!$C$9:$BE$9,$D118,'GG Support Data'!$C$63:$BE$63),2)</f>
        <v>42711.72</v>
      </c>
      <c r="L118" s="515">
        <f>ROUND(SUMIF('GG Support Data'!$C$9:$BE$9,$D118,'GG Support Data'!$C$68:$BE$68),2)</f>
        <v>0</v>
      </c>
      <c r="M118" s="782">
        <f t="shared" si="4"/>
        <v>178593.72</v>
      </c>
      <c r="N118" s="516">
        <f>SUMIF('GG True-up Template'!$A$46:$A$98,$D118,'GG True-up Template'!$AG$46:$AG$98)</f>
        <v>-2723.3126052205371</v>
      </c>
      <c r="O118" s="782">
        <f t="shared" si="5"/>
        <v>175870.40739477947</v>
      </c>
      <c r="P118" s="758"/>
      <c r="Q118" s="777"/>
      <c r="R118" s="758"/>
      <c r="S118" s="758"/>
      <c r="T118" s="758"/>
      <c r="U118" s="758"/>
      <c r="V118" s="758"/>
    </row>
    <row r="119" spans="1:22" ht="15.75">
      <c r="A119" s="789" t="s">
        <v>1080</v>
      </c>
      <c r="B119" s="932"/>
      <c r="C119" s="934" t="s">
        <v>1196</v>
      </c>
      <c r="D119" s="935">
        <v>22225</v>
      </c>
      <c r="E119" s="515">
        <f>ROUND(SUMIF('GG Support Data'!$C$9:$BE$9,$D119,'GG Support Data'!$C$25:$BE$25),2)</f>
        <v>152679.82</v>
      </c>
      <c r="F119" s="785">
        <f t="shared" si="0"/>
        <v>2.7117516279972276E-2</v>
      </c>
      <c r="G119" s="791">
        <f t="shared" si="1"/>
        <v>4140</v>
      </c>
      <c r="H119" s="515">
        <f>ROUND(SUMIF('GG Support Data'!$C$9:$BE$9,$D119,'GG Support Data'!$C$58:$BE$58),2)</f>
        <v>146630.09</v>
      </c>
      <c r="I119" s="785">
        <f t="shared" si="2"/>
        <v>8.5322422523215147E-2</v>
      </c>
      <c r="J119" s="790">
        <f t="shared" si="3"/>
        <v>12511</v>
      </c>
      <c r="K119" s="515">
        <f>ROUND(SUMIF('GG Support Data'!$C$9:$BE$9,$D119,'GG Support Data'!$C$63:$BE$63),2)</f>
        <v>4414.49</v>
      </c>
      <c r="L119" s="515">
        <f>ROUND(SUMIF('GG Support Data'!$C$9:$BE$9,$D119,'GG Support Data'!$C$68:$BE$68),2)</f>
        <v>0</v>
      </c>
      <c r="M119" s="782">
        <f t="shared" si="4"/>
        <v>21065.489999999998</v>
      </c>
      <c r="N119" s="516">
        <f>SUMIF('GG True-up Template'!$A$46:$A$98,$D119,'GG True-up Template'!$AG$46:$AG$98)</f>
        <v>0</v>
      </c>
      <c r="O119" s="782">
        <f t="shared" si="5"/>
        <v>21065.489999999998</v>
      </c>
      <c r="P119" s="758"/>
      <c r="Q119" s="777"/>
      <c r="R119" s="758"/>
      <c r="S119" s="758"/>
      <c r="T119" s="758"/>
      <c r="U119" s="758"/>
      <c r="V119" s="758"/>
    </row>
    <row r="120" spans="1:22" ht="15.75">
      <c r="A120" s="789" t="s">
        <v>1081</v>
      </c>
      <c r="B120" s="788"/>
      <c r="C120" s="934" t="s">
        <v>1198</v>
      </c>
      <c r="D120" s="935">
        <v>24445</v>
      </c>
      <c r="E120" s="515">
        <f>ROUND(SUMIF('GG Support Data'!$C$9:$BE$9,$D120,'GG Support Data'!$C$25:$BE$25),2)</f>
        <v>0</v>
      </c>
      <c r="F120" s="785">
        <f t="shared" si="0"/>
        <v>2.7117516279972276E-2</v>
      </c>
      <c r="G120" s="791">
        <f t="shared" si="1"/>
        <v>0</v>
      </c>
      <c r="H120" s="515">
        <f>ROUND(SUMIF('GG Support Data'!$C$9:$BE$9,$D120,'GG Support Data'!$C$58:$BE$58),2)</f>
        <v>0</v>
      </c>
      <c r="I120" s="785">
        <f t="shared" si="2"/>
        <v>8.5322422523215147E-2</v>
      </c>
      <c r="J120" s="790">
        <f t="shared" si="3"/>
        <v>0</v>
      </c>
      <c r="K120" s="515">
        <f>ROUND(SUMIF('GG Support Data'!$C$9:$BE$9,$D120,'GG Support Data'!$C$63:$BE$63),2)</f>
        <v>0</v>
      </c>
      <c r="L120" s="515">
        <f>ROUND(SUMIF('GG Support Data'!$C$9:$BE$9,$D120,'GG Support Data'!$C$68:$BE$68),2)</f>
        <v>0</v>
      </c>
      <c r="M120" s="782">
        <f t="shared" si="4"/>
        <v>0</v>
      </c>
      <c r="N120" s="516">
        <f>SUMIF('GG True-up Template'!$A$46:$A$98,$D120,'GG True-up Template'!$AG$46:$AG$98)</f>
        <v>0</v>
      </c>
      <c r="O120" s="782">
        <f t="shared" si="5"/>
        <v>0</v>
      </c>
      <c r="P120" s="758"/>
      <c r="Q120" s="777"/>
      <c r="R120" s="758"/>
      <c r="S120" s="758"/>
      <c r="T120" s="758"/>
      <c r="U120" s="758"/>
      <c r="V120" s="758"/>
    </row>
    <row r="121" spans="1:22" ht="15.75">
      <c r="A121" s="789" t="s">
        <v>1082</v>
      </c>
      <c r="B121" s="788"/>
      <c r="C121" s="934" t="s">
        <v>1172</v>
      </c>
      <c r="D121" s="935">
        <v>24782</v>
      </c>
      <c r="E121" s="515">
        <f>ROUND(SUMIF('GG Support Data'!$C$9:$BE$9,$D121,'GG Support Data'!$C$25:$BE$25),2)</f>
        <v>0</v>
      </c>
      <c r="F121" s="785">
        <f t="shared" si="0"/>
        <v>2.7117516279972276E-2</v>
      </c>
      <c r="G121" s="791">
        <f t="shared" si="1"/>
        <v>0</v>
      </c>
      <c r="H121" s="515">
        <f>ROUND(SUMIF('GG Support Data'!$C$9:$BE$9,$D121,'GG Support Data'!$C$58:$BE$58),2)</f>
        <v>0</v>
      </c>
      <c r="I121" s="785">
        <f t="shared" si="2"/>
        <v>8.5322422523215147E-2</v>
      </c>
      <c r="J121" s="790">
        <f t="shared" si="3"/>
        <v>0</v>
      </c>
      <c r="K121" s="515">
        <f>ROUND(SUMIF('GG Support Data'!$C$9:$BE$9,$D121,'GG Support Data'!$C$63:$BE$63),2)</f>
        <v>0</v>
      </c>
      <c r="L121" s="515">
        <f>ROUND(SUMIF('GG Support Data'!$C$9:$BE$9,$D121,'GG Support Data'!$C$68:$BE$68),2)</f>
        <v>0</v>
      </c>
      <c r="M121" s="782">
        <f t="shared" si="4"/>
        <v>0</v>
      </c>
      <c r="N121" s="516">
        <f>SUMIF('GG True-up Template'!$A$46:$A$98,$D121,'GG True-up Template'!$AG$46:$AG$98)</f>
        <v>0</v>
      </c>
      <c r="O121" s="782">
        <f t="shared" si="5"/>
        <v>0</v>
      </c>
      <c r="P121" s="758"/>
      <c r="Q121" s="777"/>
      <c r="R121" s="758"/>
      <c r="S121" s="758"/>
      <c r="T121" s="758"/>
      <c r="U121" s="758"/>
      <c r="V121" s="758"/>
    </row>
    <row r="122" spans="1:22" ht="15.75">
      <c r="A122" s="789" t="s">
        <v>1083</v>
      </c>
      <c r="B122" s="788"/>
      <c r="C122" s="934" t="s">
        <v>1192</v>
      </c>
      <c r="D122" s="935">
        <v>25262</v>
      </c>
      <c r="E122" s="515">
        <f>ROUND(SUMIF('GG Support Data'!$C$9:$BE$9,$D122,'GG Support Data'!$C$25:$BE$25),2)</f>
        <v>3370694.64</v>
      </c>
      <c r="F122" s="785">
        <f t="shared" si="0"/>
        <v>2.7117516279972276E-2</v>
      </c>
      <c r="G122" s="791">
        <f t="shared" ref="G122" si="6">ROUND(E122*F122,0)</f>
        <v>91405</v>
      </c>
      <c r="H122" s="515">
        <f>ROUND(SUMIF('GG Support Data'!$C$9:$BE$9,$D122,'GG Support Data'!$C$58:$BE$58),2)</f>
        <v>3155381.79</v>
      </c>
      <c r="I122" s="785">
        <f t="shared" si="2"/>
        <v>8.5322422523215147E-2</v>
      </c>
      <c r="J122" s="790">
        <f t="shared" ref="J122" si="7">ROUND(H122*I122,0)</f>
        <v>269225</v>
      </c>
      <c r="K122" s="515">
        <f>ROUND(SUMIF('GG Support Data'!$C$9:$BE$9,$D122,'GG Support Data'!$C$63:$BE$63),2)</f>
        <v>92656.38</v>
      </c>
      <c r="L122" s="515">
        <f>ROUND(SUMIF('GG Support Data'!$C$9:$BE$9,$D122,'GG Support Data'!$C$68:$BE$68),2)</f>
        <v>0</v>
      </c>
      <c r="M122" s="782">
        <f t="shared" ref="M122" si="8">G122+J122+K122+L122</f>
        <v>453286.38</v>
      </c>
      <c r="N122" s="516">
        <f>SUMIF('GG True-up Template'!$A$46:$A$98,$D122,'GG True-up Template'!$AG$46:$AG$98)</f>
        <v>440482.83421482239</v>
      </c>
      <c r="O122" s="782">
        <f t="shared" ref="O122" si="9">M122+N122</f>
        <v>893769.21421482239</v>
      </c>
      <c r="P122" s="758"/>
      <c r="Q122" s="777"/>
      <c r="R122" s="758"/>
      <c r="S122" s="758"/>
      <c r="T122" s="758"/>
      <c r="U122" s="758"/>
      <c r="V122" s="758"/>
    </row>
    <row r="123" spans="1:22" ht="15.75">
      <c r="A123" s="789" t="s">
        <v>1193</v>
      </c>
      <c r="B123" s="788"/>
      <c r="C123" s="934" t="s">
        <v>1195</v>
      </c>
      <c r="D123" s="935">
        <v>50036</v>
      </c>
      <c r="E123" s="515">
        <f>ROUND(SUMIF('GG Support Data'!$C$9:$BE$9,$D123,'GG Support Data'!$C$25:$BE$25),2)</f>
        <v>4411060.5599999996</v>
      </c>
      <c r="F123" s="785">
        <f t="shared" si="0"/>
        <v>2.7117516279972276E-2</v>
      </c>
      <c r="G123" s="791">
        <f t="shared" ref="G123:G124" si="10">ROUND(E123*F123,0)</f>
        <v>119617</v>
      </c>
      <c r="H123" s="515">
        <f>ROUND(SUMIF('GG Support Data'!$C$9:$BE$9,$D123,'GG Support Data'!$C$58:$BE$58),2)</f>
        <v>4132867.84</v>
      </c>
      <c r="I123" s="785">
        <f t="shared" si="2"/>
        <v>8.5322422523215147E-2</v>
      </c>
      <c r="J123" s="790">
        <f t="shared" ref="J123:J124" si="11">ROUND(H123*I123,0)</f>
        <v>352626</v>
      </c>
      <c r="K123" s="515">
        <f>ROUND(SUMIF('GG Support Data'!$C$9:$BE$9,$D123,'GG Support Data'!$C$63:$BE$63),2)</f>
        <v>118929.06</v>
      </c>
      <c r="L123" s="515">
        <f>ROUND(SUMIF('GG Support Data'!$C$9:$BE$9,$D123,'GG Support Data'!$C$68:$BE$68),2)</f>
        <v>0</v>
      </c>
      <c r="M123" s="782">
        <f t="shared" ref="M123:M124" si="12">G123+J123+K123+L123</f>
        <v>591172.06000000006</v>
      </c>
      <c r="N123" s="516">
        <f>SUMIF('GG True-up Template'!$A$46:$A$98,$D123,'GG True-up Template'!$AG$46:$AG$98)</f>
        <v>575997.31081468624</v>
      </c>
      <c r="O123" s="782">
        <f t="shared" ref="O123:O124" si="13">M123+N123</f>
        <v>1167169.3708146862</v>
      </c>
      <c r="P123" s="758"/>
      <c r="Q123" s="777"/>
      <c r="R123" s="758"/>
      <c r="S123" s="758"/>
      <c r="T123" s="758"/>
      <c r="U123" s="758"/>
      <c r="V123" s="758"/>
    </row>
    <row r="124" spans="1:22" ht="15.75">
      <c r="A124" s="789" t="s">
        <v>1194</v>
      </c>
      <c r="B124" s="788"/>
      <c r="C124" s="934" t="s">
        <v>1173</v>
      </c>
      <c r="D124" s="935">
        <v>50184</v>
      </c>
      <c r="E124" s="515">
        <f>ROUND(SUMIF('GG Support Data'!$C$9:$BE$9,$D124,'GG Support Data'!$C$25:$BE$25),2)</f>
        <v>0</v>
      </c>
      <c r="F124" s="785">
        <f t="shared" si="0"/>
        <v>2.7117516279972276E-2</v>
      </c>
      <c r="G124" s="791">
        <f t="shared" si="10"/>
        <v>0</v>
      </c>
      <c r="H124" s="515">
        <f>ROUND(SUMIF('GG Support Data'!$C$9:$BE$9,$D124,'GG Support Data'!$C$58:$BE$58),2)</f>
        <v>0</v>
      </c>
      <c r="I124" s="785">
        <f t="shared" si="2"/>
        <v>8.5322422523215147E-2</v>
      </c>
      <c r="J124" s="790">
        <f t="shared" si="11"/>
        <v>0</v>
      </c>
      <c r="K124" s="515">
        <f>ROUND(SUMIF('GG Support Data'!$C$9:$BE$9,$D124,'GG Support Data'!$C$63:$BE$63),2)</f>
        <v>0</v>
      </c>
      <c r="L124" s="515">
        <f>ROUND(SUMIF('GG Support Data'!$C$9:$BE$9,$D124,'GG Support Data'!$C$68:$BE$68),2)</f>
        <v>0</v>
      </c>
      <c r="M124" s="782">
        <f t="shared" si="12"/>
        <v>0</v>
      </c>
      <c r="N124" s="516">
        <f>SUMIF('GG True-up Template'!$A$46:$A$98,$D124,'GG True-up Template'!$AG$46:$AG$98)</f>
        <v>0</v>
      </c>
      <c r="O124" s="782">
        <f t="shared" si="13"/>
        <v>0</v>
      </c>
      <c r="P124" s="758"/>
      <c r="Q124" s="777"/>
      <c r="R124" s="758"/>
      <c r="S124" s="758"/>
      <c r="T124" s="758"/>
      <c r="U124" s="758"/>
      <c r="V124" s="758"/>
    </row>
    <row r="125" spans="1:22">
      <c r="A125" s="789"/>
      <c r="B125" s="788"/>
      <c r="C125" s="787"/>
      <c r="D125" s="786"/>
      <c r="E125" s="784"/>
      <c r="F125" s="785"/>
      <c r="G125" s="782"/>
      <c r="H125" s="784"/>
      <c r="I125" s="785"/>
      <c r="J125" s="782"/>
      <c r="K125" s="784"/>
      <c r="L125" s="784"/>
      <c r="M125" s="782"/>
      <c r="N125" s="783"/>
      <c r="O125" s="782"/>
      <c r="P125" s="758"/>
      <c r="Q125" s="777"/>
      <c r="R125" s="758"/>
      <c r="S125" s="758"/>
      <c r="T125" s="758"/>
      <c r="U125" s="758"/>
      <c r="V125" s="758"/>
    </row>
    <row r="126" spans="1:22">
      <c r="A126" s="781"/>
      <c r="B126" s="780"/>
      <c r="C126" s="779"/>
      <c r="D126" s="779"/>
      <c r="E126" s="779"/>
      <c r="F126" s="779"/>
      <c r="G126" s="778"/>
      <c r="H126" s="779"/>
      <c r="I126" s="779"/>
      <c r="J126" s="778"/>
      <c r="K126" s="779"/>
      <c r="L126" s="779"/>
      <c r="M126" s="778"/>
      <c r="N126" s="779"/>
      <c r="O126" s="778"/>
      <c r="P126" s="758"/>
      <c r="Q126" s="777"/>
      <c r="R126" s="758"/>
      <c r="S126" s="758"/>
      <c r="T126" s="758"/>
      <c r="U126" s="758"/>
      <c r="V126" s="758"/>
    </row>
    <row r="127" spans="1:22">
      <c r="A127" s="776" t="s">
        <v>450</v>
      </c>
      <c r="B127" s="775"/>
      <c r="C127" s="774" t="s">
        <v>449</v>
      </c>
      <c r="D127" s="774"/>
      <c r="E127" s="768">
        <f>SUM(E75:E126)</f>
        <v>911343830.70000017</v>
      </c>
      <c r="F127" s="768"/>
      <c r="G127" s="768">
        <f t="shared" ref="G127:K127" si="14">SUM(G75:G126)</f>
        <v>24713380</v>
      </c>
      <c r="H127" s="768">
        <f t="shared" si="14"/>
        <v>643125384.97000003</v>
      </c>
      <c r="I127" s="768"/>
      <c r="J127" s="768">
        <f t="shared" si="14"/>
        <v>54873017</v>
      </c>
      <c r="K127" s="768">
        <f t="shared" si="14"/>
        <v>23580164.519999992</v>
      </c>
      <c r="L127" s="768">
        <f>SUM(L75:L126)</f>
        <v>0</v>
      </c>
      <c r="M127" s="768">
        <f>SUM(M75:M126)</f>
        <v>103166561.52</v>
      </c>
      <c r="N127" s="771">
        <f>SUM(N75:N126)</f>
        <v>-648905.49390845199</v>
      </c>
      <c r="O127" s="768">
        <f>SUM(O75:O126)</f>
        <v>102517656.02609153</v>
      </c>
      <c r="P127" s="758"/>
      <c r="Q127" s="758"/>
      <c r="R127" s="758"/>
      <c r="S127" s="758"/>
      <c r="T127" s="758"/>
      <c r="U127" s="758"/>
      <c r="V127" s="758"/>
    </row>
    <row r="128" spans="1:22">
      <c r="A128" s="770"/>
      <c r="B128" s="758"/>
      <c r="C128" s="758"/>
      <c r="D128" s="758"/>
      <c r="E128" s="758"/>
      <c r="F128" s="758"/>
      <c r="G128" s="758"/>
      <c r="H128" s="758"/>
      <c r="I128" s="758"/>
      <c r="J128" s="758"/>
      <c r="K128" s="758"/>
      <c r="L128" s="758"/>
      <c r="M128" s="758"/>
      <c r="N128" s="758"/>
      <c r="O128" s="758"/>
      <c r="P128" s="758"/>
      <c r="Q128" s="758"/>
      <c r="R128" s="758"/>
      <c r="S128" s="758"/>
      <c r="T128" s="758"/>
      <c r="U128" s="758"/>
      <c r="V128" s="758"/>
    </row>
    <row r="129" spans="1:22">
      <c r="A129" s="769">
        <v>3</v>
      </c>
      <c r="B129" s="758"/>
      <c r="C129" s="767" t="s">
        <v>448</v>
      </c>
      <c r="D129" s="758"/>
      <c r="E129" s="758"/>
      <c r="F129" s="758"/>
      <c r="G129" s="758"/>
      <c r="H129" s="758"/>
      <c r="I129" s="758"/>
      <c r="J129" s="758"/>
      <c r="K129" s="758"/>
      <c r="L129" s="758"/>
      <c r="M129" s="768">
        <f>M127</f>
        <v>103166561.52</v>
      </c>
      <c r="N129" s="758"/>
      <c r="O129" s="758"/>
      <c r="P129" s="758"/>
      <c r="Q129" s="758"/>
      <c r="R129" s="758"/>
      <c r="S129" s="758"/>
      <c r="T129" s="758"/>
      <c r="U129" s="758"/>
      <c r="V129" s="758"/>
    </row>
    <row r="130" spans="1:22">
      <c r="A130" s="758"/>
      <c r="B130" s="758"/>
      <c r="C130" s="758"/>
      <c r="D130" s="758"/>
      <c r="E130" s="758"/>
      <c r="F130" s="758"/>
      <c r="G130" s="758"/>
      <c r="H130" s="758"/>
      <c r="I130" s="758"/>
      <c r="J130" s="758"/>
      <c r="K130" s="758"/>
      <c r="L130" s="758"/>
      <c r="M130" s="758"/>
      <c r="N130" s="758"/>
      <c r="O130" s="758"/>
      <c r="P130" s="758"/>
      <c r="Q130" s="758"/>
      <c r="R130" s="758"/>
      <c r="S130" s="758"/>
      <c r="T130" s="758"/>
      <c r="U130" s="758"/>
      <c r="V130" s="758"/>
    </row>
    <row r="131" spans="1:22">
      <c r="A131" s="758"/>
      <c r="B131" s="758"/>
      <c r="C131" s="758"/>
      <c r="D131" s="758"/>
      <c r="E131" s="758"/>
      <c r="F131" s="758"/>
      <c r="G131" s="758"/>
      <c r="H131" s="758"/>
      <c r="I131" s="758"/>
      <c r="J131" s="758"/>
      <c r="K131" s="758"/>
      <c r="L131" s="758"/>
      <c r="M131" s="758"/>
      <c r="N131" s="758"/>
      <c r="O131" s="758"/>
      <c r="P131" s="758"/>
      <c r="Q131" s="758"/>
      <c r="R131" s="758"/>
      <c r="S131" s="758"/>
      <c r="T131" s="758"/>
      <c r="U131" s="758"/>
      <c r="V131" s="758"/>
    </row>
    <row r="132" spans="1:22">
      <c r="A132" s="767" t="s">
        <v>279</v>
      </c>
      <c r="B132" s="758"/>
      <c r="C132" s="758"/>
      <c r="D132" s="758"/>
      <c r="E132" s="758"/>
      <c r="F132" s="758"/>
      <c r="G132" s="758"/>
      <c r="H132" s="758"/>
      <c r="I132" s="758"/>
      <c r="J132" s="758"/>
      <c r="K132" s="758"/>
      <c r="L132" s="758"/>
      <c r="M132" s="758"/>
      <c r="N132" s="758"/>
      <c r="O132" s="758"/>
      <c r="P132" s="758"/>
      <c r="Q132" s="758"/>
      <c r="R132" s="758"/>
      <c r="S132" s="758"/>
      <c r="T132" s="758"/>
      <c r="U132" s="758"/>
      <c r="V132" s="758"/>
    </row>
    <row r="133" spans="1:22" ht="15.75" thickBot="1">
      <c r="A133" s="766" t="s">
        <v>280</v>
      </c>
      <c r="B133" s="758"/>
      <c r="C133" s="758"/>
      <c r="D133" s="758"/>
      <c r="E133" s="758"/>
      <c r="F133" s="758"/>
      <c r="G133" s="758"/>
      <c r="H133" s="758"/>
      <c r="I133" s="758"/>
      <c r="J133" s="758"/>
      <c r="K133" s="758"/>
      <c r="L133" s="758"/>
      <c r="M133" s="758"/>
      <c r="N133" s="758"/>
      <c r="O133" s="758"/>
      <c r="P133" s="758"/>
      <c r="Q133" s="758"/>
      <c r="R133" s="758"/>
      <c r="S133" s="758"/>
      <c r="T133" s="758"/>
      <c r="U133" s="758"/>
      <c r="V133" s="758"/>
    </row>
    <row r="134" spans="1:22" ht="30" customHeight="1">
      <c r="A134" s="764" t="s">
        <v>281</v>
      </c>
      <c r="C134" s="1005" t="s">
        <v>1160</v>
      </c>
      <c r="D134" s="1005"/>
      <c r="E134" s="1005"/>
      <c r="F134" s="1005"/>
      <c r="G134" s="1005"/>
      <c r="H134" s="1005"/>
      <c r="I134" s="1005"/>
      <c r="J134" s="1005"/>
      <c r="K134" s="1005"/>
      <c r="L134" s="1005"/>
      <c r="M134" s="1005"/>
      <c r="N134" s="1005"/>
      <c r="O134" s="1005"/>
      <c r="P134" s="758"/>
      <c r="Q134" s="758"/>
      <c r="R134" s="758"/>
      <c r="S134" s="758"/>
      <c r="T134" s="758"/>
      <c r="U134" s="758"/>
      <c r="V134" s="758"/>
    </row>
    <row r="135" spans="1:22" ht="30" customHeight="1">
      <c r="A135" s="764" t="s">
        <v>283</v>
      </c>
      <c r="C135" s="1005" t="s">
        <v>1161</v>
      </c>
      <c r="D135" s="1005"/>
      <c r="E135" s="1005"/>
      <c r="F135" s="1005"/>
      <c r="G135" s="1005"/>
      <c r="H135" s="1005"/>
      <c r="I135" s="1005"/>
      <c r="J135" s="1005"/>
      <c r="K135" s="1005"/>
      <c r="L135" s="1005"/>
      <c r="M135" s="1005"/>
      <c r="N135" s="1005"/>
      <c r="O135" s="1005"/>
      <c r="P135" s="758"/>
      <c r="Q135" s="758"/>
      <c r="R135" s="758"/>
      <c r="S135" s="758"/>
      <c r="T135" s="758"/>
      <c r="U135" s="758"/>
      <c r="V135" s="758"/>
    </row>
    <row r="136" spans="1:22" ht="33" customHeight="1">
      <c r="A136" s="764" t="s">
        <v>285</v>
      </c>
      <c r="C136" s="1005" t="s">
        <v>1162</v>
      </c>
      <c r="D136" s="1005"/>
      <c r="E136" s="1005"/>
      <c r="F136" s="1005"/>
      <c r="G136" s="1005"/>
      <c r="H136" s="1005"/>
      <c r="I136" s="1005"/>
      <c r="J136" s="1005"/>
      <c r="K136" s="1005"/>
      <c r="L136" s="1005"/>
      <c r="M136" s="1005"/>
      <c r="N136" s="1005"/>
      <c r="O136" s="1005"/>
      <c r="P136" s="758"/>
      <c r="Q136" s="758"/>
      <c r="R136" s="758"/>
      <c r="S136" s="758"/>
      <c r="T136" s="758"/>
      <c r="U136" s="758"/>
      <c r="V136" s="758"/>
    </row>
    <row r="137" spans="1:22">
      <c r="A137" s="764" t="s">
        <v>287</v>
      </c>
      <c r="C137" s="1004" t="s">
        <v>447</v>
      </c>
      <c r="D137" s="1004"/>
      <c r="E137" s="1004"/>
      <c r="F137" s="1004"/>
      <c r="G137" s="1004"/>
      <c r="H137" s="1004"/>
      <c r="I137" s="1004"/>
      <c r="J137" s="1004"/>
      <c r="K137" s="1004"/>
      <c r="L137" s="1004"/>
      <c r="M137" s="1004"/>
      <c r="N137" s="1004"/>
      <c r="O137" s="1004"/>
      <c r="P137" s="758"/>
      <c r="Q137" s="758"/>
      <c r="R137" s="758"/>
      <c r="S137" s="758"/>
      <c r="T137" s="758"/>
      <c r="U137" s="758"/>
      <c r="V137" s="758"/>
    </row>
    <row r="138" spans="1:22">
      <c r="A138" s="765" t="s">
        <v>288</v>
      </c>
      <c r="C138" s="1002" t="s">
        <v>446</v>
      </c>
      <c r="D138" s="1002"/>
      <c r="E138" s="1002"/>
      <c r="F138" s="1002"/>
      <c r="G138" s="1002"/>
      <c r="H138" s="1002"/>
      <c r="I138" s="1002"/>
      <c r="J138" s="1002"/>
      <c r="K138" s="1002"/>
      <c r="L138" s="1002"/>
      <c r="M138" s="1002"/>
      <c r="N138" s="1002"/>
      <c r="O138" s="1002"/>
      <c r="P138" s="758"/>
      <c r="Q138" s="758"/>
      <c r="R138" s="758"/>
      <c r="S138" s="758"/>
      <c r="T138" s="758"/>
      <c r="U138" s="758"/>
      <c r="V138" s="758"/>
    </row>
    <row r="139" spans="1:22">
      <c r="A139" s="765" t="s">
        <v>290</v>
      </c>
      <c r="C139" s="1002" t="s">
        <v>445</v>
      </c>
      <c r="D139" s="1002"/>
      <c r="E139" s="1002"/>
      <c r="F139" s="1002"/>
      <c r="G139" s="1002"/>
      <c r="H139" s="1002"/>
      <c r="I139" s="1002"/>
      <c r="J139" s="1002"/>
      <c r="K139" s="1002"/>
      <c r="L139" s="1002"/>
      <c r="M139" s="1002"/>
      <c r="N139" s="1002"/>
      <c r="O139" s="1002"/>
      <c r="P139" s="758"/>
      <c r="Q139" s="758"/>
      <c r="R139" s="758"/>
      <c r="S139" s="758"/>
      <c r="T139" s="758"/>
      <c r="U139" s="758"/>
      <c r="V139" s="758"/>
    </row>
    <row r="140" spans="1:22">
      <c r="A140" s="765" t="s">
        <v>292</v>
      </c>
      <c r="C140" s="1002" t="s">
        <v>444</v>
      </c>
      <c r="D140" s="1002"/>
      <c r="E140" s="1002"/>
      <c r="F140" s="1002"/>
      <c r="G140" s="1002"/>
      <c r="H140" s="1002"/>
      <c r="I140" s="1002"/>
      <c r="J140" s="1002"/>
      <c r="K140" s="1002"/>
      <c r="L140" s="1002"/>
      <c r="M140" s="1002"/>
      <c r="N140" s="1002"/>
      <c r="O140" s="1002"/>
      <c r="P140" s="758"/>
      <c r="Q140" s="758"/>
      <c r="R140" s="758"/>
      <c r="S140" s="758"/>
      <c r="T140" s="758"/>
      <c r="U140" s="758"/>
      <c r="V140" s="758"/>
    </row>
    <row r="141" spans="1:22" ht="31.5" customHeight="1">
      <c r="A141" s="764" t="s">
        <v>294</v>
      </c>
      <c r="C141" s="1004" t="s">
        <v>1163</v>
      </c>
      <c r="D141" s="1004"/>
      <c r="E141" s="1004"/>
      <c r="F141" s="1004"/>
      <c r="G141" s="1004"/>
      <c r="H141" s="1004"/>
      <c r="I141" s="1004"/>
      <c r="J141" s="1004"/>
      <c r="K141" s="1004"/>
      <c r="L141" s="1004"/>
      <c r="M141" s="1004"/>
      <c r="N141" s="1004"/>
      <c r="O141" s="1004"/>
      <c r="P141" s="758"/>
      <c r="Q141" s="758"/>
      <c r="R141" s="758"/>
      <c r="S141" s="758"/>
      <c r="T141" s="758"/>
      <c r="U141" s="758"/>
      <c r="V141" s="758"/>
    </row>
    <row r="142" spans="1:22" ht="15.75" customHeight="1">
      <c r="A142" s="762" t="s">
        <v>296</v>
      </c>
      <c r="B142" s="763"/>
      <c r="C142" s="1003" t="s">
        <v>443</v>
      </c>
      <c r="D142" s="1003"/>
      <c r="E142" s="1003"/>
      <c r="F142" s="1003"/>
      <c r="G142" s="1003"/>
      <c r="H142" s="1003"/>
      <c r="I142" s="1003"/>
      <c r="J142" s="1003"/>
      <c r="K142" s="1003"/>
      <c r="L142" s="1003"/>
      <c r="M142" s="1003"/>
      <c r="N142" s="1003"/>
      <c r="O142" s="1003"/>
      <c r="P142" s="761"/>
      <c r="Q142" s="761"/>
      <c r="R142" s="761"/>
      <c r="S142" s="761"/>
      <c r="T142" s="761"/>
      <c r="U142" s="758"/>
      <c r="V142" s="758"/>
    </row>
    <row r="143" spans="1:22">
      <c r="A143" s="762" t="s">
        <v>298</v>
      </c>
      <c r="B143" s="759"/>
      <c r="C143" s="1003" t="s">
        <v>442</v>
      </c>
      <c r="D143" s="1003"/>
      <c r="E143" s="1003"/>
      <c r="F143" s="1003"/>
      <c r="G143" s="1003"/>
      <c r="H143" s="1003"/>
      <c r="I143" s="1003"/>
      <c r="J143" s="1003"/>
      <c r="K143" s="1003"/>
      <c r="L143" s="1003"/>
      <c r="M143" s="1003"/>
      <c r="N143" s="1003"/>
      <c r="O143" s="1003"/>
      <c r="P143" s="761"/>
      <c r="Q143" s="761"/>
      <c r="R143" s="761"/>
      <c r="S143" s="761"/>
      <c r="T143" s="761"/>
      <c r="U143" s="758"/>
      <c r="V143" s="758"/>
    </row>
    <row r="144" spans="1:22">
      <c r="A144" s="762" t="s">
        <v>300</v>
      </c>
      <c r="B144" s="759"/>
      <c r="C144" s="1003" t="s">
        <v>1121</v>
      </c>
      <c r="D144" s="1003"/>
      <c r="E144" s="1003"/>
      <c r="F144" s="1003"/>
      <c r="G144" s="1003"/>
      <c r="H144" s="1003"/>
      <c r="I144" s="1003"/>
      <c r="J144" s="1003"/>
      <c r="K144" s="1003"/>
      <c r="L144" s="1003"/>
      <c r="M144" s="1003"/>
      <c r="N144" s="1003"/>
      <c r="O144" s="1003"/>
      <c r="P144" s="758"/>
      <c r="Q144" s="758"/>
      <c r="R144" s="758"/>
      <c r="S144" s="758"/>
      <c r="T144" s="758"/>
      <c r="U144" s="758"/>
      <c r="V144" s="758"/>
    </row>
    <row r="145" spans="3:22">
      <c r="C145" s="920"/>
      <c r="D145" s="920"/>
      <c r="E145" s="920"/>
      <c r="F145" s="920"/>
      <c r="G145" s="920"/>
      <c r="H145" s="920"/>
      <c r="I145" s="921" t="s">
        <v>70</v>
      </c>
      <c r="J145" s="921" t="s">
        <v>19</v>
      </c>
      <c r="K145" s="921" t="s">
        <v>68</v>
      </c>
      <c r="L145" s="922"/>
      <c r="M145" s="758"/>
      <c r="N145" s="758"/>
      <c r="O145" s="758"/>
      <c r="P145" s="758"/>
      <c r="Q145" s="758"/>
      <c r="R145" s="758"/>
      <c r="S145" s="758"/>
      <c r="T145" s="758"/>
      <c r="U145" s="758"/>
      <c r="V145" s="758"/>
    </row>
    <row r="146" spans="3:22" ht="15.75">
      <c r="C146" s="923" t="s">
        <v>1120</v>
      </c>
      <c r="D146" s="922"/>
      <c r="E146" s="924"/>
      <c r="F146" s="924"/>
      <c r="G146" s="924"/>
      <c r="H146" s="922"/>
      <c r="I146" s="925">
        <f>'Software-Comm Equip'!C24</f>
        <v>244323418</v>
      </c>
      <c r="J146" s="926">
        <f>'ATC Attach O ER22-1602'!I241</f>
        <v>1</v>
      </c>
      <c r="K146" s="927">
        <f>I146*J146</f>
        <v>244323418</v>
      </c>
      <c r="L146" s="928" t="s">
        <v>1119</v>
      </c>
      <c r="M146" s="758"/>
      <c r="N146" s="758"/>
      <c r="P146" s="758"/>
      <c r="Q146" s="758"/>
      <c r="R146" s="758"/>
      <c r="S146" s="758"/>
      <c r="T146" s="758"/>
      <c r="U146" s="758"/>
      <c r="V146" s="758"/>
    </row>
    <row r="147" spans="3:22" ht="15.75">
      <c r="C147" s="923" t="s">
        <v>1118</v>
      </c>
      <c r="D147" s="922"/>
      <c r="E147" s="924"/>
      <c r="F147" s="924"/>
      <c r="G147" s="924"/>
      <c r="H147" s="922"/>
      <c r="I147" s="925">
        <f>'Software-Comm Equip'!D24</f>
        <v>62729955</v>
      </c>
      <c r="J147" s="929">
        <f>+J146</f>
        <v>1</v>
      </c>
      <c r="K147" s="927">
        <f>I147*J147</f>
        <v>62729955</v>
      </c>
      <c r="L147" s="923"/>
      <c r="M147" s="758"/>
      <c r="N147" s="758"/>
      <c r="O147" s="758"/>
      <c r="P147" s="758"/>
      <c r="Q147" s="758"/>
      <c r="R147" s="758"/>
      <c r="S147" s="758"/>
      <c r="T147" s="758"/>
      <c r="U147" s="758"/>
      <c r="V147" s="758"/>
    </row>
    <row r="148" spans="3:22">
      <c r="C148" s="923" t="s">
        <v>1117</v>
      </c>
      <c r="D148" s="922"/>
      <c r="E148" s="924"/>
      <c r="F148" s="924"/>
      <c r="G148" s="924"/>
      <c r="H148" s="922"/>
      <c r="I148" s="930">
        <f>I146-I147</f>
        <v>181593463</v>
      </c>
      <c r="J148" s="931"/>
      <c r="K148" s="930">
        <f>K146-K147</f>
        <v>181593463</v>
      </c>
      <c r="L148" s="928" t="s">
        <v>1116</v>
      </c>
      <c r="M148" s="758"/>
      <c r="N148" s="758"/>
      <c r="O148" s="758"/>
      <c r="P148" s="758"/>
      <c r="Q148" s="758"/>
      <c r="R148" s="758"/>
      <c r="S148" s="758"/>
      <c r="T148" s="758"/>
      <c r="U148" s="758"/>
      <c r="V148" s="758"/>
    </row>
    <row r="149" spans="3:22">
      <c r="C149" s="924"/>
      <c r="D149" s="922"/>
      <c r="E149" s="924"/>
      <c r="F149" s="924"/>
      <c r="G149" s="924"/>
      <c r="H149" s="922"/>
      <c r="I149" s="924"/>
      <c r="J149" s="931"/>
      <c r="K149" s="924"/>
      <c r="L149" s="928"/>
      <c r="M149" s="758"/>
      <c r="N149" s="758"/>
      <c r="O149" s="758"/>
      <c r="P149" s="758"/>
      <c r="Q149" s="758"/>
      <c r="R149" s="758"/>
      <c r="S149" s="758"/>
      <c r="T149" s="758"/>
      <c r="U149" s="758"/>
      <c r="V149" s="758"/>
    </row>
    <row r="150" spans="3:22" ht="15.75">
      <c r="C150" s="923" t="s">
        <v>1115</v>
      </c>
      <c r="D150" s="922"/>
      <c r="E150" s="924"/>
      <c r="F150" s="924"/>
      <c r="G150" s="924"/>
      <c r="H150" s="922"/>
      <c r="I150" s="925">
        <f>'Software-Comm Equip'!C41</f>
        <v>17613228</v>
      </c>
      <c r="J150" s="929">
        <f>+J147</f>
        <v>1</v>
      </c>
      <c r="K150" s="927">
        <f>I150*J150</f>
        <v>17613228</v>
      </c>
      <c r="L150" s="928" t="s">
        <v>1114</v>
      </c>
      <c r="M150" s="758"/>
      <c r="N150" s="758"/>
      <c r="O150" s="758"/>
      <c r="P150" s="758"/>
      <c r="Q150" s="758"/>
      <c r="R150" s="758"/>
      <c r="S150" s="758"/>
      <c r="T150" s="758"/>
      <c r="U150" s="758"/>
      <c r="V150" s="758"/>
    </row>
    <row r="151" spans="3:22">
      <c r="C151" s="758"/>
      <c r="D151" s="758"/>
      <c r="E151" s="758"/>
      <c r="F151" s="758"/>
      <c r="G151" s="758"/>
      <c r="H151" s="758"/>
      <c r="I151" s="758"/>
      <c r="J151" s="758"/>
      <c r="K151" s="758"/>
      <c r="L151" s="758"/>
      <c r="M151" s="758"/>
      <c r="N151" s="758"/>
      <c r="O151" s="758"/>
      <c r="P151" s="758"/>
      <c r="Q151" s="758"/>
      <c r="R151" s="758"/>
      <c r="S151" s="758"/>
      <c r="T151" s="758"/>
      <c r="U151" s="758"/>
      <c r="V151" s="758"/>
    </row>
    <row r="152" spans="3:22">
      <c r="C152" s="758"/>
      <c r="D152" s="758"/>
      <c r="E152" s="758"/>
      <c r="F152" s="758"/>
      <c r="G152" s="758"/>
      <c r="H152" s="758"/>
      <c r="I152" s="758"/>
      <c r="J152" s="758"/>
      <c r="K152" s="758"/>
      <c r="L152" s="758"/>
      <c r="M152" s="758"/>
      <c r="N152" s="758"/>
      <c r="O152" s="758"/>
      <c r="P152" s="758"/>
      <c r="Q152" s="758"/>
      <c r="R152" s="758"/>
      <c r="S152" s="758"/>
      <c r="T152" s="758"/>
      <c r="U152" s="758"/>
      <c r="V152" s="758"/>
    </row>
    <row r="153" spans="3:22">
      <c r="C153" s="758"/>
      <c r="D153" s="758"/>
      <c r="E153" s="758"/>
      <c r="F153" s="758"/>
      <c r="G153" s="758"/>
      <c r="H153" s="758"/>
      <c r="I153" s="758"/>
      <c r="J153" s="758"/>
      <c r="K153" s="758"/>
      <c r="L153" s="758"/>
      <c r="M153" s="758"/>
      <c r="N153" s="758"/>
      <c r="O153" s="758"/>
      <c r="P153" s="758"/>
      <c r="Q153" s="758"/>
      <c r="R153" s="758"/>
      <c r="S153" s="758"/>
      <c r="T153" s="758"/>
      <c r="U153" s="758"/>
      <c r="V153" s="758"/>
    </row>
    <row r="154" spans="3:22">
      <c r="C154" s="758"/>
      <c r="D154" s="758"/>
      <c r="E154" s="758"/>
      <c r="F154" s="758"/>
      <c r="G154" s="758"/>
      <c r="H154" s="758"/>
      <c r="I154" s="758"/>
      <c r="J154" s="758"/>
      <c r="K154" s="758"/>
      <c r="L154" s="758"/>
      <c r="M154" s="758"/>
      <c r="N154" s="758"/>
      <c r="O154" s="758"/>
      <c r="P154" s="758"/>
      <c r="Q154" s="758"/>
      <c r="R154" s="758"/>
      <c r="S154" s="758"/>
      <c r="T154" s="758"/>
      <c r="U154" s="758"/>
      <c r="V154" s="758"/>
    </row>
    <row r="155" spans="3:22">
      <c r="C155" s="758"/>
      <c r="D155" s="758"/>
      <c r="E155" s="758"/>
      <c r="F155" s="758"/>
      <c r="G155" s="758"/>
      <c r="H155" s="758"/>
      <c r="I155" s="758"/>
      <c r="J155" s="758"/>
      <c r="K155" s="758"/>
      <c r="L155" s="758"/>
      <c r="M155" s="758"/>
      <c r="N155" s="758"/>
      <c r="O155" s="758"/>
      <c r="P155" s="758"/>
      <c r="Q155" s="758"/>
      <c r="R155" s="758"/>
      <c r="S155" s="758"/>
      <c r="T155" s="758"/>
      <c r="U155" s="758"/>
      <c r="V155" s="758"/>
    </row>
    <row r="156" spans="3:22">
      <c r="C156" s="758"/>
      <c r="D156" s="758"/>
      <c r="E156" s="758"/>
      <c r="F156" s="758"/>
      <c r="G156" s="758"/>
      <c r="H156" s="758"/>
      <c r="I156" s="758"/>
      <c r="J156" s="758"/>
      <c r="K156" s="758"/>
      <c r="L156" s="758"/>
      <c r="M156" s="758"/>
      <c r="N156" s="758"/>
      <c r="O156" s="758"/>
      <c r="P156" s="758"/>
      <c r="Q156" s="758"/>
      <c r="R156" s="758"/>
      <c r="S156" s="758"/>
      <c r="T156" s="758"/>
      <c r="U156" s="758"/>
      <c r="V156" s="758"/>
    </row>
    <row r="157" spans="3:22">
      <c r="C157" s="758"/>
      <c r="D157" s="758"/>
      <c r="E157" s="758"/>
      <c r="F157" s="758"/>
      <c r="G157" s="758"/>
      <c r="H157" s="758"/>
      <c r="I157" s="758"/>
      <c r="J157" s="758"/>
      <c r="K157" s="758"/>
      <c r="L157" s="758"/>
      <c r="M157" s="758"/>
      <c r="N157" s="758"/>
      <c r="O157" s="758"/>
      <c r="P157" s="758"/>
      <c r="Q157" s="758"/>
      <c r="R157" s="758"/>
      <c r="S157" s="758"/>
      <c r="T157" s="758"/>
      <c r="U157" s="758"/>
      <c r="V157" s="758"/>
    </row>
    <row r="158" spans="3:22">
      <c r="C158" s="758"/>
      <c r="D158" s="758"/>
      <c r="E158" s="758"/>
      <c r="F158" s="758"/>
      <c r="G158" s="758"/>
      <c r="H158" s="758"/>
      <c r="I158" s="758"/>
      <c r="J158" s="758"/>
      <c r="K158" s="758"/>
      <c r="L158" s="758"/>
      <c r="M158" s="758"/>
      <c r="N158" s="758"/>
      <c r="O158" s="758"/>
      <c r="P158" s="758"/>
      <c r="Q158" s="758"/>
      <c r="R158" s="758"/>
      <c r="S158" s="758"/>
      <c r="T158" s="758"/>
      <c r="U158" s="758"/>
      <c r="V158" s="758"/>
    </row>
    <row r="159" spans="3:22">
      <c r="C159" s="758"/>
      <c r="D159" s="758"/>
      <c r="E159" s="758"/>
      <c r="F159" s="758"/>
      <c r="G159" s="758"/>
      <c r="H159" s="758"/>
      <c r="I159" s="758"/>
      <c r="J159" s="758"/>
      <c r="K159" s="758"/>
      <c r="L159" s="758"/>
      <c r="M159" s="758"/>
      <c r="N159" s="758"/>
      <c r="O159" s="758"/>
      <c r="P159" s="758"/>
      <c r="Q159" s="758"/>
      <c r="R159" s="758"/>
      <c r="S159" s="758"/>
      <c r="T159" s="758"/>
      <c r="U159" s="758"/>
      <c r="V159" s="758"/>
    </row>
    <row r="160" spans="3:22">
      <c r="C160" s="758"/>
      <c r="D160" s="758"/>
      <c r="E160" s="758"/>
      <c r="F160" s="758"/>
      <c r="G160" s="758"/>
      <c r="H160" s="758"/>
      <c r="I160" s="758"/>
      <c r="J160" s="758"/>
      <c r="K160" s="758"/>
      <c r="L160" s="758"/>
      <c r="M160" s="758"/>
      <c r="N160" s="758"/>
      <c r="O160" s="758"/>
      <c r="P160" s="758"/>
      <c r="Q160" s="758"/>
      <c r="R160" s="758"/>
      <c r="S160" s="758"/>
      <c r="T160" s="758"/>
      <c r="U160" s="758"/>
      <c r="V160" s="758"/>
    </row>
    <row r="161" spans="3:22">
      <c r="C161" s="758"/>
      <c r="D161" s="758"/>
      <c r="E161" s="758"/>
      <c r="F161" s="758"/>
      <c r="G161" s="758"/>
      <c r="H161" s="758"/>
      <c r="I161" s="758"/>
      <c r="J161" s="758"/>
      <c r="K161" s="758"/>
      <c r="L161" s="758"/>
      <c r="M161" s="758"/>
      <c r="N161" s="758"/>
      <c r="O161" s="758"/>
      <c r="P161" s="758"/>
      <c r="Q161" s="758"/>
      <c r="R161" s="758"/>
      <c r="S161" s="758"/>
      <c r="T161" s="758"/>
      <c r="U161" s="758"/>
      <c r="V161" s="758"/>
    </row>
    <row r="162" spans="3:22">
      <c r="C162" s="758"/>
      <c r="D162" s="758"/>
      <c r="E162" s="758"/>
      <c r="F162" s="758"/>
      <c r="G162" s="758"/>
      <c r="H162" s="758"/>
      <c r="I162" s="758"/>
      <c r="J162" s="758"/>
      <c r="K162" s="758"/>
      <c r="L162" s="758"/>
      <c r="M162" s="758"/>
      <c r="N162" s="758"/>
      <c r="O162" s="758"/>
      <c r="P162" s="758"/>
      <c r="Q162" s="758"/>
      <c r="R162" s="758"/>
      <c r="S162" s="758"/>
      <c r="T162" s="758"/>
      <c r="U162" s="758"/>
      <c r="V162" s="758"/>
    </row>
    <row r="163" spans="3:22">
      <c r="C163" s="758"/>
      <c r="D163" s="758"/>
      <c r="E163" s="758"/>
      <c r="F163" s="758"/>
      <c r="G163" s="758"/>
      <c r="H163" s="758"/>
      <c r="I163" s="758"/>
      <c r="J163" s="758"/>
      <c r="K163" s="758"/>
      <c r="L163" s="758"/>
      <c r="M163" s="758"/>
      <c r="N163" s="758"/>
      <c r="O163" s="758"/>
      <c r="P163" s="758"/>
      <c r="Q163" s="758"/>
      <c r="R163" s="758"/>
      <c r="S163" s="758"/>
      <c r="T163" s="758"/>
      <c r="U163" s="758"/>
      <c r="V163" s="758"/>
    </row>
    <row r="164" spans="3:22">
      <c r="C164" s="758"/>
      <c r="D164" s="758"/>
      <c r="E164" s="758"/>
      <c r="F164" s="758"/>
      <c r="G164" s="758"/>
      <c r="H164" s="758"/>
      <c r="I164" s="758"/>
      <c r="J164" s="758"/>
      <c r="K164" s="758"/>
      <c r="L164" s="758"/>
      <c r="M164" s="758"/>
      <c r="N164" s="758"/>
      <c r="O164" s="758"/>
      <c r="P164" s="758"/>
      <c r="Q164" s="758"/>
      <c r="R164" s="758"/>
      <c r="S164" s="758"/>
      <c r="T164" s="758"/>
      <c r="U164" s="758"/>
      <c r="V164" s="758"/>
    </row>
    <row r="165" spans="3:22">
      <c r="C165" s="758"/>
      <c r="D165" s="758"/>
      <c r="E165" s="758"/>
      <c r="F165" s="758"/>
      <c r="G165" s="758"/>
      <c r="H165" s="758"/>
      <c r="I165" s="758"/>
      <c r="J165" s="758"/>
      <c r="K165" s="758"/>
      <c r="L165" s="758"/>
      <c r="M165" s="758"/>
      <c r="N165" s="758"/>
      <c r="O165" s="758"/>
      <c r="P165" s="758"/>
      <c r="Q165" s="758"/>
      <c r="R165" s="758"/>
      <c r="S165" s="758"/>
      <c r="T165" s="758"/>
      <c r="U165" s="758"/>
      <c r="V165" s="758"/>
    </row>
    <row r="166" spans="3:22">
      <c r="C166" s="758"/>
      <c r="D166" s="758"/>
      <c r="E166" s="758"/>
      <c r="F166" s="758"/>
      <c r="G166" s="758"/>
      <c r="H166" s="758"/>
      <c r="I166" s="758"/>
      <c r="J166" s="758"/>
      <c r="K166" s="758"/>
      <c r="L166" s="758"/>
      <c r="M166" s="758"/>
      <c r="N166" s="758"/>
      <c r="O166" s="758"/>
      <c r="P166" s="758"/>
      <c r="Q166" s="758"/>
      <c r="R166" s="758"/>
      <c r="S166" s="758"/>
      <c r="T166" s="758"/>
      <c r="U166" s="758"/>
      <c r="V166" s="758"/>
    </row>
    <row r="167" spans="3:22">
      <c r="C167" s="758"/>
      <c r="D167" s="758"/>
      <c r="E167" s="758"/>
      <c r="F167" s="758"/>
      <c r="G167" s="758"/>
      <c r="H167" s="758"/>
      <c r="I167" s="758"/>
      <c r="J167" s="758"/>
      <c r="K167" s="758"/>
      <c r="L167" s="758"/>
      <c r="M167" s="758"/>
      <c r="N167" s="758"/>
      <c r="O167" s="758"/>
      <c r="P167" s="758"/>
      <c r="Q167" s="758"/>
      <c r="R167" s="758"/>
      <c r="S167" s="758"/>
      <c r="T167" s="758"/>
      <c r="U167" s="758"/>
      <c r="V167" s="758"/>
    </row>
    <row r="168" spans="3:22">
      <c r="C168" s="758"/>
      <c r="D168" s="758"/>
      <c r="E168" s="758"/>
      <c r="F168" s="758"/>
      <c r="G168" s="758"/>
      <c r="H168" s="758"/>
      <c r="I168" s="758"/>
      <c r="J168" s="758"/>
      <c r="K168" s="758"/>
      <c r="L168" s="758"/>
      <c r="M168" s="758"/>
      <c r="N168" s="758"/>
      <c r="O168" s="758"/>
      <c r="P168" s="758"/>
      <c r="Q168" s="758"/>
      <c r="R168" s="758"/>
      <c r="S168" s="758"/>
      <c r="T168" s="758"/>
      <c r="U168" s="758"/>
      <c r="V168" s="758"/>
    </row>
    <row r="169" spans="3:22">
      <c r="C169" s="758"/>
      <c r="D169" s="758"/>
      <c r="E169" s="758"/>
      <c r="F169" s="758"/>
      <c r="G169" s="758"/>
      <c r="H169" s="758"/>
      <c r="I169" s="758"/>
      <c r="J169" s="758"/>
      <c r="K169" s="758"/>
      <c r="L169" s="758"/>
      <c r="M169" s="758"/>
      <c r="N169" s="758"/>
      <c r="O169" s="758"/>
      <c r="P169" s="758"/>
      <c r="Q169" s="758"/>
      <c r="R169" s="758"/>
      <c r="S169" s="758"/>
      <c r="T169" s="758"/>
      <c r="U169" s="758"/>
      <c r="V169" s="758"/>
    </row>
    <row r="170" spans="3:22">
      <c r="C170" s="758"/>
      <c r="D170" s="758"/>
      <c r="E170" s="758"/>
      <c r="F170" s="758"/>
      <c r="G170" s="758"/>
      <c r="H170" s="758"/>
      <c r="I170" s="758"/>
      <c r="J170" s="758"/>
      <c r="K170" s="758"/>
      <c r="L170" s="758"/>
      <c r="M170" s="758"/>
      <c r="N170" s="758"/>
      <c r="O170" s="758"/>
      <c r="P170" s="758"/>
      <c r="Q170" s="758"/>
      <c r="R170" s="758"/>
      <c r="S170" s="758"/>
      <c r="T170" s="758"/>
      <c r="U170" s="758"/>
      <c r="V170" s="758"/>
    </row>
    <row r="171" spans="3:22">
      <c r="C171" s="758"/>
      <c r="D171" s="758"/>
      <c r="E171" s="758"/>
      <c r="F171" s="758"/>
      <c r="G171" s="758"/>
      <c r="H171" s="758"/>
      <c r="I171" s="758"/>
      <c r="J171" s="758"/>
      <c r="K171" s="758"/>
      <c r="L171" s="758"/>
      <c r="M171" s="758"/>
      <c r="N171" s="758"/>
      <c r="O171" s="758"/>
      <c r="P171" s="758"/>
      <c r="Q171" s="758"/>
      <c r="R171" s="758"/>
      <c r="S171" s="758"/>
      <c r="T171" s="758"/>
      <c r="U171" s="758"/>
      <c r="V171" s="758"/>
    </row>
    <row r="172" spans="3:22">
      <c r="C172" s="758"/>
      <c r="D172" s="758"/>
      <c r="E172" s="758"/>
      <c r="F172" s="758"/>
      <c r="G172" s="758"/>
      <c r="H172" s="758"/>
      <c r="I172" s="758"/>
      <c r="J172" s="758"/>
      <c r="K172" s="758"/>
      <c r="L172" s="758"/>
      <c r="M172" s="758"/>
      <c r="N172" s="758"/>
      <c r="O172" s="758"/>
      <c r="P172" s="758"/>
      <c r="Q172" s="758"/>
      <c r="R172" s="758"/>
      <c r="S172" s="758"/>
      <c r="T172" s="758"/>
      <c r="U172" s="758"/>
      <c r="V172" s="758"/>
    </row>
    <row r="173" spans="3:22">
      <c r="C173" s="758"/>
      <c r="D173" s="758"/>
      <c r="E173" s="758"/>
      <c r="F173" s="758"/>
      <c r="G173" s="758"/>
      <c r="H173" s="758"/>
      <c r="I173" s="758"/>
      <c r="J173" s="758"/>
      <c r="K173" s="758"/>
      <c r="L173" s="758"/>
      <c r="M173" s="758"/>
      <c r="N173" s="758"/>
      <c r="O173" s="758"/>
      <c r="P173" s="758"/>
      <c r="Q173" s="758"/>
      <c r="R173" s="758"/>
      <c r="S173" s="758"/>
      <c r="T173" s="758"/>
      <c r="U173" s="758"/>
      <c r="V173" s="758"/>
    </row>
    <row r="174" spans="3:22">
      <c r="C174" s="758"/>
      <c r="D174" s="758"/>
      <c r="E174" s="758"/>
      <c r="F174" s="758"/>
      <c r="G174" s="758"/>
      <c r="H174" s="758"/>
      <c r="I174" s="758"/>
      <c r="J174" s="758"/>
      <c r="K174" s="758"/>
      <c r="L174" s="758"/>
      <c r="M174" s="758"/>
      <c r="N174" s="758"/>
      <c r="O174" s="758"/>
      <c r="P174" s="758"/>
      <c r="Q174" s="758"/>
      <c r="R174" s="758"/>
      <c r="S174" s="758"/>
      <c r="T174" s="758"/>
      <c r="U174" s="758"/>
      <c r="V174" s="758"/>
    </row>
    <row r="175" spans="3:22">
      <c r="C175" s="758"/>
      <c r="D175" s="758"/>
      <c r="E175" s="758"/>
      <c r="F175" s="758"/>
      <c r="G175" s="758"/>
      <c r="H175" s="758"/>
      <c r="I175" s="758"/>
      <c r="J175" s="758"/>
      <c r="K175" s="758"/>
      <c r="L175" s="758"/>
      <c r="M175" s="758"/>
      <c r="N175" s="758"/>
      <c r="O175" s="758"/>
      <c r="P175" s="758"/>
      <c r="Q175" s="758"/>
      <c r="R175" s="758"/>
      <c r="S175" s="758"/>
      <c r="T175" s="758"/>
      <c r="U175" s="758"/>
      <c r="V175" s="758"/>
    </row>
    <row r="176" spans="3:22">
      <c r="C176" s="758"/>
      <c r="D176" s="758"/>
      <c r="E176" s="758"/>
      <c r="F176" s="758"/>
      <c r="G176" s="758"/>
      <c r="H176" s="758"/>
      <c r="I176" s="758"/>
      <c r="J176" s="758"/>
      <c r="K176" s="758"/>
      <c r="L176" s="758"/>
      <c r="M176" s="758"/>
      <c r="N176" s="758"/>
      <c r="O176" s="758"/>
      <c r="P176" s="758"/>
      <c r="Q176" s="758"/>
      <c r="R176" s="758"/>
      <c r="S176" s="758"/>
      <c r="T176" s="758"/>
      <c r="U176" s="758"/>
      <c r="V176" s="758"/>
    </row>
    <row r="177" spans="3:22">
      <c r="C177" s="758"/>
      <c r="D177" s="758"/>
      <c r="E177" s="758"/>
      <c r="F177" s="758"/>
      <c r="G177" s="758"/>
      <c r="H177" s="758"/>
      <c r="I177" s="758"/>
      <c r="J177" s="758"/>
      <c r="K177" s="758"/>
      <c r="L177" s="758"/>
      <c r="M177" s="758"/>
      <c r="N177" s="758"/>
      <c r="O177" s="758"/>
      <c r="P177" s="758"/>
      <c r="Q177" s="758"/>
      <c r="R177" s="758"/>
      <c r="S177" s="758"/>
      <c r="T177" s="758"/>
      <c r="U177" s="758"/>
      <c r="V177" s="758"/>
    </row>
    <row r="178" spans="3:22">
      <c r="C178" s="758"/>
      <c r="D178" s="758"/>
      <c r="E178" s="758"/>
      <c r="F178" s="758"/>
      <c r="G178" s="758"/>
      <c r="H178" s="758"/>
      <c r="I178" s="758"/>
      <c r="J178" s="758"/>
      <c r="K178" s="758"/>
      <c r="L178" s="758"/>
      <c r="M178" s="758"/>
      <c r="N178" s="758"/>
      <c r="O178" s="758"/>
      <c r="P178" s="758"/>
      <c r="Q178" s="758"/>
      <c r="R178" s="758"/>
      <c r="S178" s="758"/>
      <c r="T178" s="758"/>
      <c r="U178" s="758"/>
      <c r="V178" s="758"/>
    </row>
    <row r="179" spans="3:22">
      <c r="C179" s="758"/>
      <c r="D179" s="758"/>
      <c r="E179" s="758"/>
      <c r="F179" s="758"/>
      <c r="G179" s="758"/>
      <c r="H179" s="758"/>
      <c r="I179" s="758"/>
      <c r="J179" s="758"/>
      <c r="K179" s="758"/>
      <c r="L179" s="758"/>
      <c r="M179" s="758"/>
      <c r="N179" s="758"/>
      <c r="O179" s="758"/>
      <c r="P179" s="758"/>
      <c r="Q179" s="758"/>
      <c r="R179" s="758"/>
      <c r="S179" s="758"/>
      <c r="T179" s="758"/>
      <c r="U179" s="758"/>
      <c r="V179" s="758"/>
    </row>
    <row r="180" spans="3:22">
      <c r="C180" s="758"/>
      <c r="D180" s="758"/>
      <c r="E180" s="758"/>
      <c r="F180" s="758"/>
      <c r="G180" s="758"/>
      <c r="H180" s="758"/>
      <c r="I180" s="758"/>
      <c r="J180" s="758"/>
      <c r="K180" s="758"/>
      <c r="L180" s="758"/>
      <c r="M180" s="758"/>
      <c r="N180" s="758"/>
      <c r="O180" s="758"/>
      <c r="P180" s="758"/>
      <c r="Q180" s="758"/>
      <c r="R180" s="758"/>
      <c r="S180" s="758"/>
      <c r="T180" s="758"/>
      <c r="U180" s="758"/>
      <c r="V180" s="758"/>
    </row>
    <row r="181" spans="3:22">
      <c r="C181" s="758"/>
      <c r="D181" s="758"/>
      <c r="E181" s="758"/>
      <c r="F181" s="758"/>
      <c r="G181" s="758"/>
      <c r="H181" s="758"/>
      <c r="I181" s="758"/>
      <c r="J181" s="758"/>
      <c r="K181" s="758"/>
      <c r="L181" s="758"/>
      <c r="M181" s="758"/>
      <c r="N181" s="758"/>
      <c r="O181" s="758"/>
      <c r="P181" s="758"/>
      <c r="Q181" s="758"/>
      <c r="R181" s="758"/>
      <c r="S181" s="758"/>
      <c r="T181" s="758"/>
      <c r="U181" s="758"/>
      <c r="V181" s="758"/>
    </row>
    <row r="182" spans="3:22">
      <c r="C182" s="758"/>
      <c r="D182" s="758"/>
      <c r="E182" s="758"/>
      <c r="F182" s="758"/>
      <c r="G182" s="758"/>
      <c r="H182" s="758"/>
      <c r="I182" s="758"/>
      <c r="J182" s="758"/>
      <c r="K182" s="758"/>
      <c r="L182" s="758"/>
      <c r="M182" s="758"/>
      <c r="N182" s="758"/>
      <c r="O182" s="758"/>
      <c r="P182" s="758"/>
      <c r="Q182" s="758"/>
      <c r="R182" s="758"/>
      <c r="S182" s="758"/>
      <c r="T182" s="758"/>
      <c r="U182" s="758"/>
      <c r="V182" s="758"/>
    </row>
    <row r="183" spans="3:22">
      <c r="C183" s="758"/>
      <c r="D183" s="758"/>
      <c r="E183" s="758"/>
      <c r="F183" s="758"/>
      <c r="G183" s="758"/>
      <c r="H183" s="758"/>
      <c r="I183" s="758"/>
      <c r="J183" s="758"/>
      <c r="K183" s="758"/>
      <c r="L183" s="758"/>
      <c r="M183" s="758"/>
      <c r="N183" s="758"/>
      <c r="O183" s="758"/>
      <c r="P183" s="758"/>
      <c r="Q183" s="758"/>
      <c r="R183" s="758"/>
      <c r="S183" s="758"/>
      <c r="T183" s="758"/>
      <c r="U183" s="758"/>
      <c r="V183" s="758"/>
    </row>
    <row r="184" spans="3:22">
      <c r="C184" s="758"/>
      <c r="D184" s="758"/>
      <c r="E184" s="758"/>
      <c r="F184" s="758"/>
      <c r="G184" s="758"/>
      <c r="H184" s="758"/>
      <c r="I184" s="758"/>
      <c r="J184" s="758"/>
      <c r="K184" s="758"/>
      <c r="L184" s="758"/>
      <c r="M184" s="758"/>
      <c r="N184" s="758"/>
      <c r="O184" s="758"/>
      <c r="P184" s="758"/>
      <c r="Q184" s="758"/>
      <c r="R184" s="758"/>
      <c r="S184" s="758"/>
      <c r="T184" s="758"/>
      <c r="U184" s="758"/>
      <c r="V184" s="758"/>
    </row>
    <row r="185" spans="3:22">
      <c r="C185" s="758"/>
      <c r="D185" s="758"/>
      <c r="E185" s="758"/>
      <c r="F185" s="758"/>
      <c r="G185" s="758"/>
      <c r="H185" s="758"/>
      <c r="I185" s="758"/>
      <c r="J185" s="758"/>
      <c r="K185" s="758"/>
      <c r="L185" s="758"/>
      <c r="M185" s="758"/>
      <c r="N185" s="758"/>
      <c r="O185" s="758"/>
      <c r="P185" s="758"/>
      <c r="Q185" s="758"/>
      <c r="R185" s="758"/>
      <c r="S185" s="758"/>
      <c r="T185" s="758"/>
      <c r="U185" s="758"/>
      <c r="V185" s="758"/>
    </row>
    <row r="186" spans="3:22">
      <c r="C186" s="758"/>
      <c r="D186" s="758"/>
      <c r="E186" s="758"/>
      <c r="F186" s="758"/>
      <c r="G186" s="758"/>
      <c r="H186" s="758"/>
      <c r="I186" s="758"/>
      <c r="J186" s="758"/>
      <c r="K186" s="758"/>
      <c r="L186" s="758"/>
      <c r="M186" s="758"/>
      <c r="N186" s="758"/>
      <c r="O186" s="758"/>
      <c r="P186" s="758"/>
      <c r="Q186" s="758"/>
      <c r="R186" s="758"/>
      <c r="S186" s="758"/>
      <c r="T186" s="758"/>
      <c r="U186" s="758"/>
      <c r="V186" s="758"/>
    </row>
    <row r="187" spans="3:22">
      <c r="C187" s="758"/>
      <c r="D187" s="758"/>
      <c r="E187" s="758"/>
      <c r="F187" s="758"/>
      <c r="G187" s="758"/>
      <c r="H187" s="758"/>
      <c r="I187" s="758"/>
      <c r="J187" s="758"/>
      <c r="K187" s="758"/>
      <c r="L187" s="758"/>
      <c r="M187" s="758"/>
      <c r="N187" s="758"/>
      <c r="O187" s="758"/>
      <c r="P187" s="758"/>
      <c r="Q187" s="758"/>
      <c r="R187" s="758"/>
      <c r="S187" s="758"/>
      <c r="T187" s="758"/>
      <c r="U187" s="758"/>
      <c r="V187" s="758"/>
    </row>
    <row r="188" spans="3:22">
      <c r="C188" s="758"/>
      <c r="D188" s="758"/>
      <c r="E188" s="758"/>
      <c r="F188" s="758"/>
      <c r="G188" s="758"/>
      <c r="H188" s="758"/>
      <c r="I188" s="758"/>
      <c r="J188" s="758"/>
      <c r="K188" s="758"/>
      <c r="L188" s="758"/>
      <c r="M188" s="758"/>
      <c r="N188" s="758"/>
      <c r="O188" s="758"/>
      <c r="P188" s="758"/>
      <c r="Q188" s="758"/>
      <c r="R188" s="758"/>
      <c r="S188" s="758"/>
      <c r="T188" s="758"/>
      <c r="U188" s="758"/>
      <c r="V188" s="758"/>
    </row>
    <row r="189" spans="3:22">
      <c r="C189" s="758"/>
      <c r="D189" s="758"/>
      <c r="E189" s="758"/>
      <c r="F189" s="758"/>
      <c r="G189" s="758"/>
      <c r="H189" s="758"/>
      <c r="I189" s="758"/>
      <c r="J189" s="758"/>
      <c r="K189" s="758"/>
      <c r="L189" s="758"/>
      <c r="M189" s="758"/>
      <c r="N189" s="758"/>
      <c r="O189" s="758"/>
      <c r="P189" s="758"/>
      <c r="Q189" s="758"/>
      <c r="R189" s="758"/>
      <c r="S189" s="758"/>
      <c r="T189" s="758"/>
      <c r="U189" s="758"/>
      <c r="V189" s="758"/>
    </row>
    <row r="190" spans="3:22">
      <c r="C190" s="758"/>
      <c r="D190" s="758"/>
      <c r="E190" s="758"/>
      <c r="F190" s="758"/>
      <c r="G190" s="758"/>
      <c r="H190" s="758"/>
      <c r="I190" s="758"/>
      <c r="J190" s="758"/>
      <c r="K190" s="758"/>
      <c r="L190" s="758"/>
      <c r="M190" s="758"/>
      <c r="N190" s="758"/>
      <c r="O190" s="758"/>
      <c r="P190" s="758"/>
      <c r="Q190" s="758"/>
      <c r="R190" s="758"/>
      <c r="S190" s="758"/>
      <c r="T190" s="758"/>
      <c r="U190" s="758"/>
      <c r="V190" s="758"/>
    </row>
    <row r="191" spans="3:22">
      <c r="C191" s="758"/>
      <c r="D191" s="758"/>
      <c r="E191" s="758"/>
      <c r="F191" s="758"/>
      <c r="G191" s="758"/>
      <c r="H191" s="758"/>
      <c r="I191" s="758"/>
      <c r="J191" s="758"/>
      <c r="K191" s="758"/>
      <c r="L191" s="758"/>
      <c r="M191" s="758"/>
      <c r="N191" s="758"/>
      <c r="O191" s="758"/>
      <c r="P191" s="758"/>
      <c r="Q191" s="758"/>
      <c r="R191" s="758"/>
      <c r="S191" s="758"/>
      <c r="T191" s="758"/>
      <c r="U191" s="758"/>
      <c r="V191" s="758"/>
    </row>
    <row r="192" spans="3:22">
      <c r="C192" s="758"/>
      <c r="D192" s="758"/>
      <c r="E192" s="758"/>
      <c r="F192" s="758"/>
      <c r="G192" s="758"/>
      <c r="H192" s="758"/>
      <c r="I192" s="758"/>
      <c r="J192" s="758"/>
      <c r="K192" s="758"/>
      <c r="L192" s="758"/>
      <c r="M192" s="758"/>
      <c r="N192" s="758"/>
      <c r="O192" s="758"/>
      <c r="P192" s="758"/>
      <c r="Q192" s="758"/>
      <c r="R192" s="758"/>
      <c r="S192" s="758"/>
      <c r="T192" s="758"/>
      <c r="U192" s="758"/>
      <c r="V192" s="758"/>
    </row>
    <row r="193" spans="3:22">
      <c r="C193" s="758"/>
      <c r="D193" s="758"/>
      <c r="E193" s="758"/>
      <c r="F193" s="758"/>
      <c r="G193" s="758"/>
      <c r="H193" s="758"/>
      <c r="I193" s="758"/>
      <c r="J193" s="758"/>
      <c r="K193" s="758"/>
      <c r="L193" s="758"/>
      <c r="M193" s="758"/>
      <c r="N193" s="758"/>
      <c r="O193" s="758"/>
      <c r="P193" s="758"/>
      <c r="Q193" s="758"/>
      <c r="R193" s="758"/>
      <c r="S193" s="758"/>
      <c r="T193" s="758"/>
      <c r="U193" s="758"/>
      <c r="V193" s="758"/>
    </row>
    <row r="194" spans="3:22">
      <c r="C194" s="758"/>
      <c r="D194" s="758"/>
      <c r="E194" s="758"/>
      <c r="F194" s="758"/>
      <c r="G194" s="758"/>
      <c r="H194" s="758"/>
      <c r="I194" s="758"/>
      <c r="J194" s="758"/>
      <c r="K194" s="758"/>
      <c r="L194" s="758"/>
      <c r="M194" s="758"/>
      <c r="N194" s="758"/>
      <c r="O194" s="758"/>
      <c r="P194" s="758"/>
      <c r="Q194" s="758"/>
      <c r="R194" s="758"/>
      <c r="S194" s="758"/>
      <c r="T194" s="758"/>
      <c r="U194" s="758"/>
      <c r="V194" s="758"/>
    </row>
    <row r="195" spans="3:22">
      <c r="C195" s="758"/>
      <c r="D195" s="758"/>
      <c r="E195" s="758"/>
      <c r="F195" s="758"/>
      <c r="G195" s="758"/>
      <c r="H195" s="758"/>
      <c r="I195" s="758"/>
      <c r="J195" s="758"/>
      <c r="K195" s="758"/>
      <c r="L195" s="758"/>
      <c r="M195" s="758"/>
      <c r="N195" s="758"/>
      <c r="O195" s="758"/>
      <c r="P195" s="758"/>
      <c r="Q195" s="758"/>
      <c r="R195" s="758"/>
      <c r="S195" s="758"/>
      <c r="T195" s="758"/>
      <c r="U195" s="758"/>
      <c r="V195" s="758"/>
    </row>
    <row r="196" spans="3:22">
      <c r="C196" s="758"/>
      <c r="D196" s="758"/>
      <c r="E196" s="758"/>
      <c r="F196" s="758"/>
      <c r="G196" s="758"/>
      <c r="H196" s="758"/>
      <c r="I196" s="758"/>
      <c r="J196" s="758"/>
      <c r="K196" s="758"/>
      <c r="L196" s="758"/>
      <c r="M196" s="758"/>
      <c r="N196" s="758"/>
      <c r="O196" s="758"/>
      <c r="P196" s="758"/>
      <c r="Q196" s="758"/>
      <c r="R196" s="758"/>
      <c r="S196" s="758"/>
      <c r="T196" s="758"/>
      <c r="U196" s="758"/>
      <c r="V196" s="758"/>
    </row>
    <row r="197" spans="3:22">
      <c r="C197" s="758"/>
      <c r="D197" s="758"/>
      <c r="E197" s="758"/>
      <c r="F197" s="758"/>
      <c r="G197" s="758"/>
      <c r="H197" s="758"/>
      <c r="I197" s="758"/>
      <c r="J197" s="758"/>
      <c r="K197" s="758"/>
      <c r="L197" s="758"/>
      <c r="M197" s="758"/>
      <c r="N197" s="758"/>
      <c r="O197" s="758"/>
      <c r="P197" s="758"/>
      <c r="Q197" s="758"/>
      <c r="R197" s="758"/>
      <c r="S197" s="758"/>
      <c r="T197" s="758"/>
      <c r="U197" s="758"/>
      <c r="V197" s="758"/>
    </row>
    <row r="198" spans="3:22">
      <c r="C198" s="758"/>
      <c r="D198" s="758"/>
      <c r="E198" s="758"/>
      <c r="F198" s="758"/>
      <c r="G198" s="758"/>
      <c r="H198" s="758"/>
      <c r="I198" s="758"/>
      <c r="J198" s="758"/>
      <c r="K198" s="758"/>
      <c r="L198" s="758"/>
      <c r="M198" s="758"/>
      <c r="N198" s="758"/>
      <c r="O198" s="758"/>
      <c r="P198" s="758"/>
      <c r="Q198" s="758"/>
      <c r="R198" s="758"/>
      <c r="S198" s="758"/>
      <c r="T198" s="758"/>
      <c r="U198" s="758"/>
      <c r="V198" s="758"/>
    </row>
    <row r="199" spans="3:22">
      <c r="C199" s="758"/>
      <c r="D199" s="758"/>
      <c r="E199" s="758"/>
      <c r="F199" s="758"/>
      <c r="G199" s="758"/>
      <c r="H199" s="758"/>
      <c r="I199" s="758"/>
      <c r="J199" s="758"/>
      <c r="K199" s="758"/>
      <c r="L199" s="758"/>
      <c r="M199" s="758"/>
      <c r="N199" s="758"/>
      <c r="O199" s="758"/>
      <c r="P199" s="758"/>
      <c r="Q199" s="758"/>
      <c r="R199" s="758"/>
      <c r="S199" s="758"/>
      <c r="T199" s="758"/>
      <c r="U199" s="758"/>
      <c r="V199" s="758"/>
    </row>
    <row r="200" spans="3:22">
      <c r="C200" s="758"/>
      <c r="D200" s="758"/>
      <c r="E200" s="758"/>
      <c r="F200" s="758"/>
      <c r="G200" s="758"/>
      <c r="H200" s="758"/>
      <c r="I200" s="758"/>
      <c r="J200" s="758"/>
      <c r="K200" s="758"/>
      <c r="L200" s="758"/>
      <c r="M200" s="758"/>
      <c r="N200" s="758"/>
      <c r="O200" s="758"/>
      <c r="P200" s="758"/>
      <c r="Q200" s="758"/>
      <c r="R200" s="758"/>
      <c r="S200" s="758"/>
      <c r="T200" s="758"/>
      <c r="U200" s="758"/>
      <c r="V200" s="758"/>
    </row>
    <row r="201" spans="3:22">
      <c r="C201" s="758"/>
      <c r="D201" s="758"/>
      <c r="E201" s="758"/>
      <c r="F201" s="758"/>
      <c r="G201" s="758"/>
      <c r="H201" s="758"/>
      <c r="I201" s="758"/>
      <c r="J201" s="758"/>
      <c r="K201" s="758"/>
      <c r="L201" s="758"/>
      <c r="M201" s="758"/>
      <c r="N201" s="758"/>
      <c r="O201" s="758"/>
      <c r="P201" s="758"/>
      <c r="Q201" s="758"/>
      <c r="R201" s="758"/>
      <c r="S201" s="758"/>
      <c r="T201" s="758"/>
      <c r="U201" s="758"/>
      <c r="V201" s="758"/>
    </row>
    <row r="202" spans="3:22">
      <c r="C202" s="758"/>
      <c r="D202" s="758"/>
      <c r="E202" s="758"/>
      <c r="F202" s="758"/>
      <c r="G202" s="758"/>
      <c r="H202" s="758"/>
      <c r="I202" s="758"/>
      <c r="J202" s="758"/>
      <c r="K202" s="758"/>
      <c r="L202" s="758"/>
      <c r="M202" s="758"/>
      <c r="N202" s="758"/>
      <c r="O202" s="758"/>
      <c r="P202" s="758"/>
      <c r="Q202" s="758"/>
      <c r="R202" s="758"/>
      <c r="S202" s="758"/>
      <c r="T202" s="758"/>
      <c r="U202" s="758"/>
      <c r="V202" s="758"/>
    </row>
    <row r="203" spans="3:22">
      <c r="C203" s="758"/>
      <c r="D203" s="758"/>
      <c r="E203" s="758"/>
      <c r="F203" s="758"/>
      <c r="G203" s="758"/>
      <c r="H203" s="758"/>
      <c r="I203" s="758"/>
      <c r="J203" s="758"/>
      <c r="K203" s="758"/>
      <c r="L203" s="758"/>
      <c r="M203" s="758"/>
      <c r="N203" s="758"/>
      <c r="O203" s="758"/>
      <c r="P203" s="758"/>
      <c r="Q203" s="758"/>
      <c r="R203" s="758"/>
      <c r="S203" s="758"/>
      <c r="T203" s="758"/>
      <c r="U203" s="758"/>
      <c r="V203" s="758"/>
    </row>
    <row r="204" spans="3:22">
      <c r="C204" s="758"/>
      <c r="D204" s="758"/>
      <c r="E204" s="758"/>
      <c r="F204" s="758"/>
      <c r="G204" s="758"/>
      <c r="H204" s="758"/>
      <c r="I204" s="758"/>
      <c r="J204" s="758"/>
      <c r="K204" s="758"/>
      <c r="L204" s="758"/>
      <c r="M204" s="758"/>
      <c r="N204" s="758"/>
      <c r="O204" s="758"/>
      <c r="P204" s="758"/>
      <c r="Q204" s="758"/>
      <c r="R204" s="758"/>
      <c r="S204" s="758"/>
      <c r="T204" s="758"/>
      <c r="U204" s="758"/>
      <c r="V204" s="758"/>
    </row>
    <row r="205" spans="3:22">
      <c r="C205" s="758"/>
      <c r="D205" s="758"/>
      <c r="E205" s="758"/>
      <c r="F205" s="758"/>
      <c r="G205" s="758"/>
      <c r="H205" s="758"/>
      <c r="I205" s="758"/>
      <c r="J205" s="758"/>
      <c r="K205" s="758"/>
      <c r="L205" s="758"/>
      <c r="M205" s="758"/>
      <c r="N205" s="758"/>
      <c r="O205" s="758"/>
      <c r="P205" s="758"/>
      <c r="Q205" s="758"/>
      <c r="R205" s="758"/>
      <c r="S205" s="758"/>
      <c r="T205" s="758"/>
      <c r="U205" s="758"/>
      <c r="V205" s="758"/>
    </row>
    <row r="206" spans="3:22">
      <c r="C206" s="758"/>
      <c r="D206" s="758"/>
      <c r="E206" s="758"/>
      <c r="F206" s="758"/>
      <c r="G206" s="758"/>
      <c r="H206" s="758"/>
      <c r="I206" s="758"/>
      <c r="J206" s="758"/>
      <c r="K206" s="758"/>
      <c r="L206" s="758"/>
      <c r="M206" s="758"/>
      <c r="N206" s="758"/>
      <c r="O206" s="758"/>
      <c r="P206" s="758"/>
      <c r="Q206" s="758"/>
      <c r="R206" s="758"/>
      <c r="S206" s="758"/>
      <c r="T206" s="758"/>
      <c r="U206" s="758"/>
      <c r="V206" s="758"/>
    </row>
    <row r="207" spans="3:22">
      <c r="C207" s="758"/>
      <c r="D207" s="758"/>
      <c r="E207" s="758"/>
      <c r="F207" s="758"/>
      <c r="G207" s="758"/>
      <c r="H207" s="758"/>
      <c r="I207" s="758"/>
      <c r="J207" s="758"/>
      <c r="K207" s="758"/>
      <c r="L207" s="758"/>
      <c r="M207" s="758"/>
      <c r="N207" s="758"/>
      <c r="O207" s="758"/>
      <c r="P207" s="758"/>
      <c r="Q207" s="758"/>
      <c r="R207" s="758"/>
      <c r="S207" s="758"/>
      <c r="T207" s="758"/>
      <c r="U207" s="758"/>
      <c r="V207" s="758"/>
    </row>
    <row r="208" spans="3:22">
      <c r="C208" s="758"/>
      <c r="D208" s="758"/>
      <c r="E208" s="758"/>
      <c r="F208" s="758"/>
      <c r="G208" s="758"/>
      <c r="H208" s="758"/>
      <c r="I208" s="758"/>
      <c r="J208" s="758"/>
      <c r="K208" s="758"/>
      <c r="L208" s="758"/>
      <c r="M208" s="758"/>
      <c r="N208" s="758"/>
      <c r="O208" s="758"/>
      <c r="P208" s="758"/>
      <c r="Q208" s="758"/>
      <c r="R208" s="758"/>
      <c r="S208" s="758"/>
      <c r="T208" s="758"/>
      <c r="U208" s="758"/>
      <c r="V208" s="758"/>
    </row>
    <row r="209" spans="3:22">
      <c r="C209" s="758"/>
      <c r="D209" s="758"/>
      <c r="E209" s="758"/>
      <c r="F209" s="758"/>
      <c r="G209" s="758"/>
      <c r="H209" s="758"/>
      <c r="I209" s="758"/>
      <c r="J209" s="758"/>
      <c r="K209" s="758"/>
      <c r="L209" s="758"/>
      <c r="M209" s="758"/>
      <c r="N209" s="758"/>
      <c r="O209" s="758"/>
      <c r="P209" s="758"/>
      <c r="Q209" s="758"/>
      <c r="R209" s="758"/>
      <c r="S209" s="758"/>
      <c r="T209" s="758"/>
      <c r="U209" s="758"/>
      <c r="V209" s="758"/>
    </row>
    <row r="210" spans="3:22">
      <c r="C210" s="758"/>
      <c r="D210" s="758"/>
      <c r="E210" s="758"/>
      <c r="F210" s="758"/>
      <c r="G210" s="758"/>
      <c r="H210" s="758"/>
      <c r="I210" s="758"/>
      <c r="J210" s="758"/>
      <c r="K210" s="758"/>
      <c r="L210" s="758"/>
      <c r="M210" s="758"/>
      <c r="N210" s="758"/>
      <c r="O210" s="758"/>
      <c r="P210" s="758"/>
      <c r="Q210" s="758"/>
      <c r="R210" s="758"/>
      <c r="S210" s="758"/>
      <c r="T210" s="758"/>
      <c r="U210" s="758"/>
      <c r="V210" s="758"/>
    </row>
    <row r="211" spans="3:22">
      <c r="C211" s="758"/>
      <c r="D211" s="758"/>
      <c r="E211" s="758"/>
      <c r="F211" s="758"/>
      <c r="G211" s="758"/>
      <c r="H211" s="758"/>
      <c r="I211" s="758"/>
      <c r="J211" s="758"/>
      <c r="K211" s="758"/>
      <c r="L211" s="758"/>
      <c r="M211" s="758"/>
      <c r="N211" s="758"/>
      <c r="O211" s="758"/>
      <c r="P211" s="758"/>
      <c r="Q211" s="758"/>
      <c r="R211" s="758"/>
      <c r="S211" s="758"/>
      <c r="T211" s="758"/>
      <c r="U211" s="758"/>
      <c r="V211" s="758"/>
    </row>
    <row r="212" spans="3:22">
      <c r="C212" s="758"/>
      <c r="D212" s="758"/>
      <c r="E212" s="758"/>
      <c r="F212" s="758"/>
      <c r="G212" s="758"/>
      <c r="H212" s="758"/>
      <c r="I212" s="758"/>
      <c r="J212" s="758"/>
      <c r="K212" s="758"/>
      <c r="L212" s="758"/>
      <c r="M212" s="758"/>
      <c r="N212" s="758"/>
      <c r="O212" s="758"/>
      <c r="P212" s="758"/>
      <c r="Q212" s="758"/>
      <c r="R212" s="758"/>
      <c r="S212" s="758"/>
      <c r="T212" s="758"/>
      <c r="U212" s="758"/>
      <c r="V212" s="758"/>
    </row>
    <row r="213" spans="3:22">
      <c r="C213" s="758"/>
      <c r="D213" s="758"/>
      <c r="E213" s="758"/>
      <c r="F213" s="758"/>
      <c r="G213" s="758"/>
      <c r="H213" s="758"/>
      <c r="I213" s="758"/>
      <c r="J213" s="758"/>
      <c r="K213" s="758"/>
      <c r="L213" s="758"/>
      <c r="M213" s="758"/>
      <c r="N213" s="758"/>
      <c r="O213" s="758"/>
      <c r="P213" s="758"/>
      <c r="Q213" s="758"/>
      <c r="R213" s="758"/>
      <c r="S213" s="758"/>
      <c r="T213" s="758"/>
      <c r="U213" s="758"/>
      <c r="V213" s="758"/>
    </row>
    <row r="214" spans="3:22">
      <c r="C214" s="758"/>
      <c r="D214" s="758"/>
      <c r="E214" s="758"/>
      <c r="F214" s="758"/>
      <c r="G214" s="758"/>
      <c r="H214" s="758"/>
      <c r="I214" s="758"/>
      <c r="J214" s="758"/>
      <c r="K214" s="758"/>
      <c r="L214" s="758"/>
      <c r="M214" s="758"/>
      <c r="N214" s="758"/>
      <c r="O214" s="758"/>
      <c r="P214" s="758"/>
      <c r="Q214" s="758"/>
      <c r="R214" s="758"/>
      <c r="S214" s="758"/>
      <c r="T214" s="758"/>
      <c r="U214" s="758"/>
      <c r="V214" s="758"/>
    </row>
    <row r="215" spans="3:22">
      <c r="C215" s="758"/>
      <c r="D215" s="758"/>
      <c r="E215" s="758"/>
      <c r="F215" s="758"/>
      <c r="G215" s="758"/>
      <c r="H215" s="758"/>
      <c r="I215" s="758"/>
      <c r="J215" s="758"/>
      <c r="K215" s="758"/>
      <c r="L215" s="758"/>
      <c r="M215" s="758"/>
      <c r="N215" s="758"/>
      <c r="O215" s="758"/>
      <c r="P215" s="758"/>
      <c r="Q215" s="758"/>
      <c r="R215" s="758"/>
      <c r="S215" s="758"/>
      <c r="T215" s="758"/>
      <c r="U215" s="758"/>
      <c r="V215" s="758"/>
    </row>
    <row r="216" spans="3:22">
      <c r="C216" s="758"/>
      <c r="D216" s="758"/>
      <c r="E216" s="758"/>
      <c r="F216" s="758"/>
      <c r="G216" s="758"/>
      <c r="H216" s="758"/>
      <c r="I216" s="758"/>
      <c r="J216" s="758"/>
      <c r="K216" s="758"/>
      <c r="L216" s="758"/>
      <c r="M216" s="758"/>
      <c r="N216" s="758"/>
      <c r="O216" s="758"/>
      <c r="P216" s="758"/>
      <c r="Q216" s="758"/>
      <c r="R216" s="758"/>
      <c r="S216" s="758"/>
      <c r="T216" s="758"/>
      <c r="U216" s="758"/>
      <c r="V216" s="758"/>
    </row>
    <row r="217" spans="3:22">
      <c r="C217" s="758"/>
      <c r="D217" s="758"/>
      <c r="E217" s="758"/>
      <c r="F217" s="758"/>
      <c r="G217" s="758"/>
      <c r="H217" s="758"/>
      <c r="I217" s="758"/>
      <c r="J217" s="758"/>
      <c r="K217" s="758"/>
      <c r="L217" s="758"/>
      <c r="M217" s="758"/>
      <c r="N217" s="758"/>
      <c r="O217" s="758"/>
      <c r="P217" s="758"/>
      <c r="Q217" s="758"/>
      <c r="R217" s="758"/>
      <c r="S217" s="758"/>
      <c r="T217" s="758"/>
      <c r="U217" s="758"/>
      <c r="V217" s="758"/>
    </row>
    <row r="218" spans="3:22">
      <c r="C218" s="758"/>
      <c r="D218" s="758"/>
      <c r="E218" s="758"/>
      <c r="F218" s="758"/>
      <c r="G218" s="758"/>
      <c r="H218" s="758"/>
      <c r="I218" s="758"/>
      <c r="J218" s="758"/>
      <c r="K218" s="758"/>
      <c r="L218" s="758"/>
      <c r="M218" s="758"/>
      <c r="N218" s="758"/>
      <c r="O218" s="758"/>
      <c r="P218" s="758"/>
      <c r="Q218" s="758"/>
      <c r="R218" s="758"/>
      <c r="S218" s="758"/>
      <c r="T218" s="758"/>
      <c r="U218" s="758"/>
      <c r="V218" s="758"/>
    </row>
    <row r="219" spans="3:22">
      <c r="C219" s="758"/>
      <c r="D219" s="758"/>
      <c r="E219" s="758"/>
      <c r="F219" s="758"/>
      <c r="G219" s="758"/>
      <c r="H219" s="758"/>
      <c r="I219" s="758"/>
      <c r="J219" s="758"/>
      <c r="K219" s="758"/>
      <c r="L219" s="758"/>
      <c r="M219" s="758"/>
      <c r="N219" s="758"/>
      <c r="O219" s="758"/>
      <c r="P219" s="758"/>
      <c r="Q219" s="758"/>
      <c r="R219" s="758"/>
      <c r="S219" s="758"/>
      <c r="T219" s="758"/>
      <c r="U219" s="758"/>
      <c r="V219" s="758"/>
    </row>
    <row r="220" spans="3:22">
      <c r="C220" s="758"/>
      <c r="D220" s="758"/>
      <c r="E220" s="758"/>
      <c r="F220" s="758"/>
      <c r="G220" s="758"/>
      <c r="H220" s="758"/>
      <c r="I220" s="758"/>
      <c r="J220" s="758"/>
      <c r="K220" s="758"/>
      <c r="L220" s="758"/>
      <c r="M220" s="758"/>
      <c r="N220" s="758"/>
      <c r="O220" s="758"/>
      <c r="P220" s="758"/>
      <c r="Q220" s="758"/>
      <c r="R220" s="758"/>
      <c r="S220" s="758"/>
      <c r="T220" s="758"/>
      <c r="U220" s="758"/>
      <c r="V220" s="758"/>
    </row>
    <row r="221" spans="3:22">
      <c r="C221" s="758"/>
      <c r="D221" s="758"/>
      <c r="E221" s="758"/>
      <c r="F221" s="758"/>
      <c r="G221" s="758"/>
      <c r="H221" s="758"/>
      <c r="I221" s="758"/>
      <c r="J221" s="758"/>
      <c r="K221" s="758"/>
      <c r="L221" s="758"/>
      <c r="M221" s="758"/>
      <c r="N221" s="758"/>
      <c r="O221" s="758"/>
      <c r="P221" s="758"/>
      <c r="Q221" s="758"/>
      <c r="R221" s="758"/>
      <c r="S221" s="758"/>
      <c r="T221" s="758"/>
      <c r="U221" s="758"/>
      <c r="V221" s="758"/>
    </row>
    <row r="222" spans="3:22">
      <c r="C222" s="758"/>
      <c r="D222" s="758"/>
      <c r="E222" s="758"/>
      <c r="F222" s="758"/>
      <c r="G222" s="758"/>
      <c r="H222" s="758"/>
      <c r="I222" s="758"/>
      <c r="J222" s="758"/>
      <c r="K222" s="758"/>
      <c r="L222" s="758"/>
      <c r="M222" s="758"/>
      <c r="N222" s="758"/>
      <c r="O222" s="758"/>
      <c r="P222" s="758"/>
      <c r="Q222" s="758"/>
      <c r="R222" s="758"/>
      <c r="S222" s="758"/>
      <c r="T222" s="758"/>
      <c r="U222" s="758"/>
      <c r="V222" s="758"/>
    </row>
    <row r="223" spans="3:22">
      <c r="C223" s="758"/>
      <c r="D223" s="758"/>
      <c r="E223" s="758"/>
      <c r="F223" s="758"/>
      <c r="G223" s="758"/>
      <c r="H223" s="758"/>
      <c r="I223" s="758"/>
      <c r="J223" s="758"/>
      <c r="K223" s="758"/>
      <c r="L223" s="758"/>
      <c r="M223" s="758"/>
      <c r="N223" s="758"/>
      <c r="O223" s="758"/>
      <c r="P223" s="758"/>
      <c r="Q223" s="758"/>
      <c r="R223" s="758"/>
      <c r="S223" s="758"/>
      <c r="T223" s="758"/>
      <c r="U223" s="758"/>
      <c r="V223" s="758"/>
    </row>
    <row r="224" spans="3:22">
      <c r="C224" s="758"/>
      <c r="D224" s="758"/>
      <c r="E224" s="758"/>
      <c r="F224" s="758"/>
      <c r="G224" s="758"/>
      <c r="H224" s="758"/>
      <c r="I224" s="758"/>
      <c r="J224" s="758"/>
      <c r="K224" s="758"/>
      <c r="L224" s="758"/>
      <c r="M224" s="758"/>
      <c r="N224" s="758"/>
      <c r="O224" s="758"/>
      <c r="P224" s="758"/>
      <c r="Q224" s="758"/>
      <c r="R224" s="758"/>
      <c r="S224" s="758"/>
      <c r="T224" s="758"/>
      <c r="U224" s="758"/>
      <c r="V224" s="758"/>
    </row>
    <row r="225" spans="3:22">
      <c r="C225" s="758"/>
      <c r="D225" s="758"/>
      <c r="E225" s="758"/>
      <c r="F225" s="758"/>
      <c r="G225" s="758"/>
      <c r="H225" s="758"/>
      <c r="I225" s="758"/>
      <c r="J225" s="758"/>
      <c r="K225" s="758"/>
      <c r="L225" s="758"/>
      <c r="M225" s="758"/>
      <c r="N225" s="758"/>
      <c r="O225" s="758"/>
      <c r="P225" s="758"/>
      <c r="Q225" s="758"/>
      <c r="R225" s="758"/>
      <c r="S225" s="758"/>
      <c r="T225" s="758"/>
      <c r="U225" s="758"/>
      <c r="V225" s="758"/>
    </row>
    <row r="226" spans="3:22">
      <c r="C226" s="758"/>
      <c r="D226" s="758"/>
      <c r="E226" s="758"/>
      <c r="F226" s="758"/>
      <c r="G226" s="758"/>
      <c r="H226" s="758"/>
      <c r="I226" s="758"/>
      <c r="J226" s="758"/>
      <c r="K226" s="758"/>
      <c r="L226" s="758"/>
      <c r="M226" s="758"/>
      <c r="N226" s="758"/>
      <c r="O226" s="758"/>
      <c r="P226" s="758"/>
      <c r="Q226" s="758"/>
      <c r="R226" s="758"/>
      <c r="S226" s="758"/>
      <c r="T226" s="758"/>
      <c r="U226" s="758"/>
      <c r="V226" s="758"/>
    </row>
    <row r="227" spans="3:22">
      <c r="C227" s="758"/>
      <c r="D227" s="758"/>
      <c r="E227" s="758"/>
      <c r="F227" s="758"/>
      <c r="G227" s="758"/>
      <c r="H227" s="758"/>
      <c r="I227" s="758"/>
      <c r="J227" s="758"/>
      <c r="K227" s="758"/>
      <c r="L227" s="758"/>
      <c r="M227" s="758"/>
      <c r="N227" s="758"/>
      <c r="O227" s="758"/>
      <c r="P227" s="758"/>
      <c r="Q227" s="758"/>
      <c r="R227" s="758"/>
      <c r="S227" s="758"/>
      <c r="T227" s="758"/>
      <c r="U227" s="758"/>
      <c r="V227" s="758"/>
    </row>
    <row r="228" spans="3:22">
      <c r="C228" s="758"/>
      <c r="D228" s="758"/>
      <c r="E228" s="758"/>
      <c r="F228" s="758"/>
      <c r="G228" s="758"/>
      <c r="H228" s="758"/>
      <c r="I228" s="758"/>
      <c r="J228" s="758"/>
      <c r="K228" s="758"/>
      <c r="L228" s="758"/>
      <c r="M228" s="758"/>
      <c r="N228" s="758"/>
      <c r="O228" s="758"/>
      <c r="P228" s="758"/>
      <c r="Q228" s="758"/>
      <c r="R228" s="758"/>
      <c r="S228" s="758"/>
      <c r="T228" s="758"/>
      <c r="U228" s="758"/>
      <c r="V228" s="758"/>
    </row>
    <row r="229" spans="3:22">
      <c r="C229" s="758"/>
      <c r="D229" s="758"/>
      <c r="E229" s="758"/>
      <c r="F229" s="758"/>
      <c r="G229" s="758"/>
      <c r="H229" s="758"/>
      <c r="I229" s="758"/>
      <c r="J229" s="758"/>
      <c r="K229" s="758"/>
      <c r="L229" s="758"/>
      <c r="M229" s="758"/>
      <c r="N229" s="758"/>
      <c r="O229" s="758"/>
      <c r="P229" s="758"/>
      <c r="Q229" s="758"/>
      <c r="R229" s="758"/>
      <c r="S229" s="758"/>
      <c r="T229" s="758"/>
      <c r="U229" s="758"/>
      <c r="V229" s="758"/>
    </row>
    <row r="230" spans="3:22">
      <c r="C230" s="758"/>
      <c r="D230" s="758"/>
      <c r="E230" s="758"/>
      <c r="F230" s="758"/>
      <c r="G230" s="758"/>
      <c r="H230" s="758"/>
      <c r="I230" s="758"/>
      <c r="J230" s="758"/>
      <c r="K230" s="758"/>
      <c r="L230" s="758"/>
      <c r="M230" s="758"/>
      <c r="N230" s="758"/>
      <c r="O230" s="758"/>
      <c r="P230" s="758"/>
      <c r="Q230" s="758"/>
      <c r="R230" s="758"/>
      <c r="S230" s="758"/>
      <c r="T230" s="758"/>
      <c r="U230" s="758"/>
      <c r="V230" s="758"/>
    </row>
    <row r="231" spans="3:22">
      <c r="C231" s="758"/>
      <c r="D231" s="758"/>
      <c r="E231" s="758"/>
      <c r="F231" s="758"/>
      <c r="G231" s="758"/>
      <c r="H231" s="758"/>
      <c r="I231" s="758"/>
      <c r="J231" s="758"/>
      <c r="K231" s="758"/>
      <c r="L231" s="758"/>
      <c r="M231" s="758"/>
      <c r="N231" s="758"/>
      <c r="O231" s="758"/>
      <c r="P231" s="758"/>
      <c r="Q231" s="758"/>
      <c r="R231" s="758"/>
      <c r="S231" s="758"/>
      <c r="T231" s="758"/>
      <c r="U231" s="758"/>
      <c r="V231" s="758"/>
    </row>
    <row r="232" spans="3:22">
      <c r="C232" s="758"/>
      <c r="D232" s="758"/>
      <c r="E232" s="758"/>
      <c r="F232" s="758"/>
      <c r="G232" s="758"/>
      <c r="H232" s="758"/>
      <c r="I232" s="758"/>
      <c r="J232" s="758"/>
      <c r="K232" s="758"/>
      <c r="L232" s="758"/>
      <c r="M232" s="758"/>
      <c r="N232" s="758"/>
      <c r="O232" s="758"/>
      <c r="P232" s="758"/>
      <c r="Q232" s="758"/>
      <c r="R232" s="758"/>
      <c r="S232" s="758"/>
      <c r="T232" s="758"/>
      <c r="U232" s="758"/>
      <c r="V232" s="758"/>
    </row>
    <row r="233" spans="3:22">
      <c r="C233" s="758"/>
      <c r="D233" s="758"/>
      <c r="E233" s="758"/>
      <c r="F233" s="758"/>
      <c r="G233" s="758"/>
      <c r="H233" s="758"/>
      <c r="I233" s="758"/>
      <c r="J233" s="758"/>
      <c r="K233" s="758"/>
      <c r="L233" s="758"/>
      <c r="M233" s="758"/>
      <c r="N233" s="758"/>
      <c r="O233" s="758"/>
      <c r="P233" s="758"/>
      <c r="Q233" s="758"/>
      <c r="R233" s="758"/>
      <c r="S233" s="758"/>
      <c r="T233" s="758"/>
      <c r="U233" s="758"/>
      <c r="V233" s="758"/>
    </row>
    <row r="234" spans="3:22">
      <c r="C234" s="758"/>
      <c r="D234" s="758"/>
      <c r="E234" s="758"/>
      <c r="F234" s="758"/>
      <c r="G234" s="758"/>
      <c r="H234" s="758"/>
      <c r="I234" s="758"/>
      <c r="J234" s="758"/>
      <c r="K234" s="758"/>
      <c r="L234" s="758"/>
      <c r="M234" s="758"/>
      <c r="N234" s="758"/>
      <c r="O234" s="758"/>
      <c r="P234" s="758"/>
      <c r="Q234" s="758"/>
      <c r="R234" s="758"/>
      <c r="S234" s="758"/>
      <c r="T234" s="758"/>
      <c r="U234" s="758"/>
      <c r="V234" s="758"/>
    </row>
    <row r="235" spans="3:22">
      <c r="C235" s="758"/>
      <c r="D235" s="758"/>
      <c r="E235" s="758"/>
      <c r="F235" s="758"/>
      <c r="G235" s="758"/>
      <c r="H235" s="758"/>
      <c r="I235" s="758"/>
      <c r="J235" s="758"/>
      <c r="K235" s="758"/>
      <c r="L235" s="758"/>
      <c r="M235" s="758"/>
      <c r="N235" s="758"/>
      <c r="O235" s="758"/>
      <c r="P235" s="758"/>
      <c r="Q235" s="758"/>
      <c r="R235" s="758"/>
      <c r="S235" s="758"/>
      <c r="T235" s="758"/>
      <c r="U235" s="758"/>
      <c r="V235" s="758"/>
    </row>
    <row r="236" spans="3:22">
      <c r="C236" s="758"/>
      <c r="D236" s="758"/>
      <c r="E236" s="758"/>
      <c r="F236" s="758"/>
      <c r="G236" s="758"/>
      <c r="H236" s="758"/>
      <c r="I236" s="758"/>
      <c r="J236" s="758"/>
      <c r="K236" s="758"/>
      <c r="L236" s="758"/>
      <c r="M236" s="758"/>
      <c r="N236" s="758"/>
      <c r="O236" s="758"/>
      <c r="P236" s="758"/>
      <c r="Q236" s="758"/>
      <c r="R236" s="758"/>
      <c r="S236" s="758"/>
      <c r="T236" s="758"/>
      <c r="U236" s="758"/>
      <c r="V236" s="758"/>
    </row>
    <row r="237" spans="3:22">
      <c r="C237" s="758"/>
      <c r="D237" s="758"/>
      <c r="E237" s="758"/>
      <c r="F237" s="758"/>
      <c r="G237" s="758"/>
      <c r="H237" s="758"/>
      <c r="I237" s="758"/>
      <c r="J237" s="758"/>
      <c r="K237" s="758"/>
      <c r="L237" s="758"/>
      <c r="M237" s="758"/>
      <c r="N237" s="758"/>
      <c r="O237" s="758"/>
      <c r="P237" s="758"/>
      <c r="Q237" s="758"/>
      <c r="R237" s="758"/>
      <c r="S237" s="758"/>
      <c r="T237" s="758"/>
      <c r="U237" s="758"/>
      <c r="V237" s="758"/>
    </row>
    <row r="238" spans="3:22">
      <c r="C238" s="758"/>
      <c r="D238" s="758"/>
      <c r="E238" s="758"/>
      <c r="F238" s="758"/>
      <c r="G238" s="758"/>
      <c r="H238" s="758"/>
      <c r="I238" s="758"/>
      <c r="J238" s="758"/>
      <c r="K238" s="758"/>
      <c r="L238" s="758"/>
      <c r="M238" s="758"/>
      <c r="N238" s="758"/>
      <c r="O238" s="758"/>
      <c r="P238" s="758"/>
      <c r="Q238" s="758"/>
      <c r="R238" s="758"/>
      <c r="S238" s="758"/>
      <c r="T238" s="758"/>
      <c r="U238" s="758"/>
      <c r="V238" s="758"/>
    </row>
    <row r="239" spans="3:22">
      <c r="C239" s="758"/>
      <c r="D239" s="758"/>
      <c r="E239" s="758"/>
      <c r="F239" s="758"/>
      <c r="G239" s="758"/>
      <c r="H239" s="758"/>
      <c r="I239" s="758"/>
      <c r="J239" s="758"/>
      <c r="K239" s="758"/>
      <c r="L239" s="758"/>
      <c r="M239" s="758"/>
      <c r="N239" s="758"/>
      <c r="O239" s="758"/>
      <c r="P239" s="758"/>
      <c r="Q239" s="758"/>
      <c r="R239" s="758"/>
      <c r="S239" s="758"/>
      <c r="T239" s="758"/>
      <c r="U239" s="758"/>
      <c r="V239" s="758"/>
    </row>
    <row r="240" spans="3:22">
      <c r="C240" s="758"/>
      <c r="D240" s="758"/>
      <c r="E240" s="758"/>
      <c r="F240" s="758"/>
      <c r="G240" s="758"/>
      <c r="H240" s="758"/>
      <c r="I240" s="758"/>
      <c r="J240" s="758"/>
      <c r="K240" s="758"/>
      <c r="L240" s="758"/>
      <c r="M240" s="758"/>
      <c r="N240" s="758"/>
      <c r="O240" s="758"/>
      <c r="P240" s="758"/>
      <c r="Q240" s="758"/>
      <c r="R240" s="758"/>
      <c r="S240" s="758"/>
      <c r="T240" s="758"/>
      <c r="U240" s="758"/>
      <c r="V240" s="758"/>
    </row>
    <row r="241" spans="3:22">
      <c r="C241" s="758"/>
      <c r="D241" s="758"/>
      <c r="E241" s="758"/>
      <c r="F241" s="758"/>
      <c r="G241" s="758"/>
      <c r="H241" s="758"/>
      <c r="I241" s="758"/>
      <c r="J241" s="758"/>
      <c r="K241" s="758"/>
      <c r="L241" s="758"/>
      <c r="M241" s="758"/>
      <c r="N241" s="758"/>
      <c r="O241" s="758"/>
      <c r="P241" s="758"/>
      <c r="Q241" s="758"/>
      <c r="R241" s="758"/>
      <c r="S241" s="758"/>
      <c r="T241" s="758"/>
      <c r="U241" s="758"/>
      <c r="V241" s="758"/>
    </row>
    <row r="242" spans="3:22">
      <c r="C242" s="758"/>
      <c r="D242" s="758"/>
      <c r="E242" s="758"/>
      <c r="F242" s="758"/>
      <c r="G242" s="758"/>
      <c r="H242" s="758"/>
      <c r="I242" s="758"/>
      <c r="J242" s="758"/>
      <c r="K242" s="758"/>
      <c r="L242" s="758"/>
      <c r="M242" s="758"/>
      <c r="N242" s="758"/>
      <c r="O242" s="758"/>
      <c r="P242" s="758"/>
      <c r="Q242" s="758"/>
      <c r="R242" s="758"/>
      <c r="S242" s="758"/>
      <c r="T242" s="758"/>
      <c r="U242" s="758"/>
      <c r="V242" s="758"/>
    </row>
    <row r="243" spans="3:22">
      <c r="C243" s="758"/>
      <c r="D243" s="758"/>
      <c r="E243" s="758"/>
      <c r="F243" s="758"/>
      <c r="G243" s="758"/>
      <c r="H243" s="758"/>
      <c r="I243" s="758"/>
      <c r="J243" s="758"/>
      <c r="K243" s="758"/>
      <c r="L243" s="758"/>
      <c r="M243" s="758"/>
      <c r="N243" s="758"/>
      <c r="O243" s="758"/>
      <c r="P243" s="758"/>
      <c r="Q243" s="758"/>
      <c r="R243" s="758"/>
      <c r="S243" s="758"/>
      <c r="T243" s="758"/>
      <c r="U243" s="758"/>
      <c r="V243" s="758"/>
    </row>
    <row r="244" spans="3:22">
      <c r="C244" s="758"/>
      <c r="D244" s="758"/>
      <c r="E244" s="758"/>
      <c r="F244" s="758"/>
      <c r="G244" s="758"/>
      <c r="H244" s="758"/>
      <c r="I244" s="758"/>
      <c r="J244" s="758"/>
      <c r="K244" s="758"/>
      <c r="L244" s="758"/>
      <c r="M244" s="758"/>
      <c r="N244" s="758"/>
      <c r="O244" s="758"/>
      <c r="P244" s="758"/>
      <c r="Q244" s="758"/>
      <c r="R244" s="758"/>
      <c r="S244" s="758"/>
      <c r="T244" s="758"/>
      <c r="U244" s="758"/>
      <c r="V244" s="758"/>
    </row>
    <row r="245" spans="3:22">
      <c r="C245" s="758"/>
      <c r="D245" s="758"/>
      <c r="E245" s="758"/>
      <c r="F245" s="758"/>
      <c r="G245" s="758"/>
      <c r="H245" s="758"/>
      <c r="I245" s="758"/>
      <c r="J245" s="758"/>
      <c r="K245" s="758"/>
      <c r="L245" s="758"/>
      <c r="M245" s="758"/>
      <c r="N245" s="758"/>
      <c r="O245" s="758"/>
      <c r="P245" s="758"/>
      <c r="Q245" s="758"/>
      <c r="R245" s="758"/>
      <c r="S245" s="758"/>
      <c r="T245" s="758"/>
      <c r="U245" s="758"/>
      <c r="V245" s="758"/>
    </row>
    <row r="246" spans="3:22">
      <c r="C246" s="758"/>
      <c r="D246" s="758"/>
      <c r="E246" s="758"/>
      <c r="F246" s="758"/>
      <c r="G246" s="758"/>
      <c r="H246" s="758"/>
      <c r="I246" s="758"/>
      <c r="J246" s="758"/>
      <c r="K246" s="758"/>
      <c r="L246" s="758"/>
      <c r="M246" s="758"/>
      <c r="N246" s="758"/>
      <c r="O246" s="758"/>
      <c r="P246" s="758"/>
      <c r="Q246" s="758"/>
      <c r="R246" s="758"/>
      <c r="S246" s="758"/>
      <c r="T246" s="758"/>
      <c r="U246" s="758"/>
      <c r="V246" s="758"/>
    </row>
    <row r="247" spans="3:22">
      <c r="C247" s="758"/>
      <c r="D247" s="758"/>
      <c r="E247" s="758"/>
      <c r="F247" s="758"/>
      <c r="G247" s="758"/>
      <c r="H247" s="758"/>
      <c r="I247" s="758"/>
      <c r="J247" s="758"/>
      <c r="K247" s="758"/>
      <c r="L247" s="758"/>
      <c r="M247" s="758"/>
      <c r="N247" s="758"/>
      <c r="O247" s="758"/>
      <c r="P247" s="758"/>
      <c r="Q247" s="758"/>
      <c r="R247" s="758"/>
      <c r="S247" s="758"/>
      <c r="T247" s="758"/>
      <c r="U247" s="758"/>
      <c r="V247" s="758"/>
    </row>
    <row r="248" spans="3:22">
      <c r="C248" s="758"/>
      <c r="D248" s="758"/>
      <c r="E248" s="758"/>
      <c r="F248" s="758"/>
      <c r="G248" s="758"/>
      <c r="H248" s="758"/>
      <c r="I248" s="758"/>
      <c r="J248" s="758"/>
      <c r="K248" s="758"/>
      <c r="L248" s="758"/>
      <c r="M248" s="758"/>
      <c r="N248" s="758"/>
      <c r="O248" s="758"/>
      <c r="P248" s="758"/>
      <c r="Q248" s="758"/>
      <c r="R248" s="758"/>
      <c r="S248" s="758"/>
      <c r="T248" s="758"/>
      <c r="U248" s="758"/>
      <c r="V248" s="758"/>
    </row>
    <row r="249" spans="3:22">
      <c r="C249" s="758"/>
      <c r="D249" s="758"/>
      <c r="E249" s="758"/>
      <c r="F249" s="758"/>
      <c r="G249" s="758"/>
      <c r="H249" s="758"/>
      <c r="I249" s="758"/>
      <c r="J249" s="758"/>
      <c r="K249" s="758"/>
      <c r="L249" s="758"/>
      <c r="M249" s="758"/>
      <c r="N249" s="758"/>
      <c r="O249" s="758"/>
      <c r="P249" s="758"/>
      <c r="Q249" s="758"/>
      <c r="R249" s="758"/>
      <c r="S249" s="758"/>
      <c r="T249" s="758"/>
      <c r="U249" s="758"/>
      <c r="V249" s="758"/>
    </row>
    <row r="250" spans="3:22">
      <c r="C250" s="758"/>
      <c r="D250" s="758"/>
      <c r="E250" s="758"/>
      <c r="F250" s="758"/>
      <c r="G250" s="758"/>
      <c r="H250" s="758"/>
      <c r="I250" s="758"/>
      <c r="J250" s="758"/>
      <c r="K250" s="758"/>
      <c r="L250" s="758"/>
      <c r="M250" s="758"/>
      <c r="N250" s="758"/>
      <c r="O250" s="758"/>
      <c r="P250" s="758"/>
      <c r="Q250" s="758"/>
      <c r="R250" s="758"/>
      <c r="S250" s="758"/>
      <c r="T250" s="758"/>
      <c r="U250" s="758"/>
      <c r="V250" s="758"/>
    </row>
    <row r="251" spans="3:22">
      <c r="C251" s="758"/>
      <c r="D251" s="758"/>
      <c r="E251" s="758"/>
      <c r="F251" s="758"/>
      <c r="G251" s="758"/>
      <c r="H251" s="758"/>
      <c r="I251" s="758"/>
      <c r="J251" s="758"/>
      <c r="K251" s="758"/>
      <c r="L251" s="758"/>
      <c r="M251" s="758"/>
      <c r="N251" s="758"/>
      <c r="O251" s="758"/>
      <c r="P251" s="758"/>
      <c r="Q251" s="758"/>
      <c r="R251" s="758"/>
      <c r="S251" s="758"/>
      <c r="T251" s="758"/>
      <c r="U251" s="758"/>
      <c r="V251" s="758"/>
    </row>
    <row r="252" spans="3:22">
      <c r="C252" s="758"/>
      <c r="D252" s="758"/>
      <c r="E252" s="758"/>
      <c r="F252" s="758"/>
      <c r="G252" s="758"/>
      <c r="H252" s="758"/>
      <c r="I252" s="758"/>
      <c r="J252" s="758"/>
      <c r="K252" s="758"/>
      <c r="L252" s="758"/>
      <c r="M252" s="758"/>
      <c r="N252" s="758"/>
      <c r="O252" s="758"/>
      <c r="P252" s="758"/>
      <c r="Q252" s="758"/>
      <c r="R252" s="758"/>
      <c r="S252" s="758"/>
      <c r="T252" s="758"/>
      <c r="U252" s="758"/>
      <c r="V252" s="758"/>
    </row>
    <row r="253" spans="3:22">
      <c r="C253" s="758"/>
      <c r="D253" s="758"/>
      <c r="E253" s="758"/>
      <c r="F253" s="758"/>
      <c r="G253" s="758"/>
      <c r="H253" s="758"/>
      <c r="I253" s="758"/>
      <c r="J253" s="758"/>
      <c r="K253" s="758"/>
      <c r="L253" s="758"/>
      <c r="M253" s="758"/>
      <c r="N253" s="758"/>
      <c r="O253" s="758"/>
      <c r="P253" s="758"/>
      <c r="Q253" s="758"/>
      <c r="R253" s="758"/>
      <c r="S253" s="758"/>
      <c r="T253" s="758"/>
      <c r="U253" s="758"/>
      <c r="V253" s="758"/>
    </row>
    <row r="254" spans="3:22">
      <c r="C254" s="758"/>
      <c r="D254" s="758"/>
      <c r="E254" s="758"/>
      <c r="F254" s="758"/>
      <c r="G254" s="758"/>
      <c r="H254" s="758"/>
      <c r="I254" s="758"/>
      <c r="J254" s="758"/>
      <c r="K254" s="758"/>
      <c r="L254" s="758"/>
      <c r="M254" s="758"/>
      <c r="N254" s="758"/>
      <c r="O254" s="758"/>
      <c r="P254" s="758"/>
      <c r="Q254" s="758"/>
      <c r="R254" s="758"/>
      <c r="S254" s="758"/>
      <c r="T254" s="758"/>
      <c r="U254" s="758"/>
      <c r="V254" s="758"/>
    </row>
    <row r="255" spans="3:22">
      <c r="C255" s="758"/>
      <c r="D255" s="758"/>
      <c r="E255" s="758"/>
      <c r="F255" s="758"/>
      <c r="G255" s="758"/>
      <c r="H255" s="758"/>
      <c r="I255" s="758"/>
      <c r="J255" s="758"/>
      <c r="K255" s="758"/>
      <c r="L255" s="758"/>
      <c r="M255" s="758"/>
      <c r="N255" s="758"/>
      <c r="O255" s="758"/>
      <c r="P255" s="758"/>
      <c r="Q255" s="758"/>
      <c r="R255" s="758"/>
      <c r="S255" s="758"/>
      <c r="T255" s="758"/>
      <c r="U255" s="758"/>
      <c r="V255" s="758"/>
    </row>
    <row r="256" spans="3:22">
      <c r="C256" s="758"/>
      <c r="D256" s="758"/>
      <c r="E256" s="758"/>
      <c r="F256" s="758"/>
      <c r="G256" s="758"/>
      <c r="H256" s="758"/>
      <c r="I256" s="758"/>
      <c r="J256" s="758"/>
      <c r="K256" s="758"/>
      <c r="L256" s="758"/>
      <c r="M256" s="758"/>
      <c r="N256" s="758"/>
      <c r="O256" s="758"/>
      <c r="P256" s="758"/>
      <c r="Q256" s="758"/>
      <c r="R256" s="758"/>
      <c r="S256" s="758"/>
      <c r="T256" s="758"/>
      <c r="U256" s="758"/>
      <c r="V256" s="758"/>
    </row>
    <row r="257" spans="3:22">
      <c r="C257" s="758"/>
      <c r="D257" s="758"/>
      <c r="E257" s="758"/>
      <c r="F257" s="758"/>
      <c r="G257" s="758"/>
      <c r="H257" s="758"/>
      <c r="I257" s="758"/>
      <c r="J257" s="758"/>
      <c r="K257" s="758"/>
      <c r="L257" s="758"/>
      <c r="M257" s="758"/>
      <c r="N257" s="758"/>
      <c r="O257" s="758"/>
      <c r="P257" s="758"/>
      <c r="Q257" s="758"/>
      <c r="R257" s="758"/>
      <c r="S257" s="758"/>
      <c r="T257" s="758"/>
      <c r="U257" s="758"/>
      <c r="V257" s="758"/>
    </row>
    <row r="258" spans="3:22">
      <c r="C258" s="758"/>
      <c r="D258" s="758"/>
      <c r="E258" s="758"/>
      <c r="F258" s="758"/>
      <c r="G258" s="758"/>
      <c r="H258" s="758"/>
      <c r="I258" s="758"/>
      <c r="J258" s="758"/>
      <c r="K258" s="758"/>
      <c r="L258" s="758"/>
      <c r="M258" s="758"/>
      <c r="N258" s="758"/>
      <c r="O258" s="758"/>
      <c r="P258" s="758"/>
      <c r="Q258" s="758"/>
      <c r="R258" s="758"/>
      <c r="S258" s="758"/>
      <c r="T258" s="758"/>
      <c r="U258" s="758"/>
      <c r="V258" s="758"/>
    </row>
    <row r="259" spans="3:22">
      <c r="C259" s="758"/>
      <c r="D259" s="758"/>
      <c r="E259" s="758"/>
      <c r="F259" s="758"/>
      <c r="G259" s="758"/>
      <c r="H259" s="758"/>
      <c r="I259" s="758"/>
      <c r="J259" s="758"/>
      <c r="K259" s="758"/>
      <c r="L259" s="758"/>
      <c r="M259" s="758"/>
      <c r="N259" s="758"/>
      <c r="O259" s="758"/>
      <c r="P259" s="758"/>
      <c r="Q259" s="758"/>
      <c r="R259" s="758"/>
      <c r="S259" s="758"/>
      <c r="T259" s="758"/>
      <c r="U259" s="758"/>
      <c r="V259" s="758"/>
    </row>
    <row r="260" spans="3:22">
      <c r="C260" s="758"/>
      <c r="D260" s="758"/>
      <c r="E260" s="758"/>
      <c r="F260" s="758"/>
      <c r="G260" s="758"/>
      <c r="H260" s="758"/>
      <c r="I260" s="758"/>
      <c r="J260" s="758"/>
      <c r="K260" s="758"/>
      <c r="L260" s="758"/>
      <c r="M260" s="758"/>
      <c r="N260" s="758"/>
      <c r="O260" s="758"/>
      <c r="P260" s="758"/>
      <c r="Q260" s="758"/>
      <c r="R260" s="758"/>
      <c r="S260" s="758"/>
      <c r="T260" s="758"/>
      <c r="U260" s="758"/>
      <c r="V260" s="758"/>
    </row>
    <row r="261" spans="3:22">
      <c r="C261" s="758"/>
      <c r="D261" s="758"/>
      <c r="E261" s="758"/>
      <c r="F261" s="758"/>
      <c r="G261" s="758"/>
      <c r="H261" s="758"/>
      <c r="I261" s="758"/>
      <c r="J261" s="758"/>
      <c r="K261" s="758"/>
      <c r="L261" s="758"/>
      <c r="M261" s="758"/>
      <c r="N261" s="758"/>
      <c r="O261" s="758"/>
      <c r="P261" s="758"/>
      <c r="Q261" s="758"/>
      <c r="R261" s="758"/>
      <c r="S261" s="758"/>
      <c r="T261" s="758"/>
      <c r="U261" s="758"/>
      <c r="V261" s="758"/>
    </row>
    <row r="262" spans="3:22">
      <c r="C262" s="758"/>
      <c r="D262" s="758"/>
      <c r="E262" s="758"/>
      <c r="F262" s="758"/>
      <c r="G262" s="758"/>
      <c r="H262" s="758"/>
      <c r="I262" s="758"/>
      <c r="J262" s="758"/>
      <c r="K262" s="758"/>
      <c r="L262" s="758"/>
      <c r="M262" s="758"/>
      <c r="N262" s="758"/>
      <c r="O262" s="758"/>
      <c r="P262" s="758"/>
      <c r="Q262" s="758"/>
      <c r="R262" s="758"/>
      <c r="S262" s="758"/>
      <c r="T262" s="758"/>
      <c r="U262" s="758"/>
      <c r="V262" s="758"/>
    </row>
    <row r="263" spans="3:22">
      <c r="C263" s="758"/>
      <c r="D263" s="758"/>
      <c r="E263" s="758"/>
      <c r="F263" s="758"/>
      <c r="G263" s="758"/>
      <c r="H263" s="758"/>
      <c r="I263" s="758"/>
      <c r="J263" s="758"/>
      <c r="K263" s="758"/>
      <c r="L263" s="758"/>
      <c r="M263" s="758"/>
      <c r="N263" s="758"/>
      <c r="O263" s="758"/>
      <c r="P263" s="758"/>
      <c r="Q263" s="758"/>
      <c r="R263" s="758"/>
      <c r="S263" s="758"/>
      <c r="T263" s="758"/>
      <c r="U263" s="758"/>
      <c r="V263" s="758"/>
    </row>
    <row r="264" spans="3:22">
      <c r="C264" s="758"/>
      <c r="D264" s="758"/>
      <c r="E264" s="758"/>
      <c r="F264" s="758"/>
      <c r="G264" s="758"/>
      <c r="H264" s="758"/>
      <c r="I264" s="758"/>
      <c r="J264" s="758"/>
      <c r="K264" s="758"/>
      <c r="L264" s="758"/>
      <c r="M264" s="758"/>
      <c r="N264" s="758"/>
      <c r="O264" s="758"/>
      <c r="P264" s="758"/>
      <c r="Q264" s="758"/>
      <c r="R264" s="758"/>
      <c r="S264" s="758"/>
      <c r="T264" s="758"/>
      <c r="U264" s="758"/>
      <c r="V264" s="758"/>
    </row>
    <row r="265" spans="3:22">
      <c r="C265" s="758"/>
      <c r="D265" s="758"/>
      <c r="E265" s="758"/>
      <c r="F265" s="758"/>
      <c r="G265" s="758"/>
      <c r="H265" s="758"/>
      <c r="I265" s="758"/>
      <c r="J265" s="758"/>
      <c r="K265" s="758"/>
      <c r="L265" s="758"/>
      <c r="M265" s="758"/>
      <c r="N265" s="758"/>
      <c r="O265" s="758"/>
      <c r="P265" s="758"/>
      <c r="Q265" s="758"/>
      <c r="R265" s="758"/>
      <c r="S265" s="758"/>
      <c r="T265" s="758"/>
      <c r="U265" s="758"/>
      <c r="V265" s="758"/>
    </row>
    <row r="266" spans="3:22">
      <c r="C266" s="758"/>
      <c r="D266" s="758"/>
      <c r="E266" s="758"/>
      <c r="F266" s="758"/>
      <c r="G266" s="758"/>
      <c r="H266" s="758"/>
      <c r="I266" s="758"/>
      <c r="J266" s="758"/>
      <c r="K266" s="758"/>
      <c r="L266" s="758"/>
      <c r="M266" s="758"/>
      <c r="N266" s="758"/>
      <c r="O266" s="758"/>
      <c r="P266" s="758"/>
      <c r="Q266" s="758"/>
      <c r="R266" s="758"/>
      <c r="S266" s="758"/>
      <c r="T266" s="758"/>
      <c r="U266" s="758"/>
      <c r="V266" s="758"/>
    </row>
    <row r="267" spans="3:22">
      <c r="C267" s="758"/>
      <c r="D267" s="758"/>
      <c r="E267" s="758"/>
      <c r="F267" s="758"/>
      <c r="G267" s="758"/>
      <c r="H267" s="758"/>
      <c r="I267" s="758"/>
      <c r="J267" s="758"/>
      <c r="K267" s="758"/>
      <c r="L267" s="758"/>
      <c r="M267" s="758"/>
      <c r="N267" s="758"/>
      <c r="O267" s="758"/>
      <c r="P267" s="758"/>
      <c r="Q267" s="758"/>
      <c r="R267" s="758"/>
      <c r="S267" s="758"/>
      <c r="T267" s="758"/>
      <c r="U267" s="758"/>
      <c r="V267" s="758"/>
    </row>
    <row r="268" spans="3:22">
      <c r="C268" s="758"/>
      <c r="D268" s="758"/>
      <c r="E268" s="758"/>
      <c r="F268" s="758"/>
      <c r="G268" s="758"/>
      <c r="H268" s="758"/>
      <c r="I268" s="758"/>
      <c r="J268" s="758"/>
      <c r="K268" s="758"/>
      <c r="L268" s="758"/>
      <c r="M268" s="758"/>
      <c r="N268" s="758"/>
      <c r="O268" s="758"/>
      <c r="P268" s="758"/>
      <c r="Q268" s="758"/>
      <c r="R268" s="758"/>
      <c r="S268" s="758"/>
      <c r="T268" s="758"/>
      <c r="U268" s="758"/>
      <c r="V268" s="758"/>
    </row>
    <row r="269" spans="3:22">
      <c r="C269" s="758"/>
      <c r="D269" s="758"/>
      <c r="E269" s="758"/>
      <c r="F269" s="758"/>
      <c r="G269" s="758"/>
      <c r="H269" s="758"/>
      <c r="I269" s="758"/>
      <c r="J269" s="758"/>
      <c r="K269" s="758"/>
      <c r="L269" s="758"/>
      <c r="M269" s="758"/>
      <c r="N269" s="758"/>
      <c r="O269" s="758"/>
      <c r="P269" s="758"/>
      <c r="Q269" s="758"/>
      <c r="R269" s="758"/>
      <c r="S269" s="758"/>
      <c r="T269" s="758"/>
      <c r="U269" s="758"/>
      <c r="V269" s="758"/>
    </row>
    <row r="270" spans="3:22">
      <c r="C270" s="758"/>
      <c r="D270" s="758"/>
      <c r="E270" s="758"/>
      <c r="F270" s="758"/>
      <c r="G270" s="758"/>
      <c r="H270" s="758"/>
      <c r="I270" s="758"/>
      <c r="J270" s="758"/>
      <c r="K270" s="758"/>
      <c r="L270" s="758"/>
      <c r="M270" s="758"/>
      <c r="N270" s="758"/>
      <c r="O270" s="758"/>
      <c r="P270" s="758"/>
      <c r="Q270" s="758"/>
      <c r="R270" s="758"/>
      <c r="S270" s="758"/>
      <c r="T270" s="758"/>
      <c r="U270" s="758"/>
      <c r="V270" s="758"/>
    </row>
    <row r="271" spans="3:22">
      <c r="C271" s="758"/>
      <c r="D271" s="758"/>
      <c r="E271" s="758"/>
      <c r="F271" s="758"/>
      <c r="G271" s="758"/>
      <c r="H271" s="758"/>
      <c r="I271" s="758"/>
      <c r="J271" s="758"/>
      <c r="K271" s="758"/>
      <c r="L271" s="758"/>
      <c r="M271" s="758"/>
      <c r="N271" s="758"/>
      <c r="O271" s="758"/>
      <c r="P271" s="758"/>
      <c r="Q271" s="758"/>
      <c r="R271" s="758"/>
      <c r="S271" s="758"/>
      <c r="T271" s="758"/>
      <c r="U271" s="758"/>
      <c r="V271" s="758"/>
    </row>
    <row r="272" spans="3:22">
      <c r="C272" s="758"/>
      <c r="D272" s="758"/>
      <c r="E272" s="758"/>
      <c r="F272" s="758"/>
      <c r="G272" s="758"/>
      <c r="H272" s="758"/>
      <c r="I272" s="758"/>
      <c r="J272" s="758"/>
      <c r="K272" s="758"/>
      <c r="L272" s="758"/>
      <c r="M272" s="758"/>
      <c r="N272" s="758"/>
      <c r="O272" s="758"/>
      <c r="P272" s="758"/>
      <c r="Q272" s="758"/>
      <c r="R272" s="758"/>
      <c r="S272" s="758"/>
      <c r="T272" s="758"/>
      <c r="U272" s="758"/>
      <c r="V272" s="758"/>
    </row>
    <row r="273" spans="3:22">
      <c r="C273" s="758"/>
      <c r="D273" s="758"/>
      <c r="E273" s="758"/>
      <c r="F273" s="758"/>
      <c r="G273" s="758"/>
      <c r="H273" s="758"/>
      <c r="I273" s="758"/>
      <c r="J273" s="758"/>
      <c r="K273" s="758"/>
      <c r="L273" s="758"/>
      <c r="M273" s="758"/>
      <c r="N273" s="758"/>
      <c r="O273" s="758"/>
      <c r="P273" s="758"/>
      <c r="Q273" s="758"/>
      <c r="R273" s="758"/>
      <c r="S273" s="758"/>
      <c r="T273" s="758"/>
      <c r="U273" s="758"/>
      <c r="V273" s="758"/>
    </row>
    <row r="274" spans="3:22">
      <c r="C274" s="758"/>
      <c r="D274" s="758"/>
      <c r="E274" s="758"/>
      <c r="F274" s="758"/>
      <c r="G274" s="758"/>
      <c r="H274" s="758"/>
      <c r="I274" s="758"/>
      <c r="J274" s="758"/>
      <c r="K274" s="758"/>
      <c r="L274" s="758"/>
      <c r="M274" s="758"/>
      <c r="N274" s="758"/>
      <c r="O274" s="758"/>
      <c r="P274" s="758"/>
      <c r="Q274" s="758"/>
      <c r="R274" s="758"/>
      <c r="S274" s="758"/>
      <c r="T274" s="758"/>
      <c r="U274" s="758"/>
      <c r="V274" s="758"/>
    </row>
    <row r="275" spans="3:22">
      <c r="C275" s="758"/>
      <c r="D275" s="758"/>
      <c r="E275" s="758"/>
      <c r="F275" s="758"/>
      <c r="G275" s="758"/>
      <c r="H275" s="758"/>
      <c r="I275" s="758"/>
      <c r="J275" s="758"/>
      <c r="K275" s="758"/>
      <c r="L275" s="758"/>
      <c r="M275" s="758"/>
      <c r="N275" s="758"/>
      <c r="O275" s="758"/>
      <c r="P275" s="758"/>
      <c r="Q275" s="758"/>
      <c r="R275" s="758"/>
      <c r="S275" s="758"/>
      <c r="T275" s="758"/>
      <c r="U275" s="758"/>
      <c r="V275" s="758"/>
    </row>
    <row r="276" spans="3:22">
      <c r="C276" s="758"/>
      <c r="D276" s="758"/>
      <c r="E276" s="758"/>
      <c r="F276" s="758"/>
      <c r="G276" s="758"/>
      <c r="H276" s="758"/>
      <c r="I276" s="758"/>
      <c r="J276" s="758"/>
      <c r="K276" s="758"/>
      <c r="L276" s="758"/>
      <c r="M276" s="758"/>
      <c r="N276" s="758"/>
      <c r="O276" s="758"/>
      <c r="P276" s="758"/>
      <c r="Q276" s="758"/>
      <c r="R276" s="758"/>
      <c r="S276" s="758"/>
      <c r="T276" s="758"/>
      <c r="U276" s="758"/>
      <c r="V276" s="758"/>
    </row>
    <row r="277" spans="3:22">
      <c r="C277" s="758"/>
      <c r="D277" s="758"/>
      <c r="E277" s="758"/>
      <c r="F277" s="758"/>
      <c r="G277" s="758"/>
      <c r="H277" s="758"/>
      <c r="I277" s="758"/>
      <c r="J277" s="758"/>
      <c r="K277" s="758"/>
      <c r="L277" s="758"/>
      <c r="M277" s="758"/>
      <c r="N277" s="758"/>
      <c r="O277" s="758"/>
      <c r="P277" s="758"/>
      <c r="Q277" s="758"/>
      <c r="R277" s="758"/>
      <c r="S277" s="758"/>
      <c r="T277" s="758"/>
      <c r="U277" s="758"/>
      <c r="V277" s="758"/>
    </row>
    <row r="278" spans="3:22">
      <c r="C278" s="758"/>
      <c r="D278" s="758"/>
      <c r="E278" s="758"/>
      <c r="F278" s="758"/>
      <c r="G278" s="758"/>
      <c r="H278" s="758"/>
      <c r="I278" s="758"/>
      <c r="J278" s="758"/>
      <c r="K278" s="758"/>
      <c r="L278" s="758"/>
      <c r="M278" s="758"/>
      <c r="N278" s="758"/>
      <c r="O278" s="758"/>
      <c r="P278" s="758"/>
      <c r="Q278" s="758"/>
      <c r="R278" s="758"/>
      <c r="S278" s="758"/>
      <c r="T278" s="758"/>
      <c r="U278" s="758"/>
      <c r="V278" s="758"/>
    </row>
    <row r="279" spans="3:22">
      <c r="C279" s="758"/>
      <c r="D279" s="758"/>
      <c r="E279" s="758"/>
      <c r="F279" s="758"/>
      <c r="G279" s="758"/>
      <c r="H279" s="758"/>
      <c r="I279" s="758"/>
      <c r="J279" s="758"/>
      <c r="K279" s="758"/>
      <c r="L279" s="758"/>
      <c r="M279" s="758"/>
      <c r="N279" s="758"/>
      <c r="O279" s="758"/>
      <c r="P279" s="758"/>
      <c r="Q279" s="758"/>
      <c r="R279" s="758"/>
      <c r="S279" s="758"/>
      <c r="T279" s="758"/>
      <c r="U279" s="758"/>
      <c r="V279" s="758"/>
    </row>
    <row r="280" spans="3:22">
      <c r="C280" s="758"/>
      <c r="D280" s="758"/>
      <c r="E280" s="758"/>
      <c r="F280" s="758"/>
      <c r="G280" s="758"/>
      <c r="H280" s="758"/>
      <c r="I280" s="758"/>
      <c r="J280" s="758"/>
      <c r="K280" s="758"/>
      <c r="L280" s="758"/>
      <c r="M280" s="758"/>
      <c r="N280" s="758"/>
      <c r="O280" s="758"/>
      <c r="P280" s="758"/>
      <c r="Q280" s="758"/>
      <c r="R280" s="758"/>
      <c r="S280" s="758"/>
      <c r="T280" s="758"/>
      <c r="U280" s="758"/>
      <c r="V280" s="758"/>
    </row>
    <row r="281" spans="3:22">
      <c r="C281" s="758"/>
      <c r="D281" s="758"/>
      <c r="E281" s="758"/>
      <c r="F281" s="758"/>
      <c r="G281" s="758"/>
      <c r="H281" s="758"/>
      <c r="I281" s="758"/>
      <c r="J281" s="758"/>
      <c r="K281" s="758"/>
      <c r="L281" s="758"/>
      <c r="M281" s="758"/>
      <c r="N281" s="758"/>
      <c r="O281" s="758"/>
      <c r="P281" s="758"/>
      <c r="Q281" s="758"/>
      <c r="R281" s="758"/>
      <c r="S281" s="758"/>
      <c r="T281" s="758"/>
      <c r="U281" s="758"/>
      <c r="V281" s="758"/>
    </row>
    <row r="282" spans="3:22">
      <c r="C282" s="758"/>
      <c r="D282" s="758"/>
      <c r="E282" s="758"/>
      <c r="F282" s="758"/>
      <c r="G282" s="758"/>
      <c r="H282" s="758"/>
      <c r="I282" s="758"/>
      <c r="J282" s="758"/>
      <c r="K282" s="758"/>
      <c r="L282" s="758"/>
      <c r="M282" s="758"/>
      <c r="N282" s="758"/>
      <c r="O282" s="758"/>
      <c r="P282" s="758"/>
      <c r="Q282" s="758"/>
      <c r="R282" s="758"/>
      <c r="S282" s="758"/>
      <c r="T282" s="758"/>
      <c r="U282" s="758"/>
      <c r="V282" s="758"/>
    </row>
    <row r="283" spans="3:22">
      <c r="C283" s="758"/>
      <c r="D283" s="758"/>
      <c r="E283" s="758"/>
      <c r="F283" s="758"/>
      <c r="G283" s="758"/>
      <c r="H283" s="758"/>
      <c r="I283" s="758"/>
      <c r="J283" s="758"/>
      <c r="K283" s="758"/>
      <c r="L283" s="758"/>
      <c r="M283" s="758"/>
      <c r="N283" s="758"/>
      <c r="O283" s="758"/>
      <c r="P283" s="758"/>
      <c r="Q283" s="758"/>
      <c r="R283" s="758"/>
      <c r="S283" s="758"/>
      <c r="T283" s="758"/>
      <c r="U283" s="758"/>
      <c r="V283" s="758"/>
    </row>
    <row r="284" spans="3:22">
      <c r="C284" s="758"/>
      <c r="D284" s="758"/>
      <c r="E284" s="758"/>
      <c r="F284" s="758"/>
      <c r="G284" s="758"/>
      <c r="H284" s="758"/>
      <c r="I284" s="758"/>
      <c r="J284" s="758"/>
      <c r="K284" s="758"/>
      <c r="L284" s="758"/>
      <c r="M284" s="758"/>
      <c r="N284" s="758"/>
      <c r="O284" s="758"/>
      <c r="P284" s="758"/>
      <c r="Q284" s="758"/>
      <c r="R284" s="758"/>
      <c r="S284" s="758"/>
      <c r="T284" s="758"/>
      <c r="U284" s="758"/>
      <c r="V284" s="758"/>
    </row>
    <row r="285" spans="3:22">
      <c r="C285" s="758"/>
      <c r="D285" s="758"/>
      <c r="E285" s="758"/>
      <c r="F285" s="758"/>
      <c r="G285" s="758"/>
      <c r="H285" s="758"/>
      <c r="I285" s="758"/>
      <c r="J285" s="758"/>
      <c r="K285" s="758"/>
      <c r="L285" s="758"/>
      <c r="M285" s="758"/>
      <c r="N285" s="758"/>
      <c r="O285" s="758"/>
      <c r="P285" s="758"/>
      <c r="Q285" s="758"/>
      <c r="R285" s="758"/>
      <c r="S285" s="758"/>
      <c r="T285" s="758"/>
      <c r="U285" s="758"/>
      <c r="V285" s="758"/>
    </row>
    <row r="286" spans="3:22">
      <c r="C286" s="758"/>
      <c r="D286" s="758"/>
      <c r="E286" s="758"/>
      <c r="F286" s="758"/>
      <c r="G286" s="758"/>
      <c r="H286" s="758"/>
      <c r="I286" s="758"/>
      <c r="J286" s="758"/>
      <c r="K286" s="758"/>
      <c r="L286" s="758"/>
      <c r="M286" s="758"/>
      <c r="N286" s="758"/>
      <c r="O286" s="758"/>
      <c r="P286" s="758"/>
      <c r="Q286" s="758"/>
      <c r="R286" s="758"/>
      <c r="S286" s="758"/>
      <c r="T286" s="758"/>
      <c r="U286" s="758"/>
      <c r="V286" s="758"/>
    </row>
    <row r="287" spans="3:22">
      <c r="C287" s="758"/>
      <c r="D287" s="758"/>
      <c r="E287" s="758"/>
      <c r="F287" s="758"/>
      <c r="G287" s="758"/>
      <c r="H287" s="758"/>
      <c r="I287" s="758"/>
      <c r="J287" s="758"/>
      <c r="K287" s="758"/>
      <c r="L287" s="758"/>
      <c r="M287" s="758"/>
      <c r="N287" s="758"/>
      <c r="O287" s="758"/>
      <c r="P287" s="758"/>
      <c r="Q287" s="758"/>
      <c r="R287" s="758"/>
      <c r="S287" s="758"/>
      <c r="T287" s="758"/>
      <c r="U287" s="758"/>
      <c r="V287" s="758"/>
    </row>
    <row r="288" spans="3:22">
      <c r="C288" s="758"/>
      <c r="D288" s="758"/>
      <c r="E288" s="758"/>
      <c r="F288" s="758"/>
      <c r="G288" s="758"/>
      <c r="H288" s="758"/>
      <c r="I288" s="758"/>
      <c r="J288" s="758"/>
      <c r="K288" s="758"/>
      <c r="L288" s="758"/>
      <c r="M288" s="758"/>
      <c r="N288" s="758"/>
      <c r="O288" s="758"/>
      <c r="P288" s="758"/>
      <c r="Q288" s="758"/>
      <c r="R288" s="758"/>
      <c r="S288" s="758"/>
      <c r="T288" s="758"/>
      <c r="U288" s="758"/>
      <c r="V288" s="758"/>
    </row>
    <row r="289" spans="3:22">
      <c r="C289" s="758"/>
      <c r="D289" s="758"/>
      <c r="E289" s="758"/>
      <c r="F289" s="758"/>
      <c r="G289" s="758"/>
      <c r="H289" s="758"/>
      <c r="I289" s="758"/>
      <c r="J289" s="758"/>
      <c r="K289" s="758"/>
      <c r="L289" s="758"/>
      <c r="M289" s="758"/>
      <c r="N289" s="758"/>
      <c r="O289" s="758"/>
      <c r="P289" s="758"/>
      <c r="Q289" s="758"/>
      <c r="R289" s="758"/>
      <c r="S289" s="758"/>
      <c r="T289" s="758"/>
      <c r="U289" s="758"/>
      <c r="V289" s="758"/>
    </row>
    <row r="290" spans="3:22">
      <c r="C290" s="758"/>
      <c r="D290" s="758"/>
      <c r="E290" s="758"/>
      <c r="F290" s="758"/>
      <c r="G290" s="758"/>
      <c r="H290" s="758"/>
      <c r="I290" s="758"/>
      <c r="J290" s="758"/>
      <c r="K290" s="758"/>
      <c r="L290" s="758"/>
      <c r="M290" s="758"/>
      <c r="N290" s="758"/>
      <c r="O290" s="758"/>
      <c r="P290" s="758"/>
      <c r="Q290" s="758"/>
      <c r="R290" s="758"/>
      <c r="S290" s="758"/>
      <c r="T290" s="758"/>
      <c r="U290" s="758"/>
      <c r="V290" s="758"/>
    </row>
    <row r="291" spans="3:22">
      <c r="C291" s="758"/>
      <c r="D291" s="758"/>
      <c r="E291" s="758"/>
      <c r="F291" s="758"/>
      <c r="G291" s="758"/>
      <c r="H291" s="758"/>
      <c r="I291" s="758"/>
      <c r="J291" s="758"/>
      <c r="K291" s="758"/>
      <c r="L291" s="758"/>
      <c r="M291" s="758"/>
      <c r="N291" s="758"/>
      <c r="O291" s="758"/>
      <c r="P291" s="758"/>
      <c r="Q291" s="758"/>
      <c r="R291" s="758"/>
      <c r="S291" s="758"/>
      <c r="T291" s="758"/>
      <c r="U291" s="758"/>
      <c r="V291" s="758"/>
    </row>
    <row r="292" spans="3:22">
      <c r="C292" s="758"/>
      <c r="D292" s="758"/>
      <c r="E292" s="758"/>
      <c r="F292" s="758"/>
      <c r="G292" s="758"/>
      <c r="H292" s="758"/>
      <c r="I292" s="758"/>
      <c r="J292" s="758"/>
      <c r="K292" s="758"/>
      <c r="L292" s="758"/>
      <c r="M292" s="758"/>
      <c r="N292" s="758"/>
      <c r="O292" s="758"/>
      <c r="P292" s="758"/>
      <c r="Q292" s="758"/>
      <c r="R292" s="758"/>
      <c r="S292" s="758"/>
      <c r="T292" s="758"/>
      <c r="U292" s="758"/>
      <c r="V292" s="758"/>
    </row>
    <row r="293" spans="3:22">
      <c r="C293" s="758"/>
      <c r="D293" s="758"/>
      <c r="E293" s="758"/>
      <c r="F293" s="758"/>
      <c r="G293" s="758"/>
      <c r="H293" s="758"/>
      <c r="I293" s="758"/>
      <c r="J293" s="758"/>
      <c r="K293" s="758"/>
      <c r="L293" s="758"/>
      <c r="M293" s="758"/>
      <c r="N293" s="758"/>
      <c r="O293" s="758"/>
      <c r="P293" s="758"/>
      <c r="Q293" s="758"/>
      <c r="R293" s="758"/>
      <c r="S293" s="758"/>
      <c r="T293" s="758"/>
      <c r="U293" s="758"/>
      <c r="V293" s="758"/>
    </row>
    <row r="294" spans="3:22">
      <c r="C294" s="758"/>
      <c r="D294" s="758"/>
      <c r="E294" s="758"/>
      <c r="F294" s="758"/>
      <c r="G294" s="758"/>
      <c r="H294" s="758"/>
      <c r="I294" s="758"/>
      <c r="J294" s="758"/>
      <c r="K294" s="758"/>
      <c r="L294" s="758"/>
      <c r="M294" s="758"/>
      <c r="N294" s="758"/>
      <c r="O294" s="758"/>
      <c r="P294" s="758"/>
      <c r="Q294" s="758"/>
      <c r="R294" s="758"/>
      <c r="S294" s="758"/>
      <c r="T294" s="758"/>
      <c r="U294" s="758"/>
      <c r="V294" s="758"/>
    </row>
    <row r="295" spans="3:22">
      <c r="C295" s="758"/>
      <c r="D295" s="758"/>
      <c r="E295" s="758"/>
      <c r="F295" s="758"/>
      <c r="G295" s="758"/>
      <c r="H295" s="758"/>
      <c r="I295" s="758"/>
      <c r="J295" s="758"/>
      <c r="K295" s="758"/>
      <c r="L295" s="758"/>
      <c r="M295" s="758"/>
      <c r="N295" s="758"/>
      <c r="O295" s="758"/>
      <c r="P295" s="758"/>
      <c r="Q295" s="758"/>
      <c r="R295" s="758"/>
      <c r="S295" s="758"/>
      <c r="T295" s="758"/>
      <c r="U295" s="758"/>
      <c r="V295" s="758"/>
    </row>
    <row r="296" spans="3:22">
      <c r="C296" s="758"/>
      <c r="D296" s="758"/>
      <c r="E296" s="758"/>
      <c r="F296" s="758"/>
      <c r="G296" s="758"/>
      <c r="H296" s="758"/>
      <c r="I296" s="758"/>
      <c r="J296" s="758"/>
      <c r="K296" s="758"/>
      <c r="L296" s="758"/>
      <c r="M296" s="758"/>
      <c r="N296" s="758"/>
      <c r="O296" s="758"/>
      <c r="P296" s="758"/>
      <c r="Q296" s="758"/>
      <c r="R296" s="758"/>
      <c r="S296" s="758"/>
      <c r="T296" s="758"/>
      <c r="U296" s="758"/>
      <c r="V296" s="758"/>
    </row>
    <row r="297" spans="3:22">
      <c r="C297" s="758"/>
      <c r="D297" s="758"/>
      <c r="E297" s="758"/>
      <c r="F297" s="758"/>
      <c r="G297" s="758"/>
      <c r="H297" s="758"/>
      <c r="I297" s="758"/>
      <c r="J297" s="758"/>
      <c r="K297" s="758"/>
      <c r="L297" s="758"/>
      <c r="M297" s="758"/>
      <c r="N297" s="758"/>
      <c r="O297" s="758"/>
      <c r="P297" s="758"/>
      <c r="Q297" s="758"/>
      <c r="R297" s="758"/>
      <c r="S297" s="758"/>
      <c r="T297" s="758"/>
      <c r="U297" s="758"/>
      <c r="V297" s="758"/>
    </row>
    <row r="298" spans="3:22">
      <c r="C298" s="758"/>
      <c r="D298" s="758"/>
      <c r="E298" s="758"/>
      <c r="F298" s="758"/>
      <c r="G298" s="758"/>
      <c r="H298" s="758"/>
      <c r="I298" s="758"/>
      <c r="J298" s="758"/>
      <c r="K298" s="758"/>
      <c r="L298" s="758"/>
      <c r="M298" s="758"/>
      <c r="N298" s="758"/>
      <c r="O298" s="758"/>
      <c r="P298" s="758"/>
      <c r="Q298" s="758"/>
      <c r="R298" s="758"/>
      <c r="S298" s="758"/>
      <c r="T298" s="758"/>
      <c r="U298" s="758"/>
      <c r="V298" s="758"/>
    </row>
    <row r="299" spans="3:22">
      <c r="C299" s="758"/>
      <c r="D299" s="758"/>
      <c r="E299" s="758"/>
      <c r="F299" s="758"/>
      <c r="G299" s="758"/>
      <c r="H299" s="758"/>
      <c r="I299" s="758"/>
      <c r="J299" s="758"/>
      <c r="K299" s="758"/>
      <c r="L299" s="758"/>
      <c r="M299" s="758"/>
      <c r="N299" s="758"/>
      <c r="O299" s="758"/>
      <c r="P299" s="758"/>
      <c r="Q299" s="758"/>
      <c r="R299" s="758"/>
      <c r="S299" s="758"/>
      <c r="T299" s="758"/>
      <c r="U299" s="758"/>
      <c r="V299" s="758"/>
    </row>
    <row r="300" spans="3:22">
      <c r="C300" s="758"/>
      <c r="D300" s="758"/>
      <c r="E300" s="758"/>
      <c r="F300" s="758"/>
      <c r="G300" s="758"/>
      <c r="H300" s="758"/>
      <c r="I300" s="758"/>
      <c r="J300" s="758"/>
      <c r="K300" s="758"/>
      <c r="L300" s="758"/>
      <c r="M300" s="758"/>
      <c r="N300" s="758"/>
      <c r="O300" s="758"/>
      <c r="P300" s="758"/>
      <c r="Q300" s="758"/>
      <c r="R300" s="758"/>
      <c r="S300" s="758"/>
      <c r="T300" s="758"/>
      <c r="U300" s="758"/>
      <c r="V300" s="758"/>
    </row>
    <row r="301" spans="3:22">
      <c r="C301" s="758"/>
      <c r="D301" s="758"/>
      <c r="E301" s="758"/>
      <c r="F301" s="758"/>
      <c r="G301" s="758"/>
      <c r="H301" s="758"/>
      <c r="I301" s="758"/>
      <c r="J301" s="758"/>
      <c r="K301" s="758"/>
      <c r="L301" s="758"/>
      <c r="M301" s="758"/>
      <c r="N301" s="758"/>
      <c r="O301" s="758"/>
      <c r="P301" s="758"/>
      <c r="Q301" s="758"/>
      <c r="R301" s="758"/>
      <c r="S301" s="758"/>
      <c r="T301" s="758"/>
      <c r="U301" s="758"/>
      <c r="V301" s="758"/>
    </row>
    <row r="302" spans="3:22">
      <c r="C302" s="758"/>
      <c r="D302" s="758"/>
      <c r="E302" s="758"/>
      <c r="F302" s="758"/>
      <c r="G302" s="758"/>
      <c r="H302" s="758"/>
      <c r="I302" s="758"/>
      <c r="J302" s="758"/>
      <c r="K302" s="758"/>
      <c r="L302" s="758"/>
      <c r="M302" s="758"/>
      <c r="N302" s="758"/>
      <c r="O302" s="758"/>
      <c r="P302" s="758"/>
      <c r="Q302" s="758"/>
      <c r="R302" s="758"/>
      <c r="S302" s="758"/>
      <c r="T302" s="758"/>
      <c r="U302" s="758"/>
      <c r="V302" s="758"/>
    </row>
    <row r="303" spans="3:22">
      <c r="C303" s="758"/>
      <c r="D303" s="758"/>
      <c r="E303" s="758"/>
      <c r="F303" s="758"/>
      <c r="G303" s="758"/>
      <c r="H303" s="758"/>
      <c r="I303" s="758"/>
      <c r="J303" s="758"/>
      <c r="K303" s="758"/>
      <c r="L303" s="758"/>
      <c r="M303" s="758"/>
      <c r="N303" s="758"/>
      <c r="O303" s="758"/>
      <c r="P303" s="758"/>
      <c r="Q303" s="758"/>
      <c r="R303" s="758"/>
      <c r="S303" s="758"/>
      <c r="T303" s="758"/>
      <c r="U303" s="758"/>
      <c r="V303" s="758"/>
    </row>
    <row r="304" spans="3:22">
      <c r="C304" s="758"/>
      <c r="D304" s="758"/>
      <c r="E304" s="758"/>
      <c r="F304" s="758"/>
      <c r="G304" s="758"/>
      <c r="H304" s="758"/>
      <c r="I304" s="758"/>
      <c r="J304" s="758"/>
      <c r="K304" s="758"/>
      <c r="L304" s="758"/>
      <c r="M304" s="758"/>
      <c r="N304" s="758"/>
      <c r="O304" s="758"/>
      <c r="P304" s="758"/>
      <c r="Q304" s="758"/>
      <c r="R304" s="758"/>
      <c r="S304" s="758"/>
      <c r="T304" s="758"/>
      <c r="U304" s="758"/>
      <c r="V304" s="758"/>
    </row>
    <row r="305" spans="3:22">
      <c r="C305" s="758"/>
      <c r="D305" s="758"/>
      <c r="E305" s="758"/>
      <c r="F305" s="758"/>
      <c r="G305" s="758"/>
      <c r="H305" s="758"/>
      <c r="I305" s="758"/>
      <c r="J305" s="758"/>
      <c r="K305" s="758"/>
      <c r="L305" s="758"/>
      <c r="M305" s="758"/>
      <c r="N305" s="758"/>
      <c r="O305" s="758"/>
      <c r="P305" s="758"/>
      <c r="Q305" s="758"/>
      <c r="R305" s="758"/>
      <c r="S305" s="758"/>
      <c r="T305" s="758"/>
      <c r="U305" s="758"/>
      <c r="V305" s="758"/>
    </row>
    <row r="306" spans="3:22">
      <c r="C306" s="758"/>
      <c r="D306" s="758"/>
      <c r="E306" s="758"/>
      <c r="F306" s="758"/>
      <c r="G306" s="758"/>
      <c r="H306" s="758"/>
      <c r="I306" s="758"/>
      <c r="J306" s="758"/>
      <c r="K306" s="758"/>
      <c r="L306" s="758"/>
      <c r="M306" s="758"/>
      <c r="N306" s="758"/>
      <c r="O306" s="758"/>
      <c r="P306" s="758"/>
      <c r="Q306" s="758"/>
      <c r="R306" s="758"/>
      <c r="S306" s="758"/>
      <c r="T306" s="758"/>
      <c r="U306" s="758"/>
      <c r="V306" s="758"/>
    </row>
    <row r="307" spans="3:22">
      <c r="C307" s="758"/>
      <c r="D307" s="758"/>
      <c r="E307" s="758"/>
      <c r="F307" s="758"/>
      <c r="G307" s="758"/>
      <c r="H307" s="758"/>
      <c r="I307" s="758"/>
      <c r="J307" s="758"/>
      <c r="K307" s="758"/>
      <c r="L307" s="758"/>
      <c r="M307" s="758"/>
      <c r="N307" s="758"/>
      <c r="O307" s="758"/>
      <c r="P307" s="758"/>
      <c r="Q307" s="758"/>
      <c r="R307" s="758"/>
      <c r="S307" s="758"/>
      <c r="T307" s="758"/>
      <c r="U307" s="758"/>
      <c r="V307" s="758"/>
    </row>
    <row r="308" spans="3:22">
      <c r="C308" s="758"/>
      <c r="D308" s="758"/>
      <c r="E308" s="758"/>
      <c r="F308" s="758"/>
      <c r="G308" s="758"/>
      <c r="H308" s="758"/>
      <c r="I308" s="758"/>
      <c r="J308" s="758"/>
      <c r="K308" s="758"/>
      <c r="L308" s="758"/>
      <c r="M308" s="758"/>
      <c r="N308" s="758"/>
      <c r="O308" s="758"/>
      <c r="P308" s="758"/>
      <c r="Q308" s="758"/>
      <c r="R308" s="758"/>
      <c r="S308" s="758"/>
      <c r="T308" s="758"/>
      <c r="U308" s="758"/>
      <c r="V308" s="758"/>
    </row>
    <row r="309" spans="3:22">
      <c r="C309" s="758"/>
      <c r="D309" s="758"/>
      <c r="E309" s="758"/>
      <c r="F309" s="758"/>
      <c r="G309" s="758"/>
      <c r="H309" s="758"/>
      <c r="I309" s="758"/>
      <c r="J309" s="758"/>
      <c r="K309" s="758"/>
      <c r="L309" s="758"/>
      <c r="M309" s="758"/>
      <c r="N309" s="758"/>
      <c r="O309" s="758"/>
      <c r="P309" s="758"/>
      <c r="Q309" s="758"/>
      <c r="R309" s="758"/>
      <c r="S309" s="758"/>
      <c r="T309" s="758"/>
      <c r="U309" s="758"/>
      <c r="V309" s="758"/>
    </row>
    <row r="310" spans="3:22">
      <c r="C310" s="758"/>
      <c r="D310" s="758"/>
      <c r="E310" s="758"/>
      <c r="F310" s="758"/>
      <c r="G310" s="758"/>
      <c r="H310" s="758"/>
      <c r="I310" s="758"/>
      <c r="J310" s="758"/>
      <c r="K310" s="758"/>
      <c r="L310" s="758"/>
      <c r="M310" s="758"/>
      <c r="N310" s="758"/>
      <c r="O310" s="758"/>
      <c r="P310" s="758"/>
      <c r="Q310" s="758"/>
      <c r="R310" s="758"/>
      <c r="S310" s="758"/>
      <c r="T310" s="758"/>
      <c r="U310" s="758"/>
      <c r="V310" s="758"/>
    </row>
    <row r="311" spans="3:22">
      <c r="C311" s="758"/>
      <c r="D311" s="758"/>
      <c r="E311" s="758"/>
      <c r="F311" s="758"/>
      <c r="G311" s="758"/>
      <c r="H311" s="758"/>
      <c r="I311" s="758"/>
      <c r="J311" s="758"/>
      <c r="K311" s="758"/>
      <c r="L311" s="758"/>
      <c r="M311" s="758"/>
      <c r="N311" s="758"/>
      <c r="O311" s="758"/>
      <c r="P311" s="758"/>
      <c r="Q311" s="758"/>
      <c r="R311" s="758"/>
      <c r="S311" s="758"/>
      <c r="T311" s="758"/>
      <c r="U311" s="758"/>
      <c r="V311" s="758"/>
    </row>
    <row r="312" spans="3:22">
      <c r="C312" s="758"/>
      <c r="D312" s="758"/>
      <c r="E312" s="758"/>
      <c r="F312" s="758"/>
      <c r="G312" s="758"/>
      <c r="H312" s="758"/>
      <c r="I312" s="758"/>
      <c r="J312" s="758"/>
      <c r="K312" s="758"/>
      <c r="L312" s="758"/>
      <c r="M312" s="758"/>
      <c r="N312" s="758"/>
      <c r="O312" s="758"/>
      <c r="P312" s="758"/>
      <c r="Q312" s="758"/>
      <c r="R312" s="758"/>
      <c r="S312" s="758"/>
      <c r="T312" s="758"/>
      <c r="U312" s="758"/>
      <c r="V312" s="758"/>
    </row>
    <row r="313" spans="3:22">
      <c r="C313" s="758"/>
      <c r="D313" s="758"/>
      <c r="E313" s="758"/>
      <c r="F313" s="758"/>
      <c r="G313" s="758"/>
      <c r="H313" s="758"/>
      <c r="I313" s="758"/>
      <c r="J313" s="758"/>
      <c r="K313" s="758"/>
      <c r="L313" s="758"/>
      <c r="M313" s="758"/>
      <c r="N313" s="758"/>
      <c r="O313" s="758"/>
      <c r="P313" s="758"/>
      <c r="Q313" s="758"/>
      <c r="R313" s="758"/>
      <c r="S313" s="758"/>
      <c r="T313" s="758"/>
      <c r="U313" s="758"/>
      <c r="V313" s="758"/>
    </row>
    <row r="314" spans="3:22">
      <c r="C314" s="758"/>
      <c r="D314" s="758"/>
      <c r="E314" s="758"/>
      <c r="F314" s="758"/>
      <c r="G314" s="758"/>
      <c r="H314" s="758"/>
      <c r="I314" s="758"/>
      <c r="J314" s="758"/>
      <c r="K314" s="758"/>
      <c r="L314" s="758"/>
      <c r="M314" s="758"/>
      <c r="N314" s="758"/>
      <c r="O314" s="758"/>
      <c r="P314" s="758"/>
      <c r="Q314" s="758"/>
      <c r="R314" s="758"/>
      <c r="S314" s="758"/>
      <c r="T314" s="758"/>
      <c r="U314" s="758"/>
      <c r="V314" s="758"/>
    </row>
    <row r="315" spans="3:22">
      <c r="C315" s="758"/>
      <c r="D315" s="758"/>
      <c r="E315" s="758"/>
      <c r="F315" s="758"/>
      <c r="G315" s="758"/>
      <c r="H315" s="758"/>
      <c r="I315" s="758"/>
      <c r="J315" s="758"/>
      <c r="K315" s="758"/>
      <c r="L315" s="758"/>
      <c r="M315" s="758"/>
      <c r="N315" s="758"/>
      <c r="O315" s="758"/>
      <c r="P315" s="758"/>
      <c r="Q315" s="758"/>
      <c r="R315" s="758"/>
      <c r="S315" s="758"/>
      <c r="T315" s="758"/>
      <c r="U315" s="758"/>
      <c r="V315" s="758"/>
    </row>
    <row r="316" spans="3:22">
      <c r="C316" s="758"/>
      <c r="D316" s="758"/>
      <c r="E316" s="758"/>
      <c r="F316" s="758"/>
      <c r="G316" s="758"/>
      <c r="H316" s="758"/>
      <c r="I316" s="758"/>
      <c r="J316" s="758"/>
      <c r="K316" s="758"/>
      <c r="L316" s="758"/>
      <c r="M316" s="758"/>
      <c r="N316" s="758"/>
      <c r="O316" s="758"/>
      <c r="P316" s="758"/>
      <c r="Q316" s="758"/>
      <c r="R316" s="758"/>
      <c r="S316" s="758"/>
      <c r="T316" s="758"/>
      <c r="U316" s="758"/>
      <c r="V316" s="758"/>
    </row>
    <row r="317" spans="3:22">
      <c r="C317" s="758"/>
      <c r="D317" s="758"/>
      <c r="E317" s="758"/>
      <c r="F317" s="758"/>
      <c r="G317" s="758"/>
      <c r="H317" s="758"/>
      <c r="I317" s="758"/>
      <c r="J317" s="758"/>
      <c r="K317" s="758"/>
      <c r="L317" s="758"/>
      <c r="M317" s="758"/>
      <c r="N317" s="758"/>
      <c r="O317" s="758"/>
      <c r="P317" s="758"/>
      <c r="Q317" s="758"/>
      <c r="R317" s="758"/>
      <c r="S317" s="758"/>
      <c r="T317" s="758"/>
      <c r="U317" s="758"/>
      <c r="V317" s="758"/>
    </row>
    <row r="318" spans="3:22">
      <c r="C318" s="758"/>
      <c r="D318" s="758"/>
      <c r="E318" s="758"/>
      <c r="F318" s="758"/>
      <c r="G318" s="758"/>
      <c r="H318" s="758"/>
      <c r="I318" s="758"/>
      <c r="J318" s="758"/>
      <c r="K318" s="758"/>
      <c r="L318" s="758"/>
      <c r="M318" s="758"/>
      <c r="N318" s="758"/>
      <c r="O318" s="758"/>
      <c r="P318" s="758"/>
      <c r="Q318" s="758"/>
      <c r="R318" s="758"/>
      <c r="S318" s="758"/>
      <c r="T318" s="758"/>
      <c r="U318" s="758"/>
      <c r="V318" s="758"/>
    </row>
    <row r="319" spans="3:22">
      <c r="C319" s="758"/>
      <c r="D319" s="758"/>
      <c r="E319" s="758"/>
      <c r="F319" s="758"/>
      <c r="G319" s="758"/>
      <c r="H319" s="758"/>
      <c r="I319" s="758"/>
      <c r="J319" s="758"/>
      <c r="K319" s="758"/>
      <c r="L319" s="758"/>
      <c r="M319" s="758"/>
      <c r="N319" s="758"/>
      <c r="O319" s="758"/>
      <c r="P319" s="758"/>
      <c r="Q319" s="758"/>
      <c r="R319" s="758"/>
      <c r="S319" s="758"/>
      <c r="T319" s="758"/>
      <c r="U319" s="758"/>
      <c r="V319" s="758"/>
    </row>
    <row r="320" spans="3:22">
      <c r="C320" s="758"/>
      <c r="D320" s="758"/>
      <c r="E320" s="758"/>
      <c r="F320" s="758"/>
      <c r="G320" s="758"/>
      <c r="H320" s="758"/>
      <c r="I320" s="758"/>
      <c r="J320" s="758"/>
      <c r="K320" s="758"/>
      <c r="L320" s="758"/>
      <c r="M320" s="758"/>
      <c r="N320" s="758"/>
      <c r="O320" s="758"/>
      <c r="P320" s="758"/>
      <c r="Q320" s="758"/>
      <c r="R320" s="758"/>
      <c r="S320" s="758"/>
      <c r="T320" s="758"/>
      <c r="U320" s="758"/>
      <c r="V320" s="758"/>
    </row>
    <row r="321" spans="3:22">
      <c r="C321" s="758"/>
      <c r="D321" s="758"/>
      <c r="E321" s="758"/>
      <c r="F321" s="758"/>
      <c r="G321" s="758"/>
      <c r="H321" s="758"/>
      <c r="I321" s="758"/>
      <c r="J321" s="758"/>
      <c r="K321" s="758"/>
      <c r="L321" s="758"/>
      <c r="M321" s="758"/>
      <c r="N321" s="758"/>
      <c r="O321" s="758"/>
      <c r="P321" s="758"/>
      <c r="Q321" s="758"/>
      <c r="R321" s="758"/>
      <c r="S321" s="758"/>
      <c r="T321" s="758"/>
      <c r="U321" s="758"/>
      <c r="V321" s="758"/>
    </row>
    <row r="322" spans="3:22">
      <c r="C322" s="758"/>
      <c r="D322" s="758"/>
      <c r="E322" s="758"/>
      <c r="F322" s="758"/>
      <c r="G322" s="758"/>
      <c r="H322" s="758"/>
      <c r="I322" s="758"/>
      <c r="J322" s="758"/>
      <c r="K322" s="758"/>
      <c r="L322" s="758"/>
      <c r="M322" s="758"/>
      <c r="N322" s="758"/>
      <c r="O322" s="758"/>
      <c r="P322" s="758"/>
      <c r="Q322" s="758"/>
      <c r="R322" s="758"/>
      <c r="S322" s="758"/>
      <c r="T322" s="758"/>
      <c r="U322" s="758"/>
      <c r="V322" s="758"/>
    </row>
    <row r="323" spans="3:22">
      <c r="C323" s="758"/>
      <c r="D323" s="758"/>
      <c r="E323" s="758"/>
      <c r="F323" s="758"/>
      <c r="G323" s="758"/>
      <c r="H323" s="758"/>
      <c r="I323" s="758"/>
      <c r="J323" s="758"/>
      <c r="K323" s="758"/>
      <c r="L323" s="758"/>
      <c r="M323" s="758"/>
      <c r="N323" s="758"/>
      <c r="O323" s="758"/>
      <c r="P323" s="758"/>
      <c r="Q323" s="758"/>
      <c r="R323" s="758"/>
      <c r="S323" s="758"/>
      <c r="T323" s="758"/>
      <c r="U323" s="758"/>
      <c r="V323" s="758"/>
    </row>
    <row r="324" spans="3:22">
      <c r="C324" s="758"/>
      <c r="D324" s="758"/>
      <c r="E324" s="758"/>
      <c r="F324" s="758"/>
      <c r="G324" s="758"/>
      <c r="H324" s="758"/>
      <c r="I324" s="758"/>
      <c r="J324" s="758"/>
      <c r="K324" s="758"/>
      <c r="L324" s="758"/>
      <c r="M324" s="758"/>
      <c r="N324" s="758"/>
      <c r="O324" s="758"/>
      <c r="P324" s="758"/>
      <c r="Q324" s="758"/>
      <c r="R324" s="758"/>
      <c r="S324" s="758"/>
      <c r="T324" s="758"/>
      <c r="U324" s="758"/>
      <c r="V324" s="758"/>
    </row>
    <row r="325" spans="3:22">
      <c r="C325" s="758"/>
      <c r="D325" s="758"/>
      <c r="E325" s="758"/>
      <c r="F325" s="758"/>
      <c r="G325" s="758"/>
      <c r="H325" s="758"/>
      <c r="I325" s="758"/>
      <c r="J325" s="758"/>
      <c r="K325" s="758"/>
      <c r="L325" s="758"/>
      <c r="M325" s="758"/>
      <c r="N325" s="758"/>
      <c r="O325" s="758"/>
      <c r="P325" s="758"/>
      <c r="Q325" s="758"/>
      <c r="R325" s="758"/>
      <c r="S325" s="758"/>
      <c r="T325" s="758"/>
      <c r="U325" s="758"/>
      <c r="V325" s="758"/>
    </row>
    <row r="326" spans="3:22">
      <c r="C326" s="758"/>
      <c r="D326" s="758"/>
      <c r="E326" s="758"/>
      <c r="F326" s="758"/>
      <c r="G326" s="758"/>
      <c r="H326" s="758"/>
      <c r="I326" s="758"/>
      <c r="J326" s="758"/>
      <c r="K326" s="758"/>
      <c r="L326" s="758"/>
      <c r="M326" s="758"/>
      <c r="N326" s="758"/>
      <c r="O326" s="758"/>
      <c r="P326" s="758"/>
      <c r="Q326" s="758"/>
      <c r="R326" s="758"/>
      <c r="S326" s="758"/>
      <c r="T326" s="758"/>
      <c r="U326" s="758"/>
      <c r="V326" s="758"/>
    </row>
    <row r="327" spans="3:22">
      <c r="C327" s="758"/>
      <c r="D327" s="758"/>
      <c r="E327" s="758"/>
      <c r="F327" s="758"/>
      <c r="G327" s="758"/>
      <c r="H327" s="758"/>
      <c r="I327" s="758"/>
      <c r="J327" s="758"/>
      <c r="K327" s="758"/>
      <c r="L327" s="758"/>
      <c r="M327" s="758"/>
      <c r="N327" s="758"/>
      <c r="O327" s="758"/>
      <c r="P327" s="758"/>
      <c r="Q327" s="758"/>
      <c r="R327" s="758"/>
      <c r="S327" s="758"/>
      <c r="T327" s="758"/>
      <c r="U327" s="758"/>
      <c r="V327" s="758"/>
    </row>
    <row r="328" spans="3:22">
      <c r="C328" s="758"/>
      <c r="D328" s="758"/>
      <c r="E328" s="758"/>
      <c r="F328" s="758"/>
      <c r="G328" s="758"/>
      <c r="H328" s="758"/>
      <c r="I328" s="758"/>
      <c r="J328" s="758"/>
      <c r="K328" s="758"/>
      <c r="L328" s="758"/>
      <c r="M328" s="758"/>
      <c r="N328" s="758"/>
      <c r="O328" s="758"/>
      <c r="P328" s="758"/>
      <c r="Q328" s="758"/>
      <c r="R328" s="758"/>
      <c r="S328" s="758"/>
      <c r="T328" s="758"/>
      <c r="U328" s="758"/>
      <c r="V328" s="758"/>
    </row>
    <row r="329" spans="3:22">
      <c r="C329" s="758"/>
      <c r="D329" s="758"/>
      <c r="E329" s="758"/>
      <c r="F329" s="758"/>
      <c r="G329" s="758"/>
      <c r="H329" s="758"/>
      <c r="I329" s="758"/>
      <c r="J329" s="758"/>
      <c r="K329" s="758"/>
      <c r="L329" s="758"/>
      <c r="M329" s="758"/>
      <c r="N329" s="758"/>
      <c r="O329" s="758"/>
      <c r="P329" s="758"/>
      <c r="Q329" s="758"/>
      <c r="R329" s="758"/>
      <c r="S329" s="758"/>
      <c r="T329" s="758"/>
      <c r="U329" s="758"/>
      <c r="V329" s="758"/>
    </row>
    <row r="330" spans="3:22">
      <c r="C330" s="758"/>
      <c r="D330" s="758"/>
      <c r="E330" s="758"/>
      <c r="F330" s="758"/>
      <c r="G330" s="758"/>
      <c r="H330" s="758"/>
      <c r="I330" s="758"/>
      <c r="J330" s="758"/>
      <c r="K330" s="758"/>
      <c r="L330" s="758"/>
      <c r="M330" s="758"/>
      <c r="N330" s="758"/>
      <c r="O330" s="758"/>
      <c r="P330" s="758"/>
      <c r="Q330" s="758"/>
      <c r="R330" s="758"/>
      <c r="S330" s="758"/>
      <c r="T330" s="758"/>
      <c r="U330" s="758"/>
      <c r="V330" s="758"/>
    </row>
    <row r="331" spans="3:22">
      <c r="C331" s="758"/>
      <c r="D331" s="758"/>
      <c r="E331" s="758"/>
      <c r="F331" s="758"/>
      <c r="G331" s="758"/>
      <c r="H331" s="758"/>
      <c r="I331" s="758"/>
      <c r="J331" s="758"/>
      <c r="K331" s="758"/>
      <c r="L331" s="758"/>
      <c r="M331" s="758"/>
      <c r="N331" s="758"/>
      <c r="O331" s="758"/>
      <c r="P331" s="758"/>
      <c r="Q331" s="758"/>
      <c r="R331" s="758"/>
      <c r="S331" s="758"/>
      <c r="T331" s="758"/>
      <c r="U331" s="758"/>
      <c r="V331" s="758"/>
    </row>
    <row r="332" spans="3:22">
      <c r="C332" s="758"/>
      <c r="D332" s="758"/>
      <c r="E332" s="758"/>
      <c r="F332" s="758"/>
      <c r="G332" s="758"/>
      <c r="H332" s="758"/>
      <c r="I332" s="758"/>
      <c r="J332" s="758"/>
      <c r="K332" s="758"/>
      <c r="L332" s="758"/>
      <c r="M332" s="758"/>
      <c r="N332" s="758"/>
      <c r="O332" s="758"/>
      <c r="P332" s="758"/>
      <c r="Q332" s="758"/>
      <c r="R332" s="758"/>
      <c r="S332" s="758"/>
      <c r="T332" s="758"/>
      <c r="U332" s="758"/>
      <c r="V332" s="758"/>
    </row>
    <row r="333" spans="3:22">
      <c r="C333" s="758"/>
      <c r="D333" s="758"/>
      <c r="E333" s="758"/>
      <c r="F333" s="758"/>
      <c r="G333" s="758"/>
      <c r="H333" s="758"/>
      <c r="I333" s="758"/>
      <c r="J333" s="758"/>
      <c r="K333" s="758"/>
      <c r="L333" s="758"/>
      <c r="M333" s="758"/>
      <c r="N333" s="758"/>
      <c r="O333" s="758"/>
    </row>
    <row r="334" spans="3:22">
      <c r="C334" s="758"/>
      <c r="D334" s="758"/>
      <c r="E334" s="758"/>
      <c r="F334" s="758"/>
      <c r="G334" s="758"/>
      <c r="H334" s="758"/>
      <c r="I334" s="758"/>
      <c r="J334" s="758"/>
      <c r="K334" s="758"/>
      <c r="L334" s="758"/>
      <c r="M334" s="758"/>
      <c r="N334" s="758"/>
      <c r="O334" s="758"/>
    </row>
    <row r="335" spans="3:22">
      <c r="C335" s="758"/>
      <c r="D335" s="758"/>
      <c r="E335" s="758"/>
      <c r="F335" s="758"/>
      <c r="G335" s="758"/>
      <c r="H335" s="758"/>
      <c r="I335" s="758"/>
      <c r="J335" s="758"/>
      <c r="K335" s="758"/>
      <c r="L335" s="758"/>
      <c r="M335" s="758"/>
      <c r="N335" s="758"/>
      <c r="O335" s="758"/>
    </row>
    <row r="336" spans="3:22">
      <c r="C336" s="758"/>
      <c r="D336" s="758"/>
      <c r="E336" s="758"/>
      <c r="F336" s="758"/>
      <c r="G336" s="758"/>
      <c r="H336" s="758"/>
      <c r="I336" s="758"/>
      <c r="J336" s="758"/>
      <c r="K336" s="758"/>
      <c r="L336" s="758"/>
      <c r="M336" s="758"/>
      <c r="N336" s="758"/>
      <c r="O336" s="758"/>
    </row>
    <row r="337" spans="3:15">
      <c r="C337" s="758"/>
      <c r="D337" s="758"/>
      <c r="E337" s="758"/>
      <c r="F337" s="758"/>
      <c r="G337" s="758"/>
      <c r="H337" s="758"/>
      <c r="I337" s="758"/>
      <c r="J337" s="758"/>
      <c r="K337" s="758"/>
      <c r="L337" s="758"/>
      <c r="M337" s="758"/>
      <c r="N337" s="758"/>
      <c r="O337" s="758"/>
    </row>
    <row r="338" spans="3:15">
      <c r="C338" s="758"/>
      <c r="D338" s="758"/>
      <c r="E338" s="758"/>
      <c r="F338" s="758"/>
      <c r="G338" s="758"/>
      <c r="H338" s="758"/>
      <c r="I338" s="758"/>
      <c r="J338" s="758"/>
      <c r="K338" s="758"/>
      <c r="L338" s="758"/>
      <c r="M338" s="758"/>
      <c r="N338" s="758"/>
      <c r="O338" s="758"/>
    </row>
    <row r="339" spans="3:15">
      <c r="C339" s="758"/>
      <c r="D339" s="758"/>
      <c r="E339" s="758"/>
      <c r="F339" s="758"/>
      <c r="G339" s="758"/>
      <c r="H339" s="758"/>
      <c r="I339" s="758"/>
      <c r="J339" s="758"/>
      <c r="K339" s="758"/>
      <c r="L339" s="758"/>
      <c r="M339" s="758"/>
      <c r="N339" s="758"/>
      <c r="O339" s="758"/>
    </row>
    <row r="340" spans="3:15">
      <c r="C340" s="758"/>
      <c r="D340" s="758"/>
      <c r="E340" s="758"/>
      <c r="F340" s="758"/>
      <c r="G340" s="758"/>
      <c r="H340" s="758"/>
      <c r="I340" s="758"/>
      <c r="J340" s="758"/>
      <c r="K340" s="758"/>
      <c r="L340" s="758"/>
      <c r="M340" s="758"/>
      <c r="N340" s="758"/>
      <c r="O340" s="758"/>
    </row>
  </sheetData>
  <sortState xmlns:xlrd2="http://schemas.microsoft.com/office/spreadsheetml/2017/richdata2" ref="C75:D124">
    <sortCondition ref="D75:D124"/>
  </sortState>
  <mergeCells count="11">
    <mergeCell ref="C134:O134"/>
    <mergeCell ref="C135:O135"/>
    <mergeCell ref="C136:O136"/>
    <mergeCell ref="C137:O137"/>
    <mergeCell ref="C138:O138"/>
    <mergeCell ref="C139:O139"/>
    <mergeCell ref="C144:O144"/>
    <mergeCell ref="C140:O140"/>
    <mergeCell ref="C141:O141"/>
    <mergeCell ref="C142:O142"/>
    <mergeCell ref="C143:O143"/>
  </mergeCells>
  <printOptions horizontalCentered="1"/>
  <pageMargins left="0.32" right="0.3" top="0.77" bottom="0.75" header="0.5" footer="0.5"/>
  <pageSetup scale="33" fitToHeight="0" orientation="landscape" r:id="rId1"/>
  <headerFooter alignWithMargins="0">
    <oddFooter>&amp;RV32
EFF 01.01.22</oddFooter>
  </headerFooter>
  <rowBreaks count="1" manualBreakCount="1">
    <brk id="59"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8795D-F8DE-41C9-A8AD-49BA8083F89F}">
  <sheetPr codeName="Sheet15"/>
  <dimension ref="A1:BF139"/>
  <sheetViews>
    <sheetView showGridLines="0" zoomScale="85" zoomScaleNormal="85" zoomScaleSheetLayoutView="100" workbookViewId="0">
      <pane xSplit="3" ySplit="11" topLeftCell="AK12" activePane="bottomRight" state="frozen"/>
      <selection activeCell="C6" sqref="C6"/>
      <selection pane="topRight" activeCell="C6" sqref="C6"/>
      <selection pane="bottomLeft" activeCell="C6" sqref="C6"/>
      <selection pane="bottomRight" activeCell="A11" sqref="A11"/>
    </sheetView>
  </sheetViews>
  <sheetFormatPr defaultColWidth="9.140625" defaultRowHeight="12.75" outlineLevelRow="1"/>
  <cols>
    <col min="1" max="1" width="9.140625" style="82"/>
    <col min="2" max="2" width="21.28515625" style="82" customWidth="1"/>
    <col min="3" max="3" width="32.85546875" style="82" customWidth="1"/>
    <col min="4" max="55" width="13.85546875" style="82" customWidth="1"/>
    <col min="56" max="56" width="3.42578125" style="82" customWidth="1"/>
    <col min="57" max="58" width="13.85546875" style="82" customWidth="1"/>
    <col min="59" max="16384" width="9.140625" style="82"/>
  </cols>
  <sheetData>
    <row r="1" spans="1:58" s="429" customFormat="1" ht="15">
      <c r="C1" s="422"/>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c r="AL1" s="423"/>
      <c r="AM1" s="423"/>
      <c r="AN1" s="423"/>
      <c r="AO1" s="423"/>
      <c r="AP1" s="423"/>
      <c r="AQ1" s="423"/>
      <c r="AR1" s="423"/>
      <c r="AS1" s="423"/>
      <c r="AT1" s="423"/>
      <c r="AU1" s="423"/>
      <c r="AV1" s="423"/>
      <c r="AW1" s="423"/>
      <c r="AX1" s="423"/>
      <c r="AY1" s="423"/>
      <c r="AZ1" s="423"/>
      <c r="BA1" s="423"/>
      <c r="BB1" s="423"/>
      <c r="BC1" s="423"/>
    </row>
    <row r="2" spans="1:5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row>
    <row r="3" spans="1:58" s="136" customFormat="1" ht="18">
      <c r="B3" s="138" t="s">
        <v>560</v>
      </c>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row>
    <row r="4" spans="1:58">
      <c r="B4" s="87"/>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row>
    <row r="5" spans="1:58">
      <c r="B5" s="135" t="s">
        <v>559</v>
      </c>
      <c r="C5" s="503">
        <v>2026</v>
      </c>
      <c r="D5" s="133"/>
      <c r="E5" s="133"/>
      <c r="F5" s="133"/>
      <c r="G5" s="108"/>
      <c r="H5" s="133"/>
      <c r="I5" s="133"/>
      <c r="J5" s="133"/>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row>
    <row r="6" spans="1:58">
      <c r="B6" s="87"/>
      <c r="C6" s="133"/>
      <c r="D6" s="133"/>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208"/>
    </row>
    <row r="7" spans="1:58">
      <c r="B7" s="135" t="s">
        <v>558</v>
      </c>
      <c r="C7" s="134" t="s">
        <v>555</v>
      </c>
      <c r="D7" s="133"/>
      <c r="E7" s="133"/>
      <c r="F7" s="133"/>
      <c r="G7" s="108"/>
      <c r="H7" s="133"/>
      <c r="I7" s="133"/>
      <c r="J7" s="133"/>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row>
    <row r="8" spans="1:58">
      <c r="B8" s="87"/>
      <c r="C8" s="133"/>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208"/>
      <c r="BE8" s="83"/>
      <c r="BF8" s="83"/>
    </row>
    <row r="9" spans="1:58" s="433" customFormat="1">
      <c r="B9" s="131"/>
      <c r="C9" s="432" t="s">
        <v>557</v>
      </c>
      <c r="D9" s="431">
        <v>345</v>
      </c>
      <c r="E9" s="431">
        <v>352</v>
      </c>
      <c r="F9" s="431">
        <v>356</v>
      </c>
      <c r="G9" s="431">
        <v>1453</v>
      </c>
      <c r="H9" s="431">
        <v>1616</v>
      </c>
      <c r="I9" s="510">
        <v>2452</v>
      </c>
      <c r="J9" s="431">
        <v>2793</v>
      </c>
      <c r="K9" s="431">
        <v>2837</v>
      </c>
      <c r="L9" s="431">
        <v>1950</v>
      </c>
      <c r="M9" s="431">
        <v>2846</v>
      </c>
      <c r="N9" s="431">
        <v>3206</v>
      </c>
      <c r="O9" s="431">
        <v>3125</v>
      </c>
      <c r="P9" s="431">
        <v>3679</v>
      </c>
      <c r="Q9" s="431">
        <v>12284</v>
      </c>
      <c r="R9" s="431">
        <v>13103</v>
      </c>
      <c r="S9" s="431">
        <v>13769</v>
      </c>
      <c r="T9" s="431">
        <v>13784</v>
      </c>
      <c r="U9" s="431">
        <v>14925</v>
      </c>
      <c r="V9" s="431">
        <v>16494</v>
      </c>
      <c r="W9" s="431">
        <v>17064</v>
      </c>
      <c r="X9" s="431">
        <v>17525</v>
      </c>
      <c r="Y9" s="431">
        <v>17526</v>
      </c>
      <c r="Z9" s="431">
        <v>18665</v>
      </c>
      <c r="AA9" s="431">
        <v>18849</v>
      </c>
      <c r="AB9" s="431">
        <v>19145</v>
      </c>
      <c r="AC9" s="431">
        <v>19267</v>
      </c>
      <c r="AD9" s="431">
        <v>19246</v>
      </c>
      <c r="AE9" s="431">
        <v>19248</v>
      </c>
      <c r="AF9" s="431">
        <v>19265</v>
      </c>
      <c r="AG9" s="431">
        <v>19269</v>
      </c>
      <c r="AH9" s="431">
        <v>20625</v>
      </c>
      <c r="AI9" s="431">
        <v>22045</v>
      </c>
      <c r="AJ9" s="431">
        <v>22047</v>
      </c>
      <c r="AK9" s="431">
        <v>22048</v>
      </c>
      <c r="AL9" s="431">
        <v>22145</v>
      </c>
      <c r="AM9" s="431">
        <v>22146</v>
      </c>
      <c r="AN9" s="431">
        <v>21648</v>
      </c>
      <c r="AO9" s="431">
        <v>21812</v>
      </c>
      <c r="AP9" s="431">
        <v>21814</v>
      </c>
      <c r="AQ9" s="431">
        <v>22085</v>
      </c>
      <c r="AR9" s="431">
        <v>19146</v>
      </c>
      <c r="AS9" s="431">
        <v>18985</v>
      </c>
      <c r="AT9" s="431">
        <v>22225</v>
      </c>
      <c r="AU9" s="431">
        <v>24445</v>
      </c>
      <c r="AV9" s="431">
        <v>25262</v>
      </c>
      <c r="AW9" s="431">
        <v>50036</v>
      </c>
      <c r="AX9" s="431">
        <v>22049</v>
      </c>
      <c r="AY9" s="431"/>
      <c r="AZ9" s="431"/>
      <c r="BA9" s="431"/>
      <c r="BB9" s="431"/>
      <c r="BC9" s="431"/>
      <c r="BD9" s="434"/>
      <c r="BE9" s="83"/>
      <c r="BF9" s="83"/>
    </row>
    <row r="10" spans="1:58">
      <c r="B10" s="131"/>
      <c r="C10" s="130" t="s">
        <v>556</v>
      </c>
      <c r="D10" s="129" t="s">
        <v>555</v>
      </c>
      <c r="E10" s="129" t="s">
        <v>555</v>
      </c>
      <c r="F10" s="129" t="s">
        <v>555</v>
      </c>
      <c r="G10" s="129" t="s">
        <v>555</v>
      </c>
      <c r="H10" s="129" t="s">
        <v>555</v>
      </c>
      <c r="I10" s="129" t="s">
        <v>555</v>
      </c>
      <c r="J10" s="129" t="s">
        <v>555</v>
      </c>
      <c r="K10" s="129" t="s">
        <v>555</v>
      </c>
      <c r="L10" s="129" t="s">
        <v>555</v>
      </c>
      <c r="M10" s="129" t="s">
        <v>555</v>
      </c>
      <c r="N10" s="129" t="s">
        <v>555</v>
      </c>
      <c r="O10" s="129" t="s">
        <v>555</v>
      </c>
      <c r="P10" s="129" t="s">
        <v>555</v>
      </c>
      <c r="Q10" s="129" t="s">
        <v>555</v>
      </c>
      <c r="R10" s="129" t="s">
        <v>555</v>
      </c>
      <c r="S10" s="129" t="s">
        <v>555</v>
      </c>
      <c r="T10" s="129" t="s">
        <v>555</v>
      </c>
      <c r="U10" s="129" t="s">
        <v>555</v>
      </c>
      <c r="V10" s="129" t="s">
        <v>555</v>
      </c>
      <c r="W10" s="129" t="s">
        <v>555</v>
      </c>
      <c r="X10" s="129" t="s">
        <v>555</v>
      </c>
      <c r="Y10" s="129" t="s">
        <v>555</v>
      </c>
      <c r="Z10" s="129" t="s">
        <v>555</v>
      </c>
      <c r="AA10" s="129" t="s">
        <v>555</v>
      </c>
      <c r="AB10" s="129" t="s">
        <v>555</v>
      </c>
      <c r="AC10" s="129" t="s">
        <v>555</v>
      </c>
      <c r="AD10" s="129" t="s">
        <v>555</v>
      </c>
      <c r="AE10" s="129" t="s">
        <v>555</v>
      </c>
      <c r="AF10" s="129" t="s">
        <v>555</v>
      </c>
      <c r="AG10" s="129" t="s">
        <v>555</v>
      </c>
      <c r="AH10" s="129" t="s">
        <v>555</v>
      </c>
      <c r="AI10" s="129" t="s">
        <v>555</v>
      </c>
      <c r="AJ10" s="129" t="s">
        <v>555</v>
      </c>
      <c r="AK10" s="129" t="s">
        <v>555</v>
      </c>
      <c r="AL10" s="129" t="s">
        <v>555</v>
      </c>
      <c r="AM10" s="129" t="s">
        <v>555</v>
      </c>
      <c r="AN10" s="129" t="s">
        <v>555</v>
      </c>
      <c r="AO10" s="129" t="s">
        <v>555</v>
      </c>
      <c r="AP10" s="129" t="s">
        <v>555</v>
      </c>
      <c r="AQ10" s="129" t="s">
        <v>555</v>
      </c>
      <c r="AR10" s="129" t="s">
        <v>555</v>
      </c>
      <c r="AS10" s="129" t="s">
        <v>555</v>
      </c>
      <c r="AT10" s="129" t="s">
        <v>555</v>
      </c>
      <c r="AU10" s="129" t="s">
        <v>555</v>
      </c>
      <c r="AV10" s="129" t="s">
        <v>555</v>
      </c>
      <c r="AW10" s="129" t="s">
        <v>555</v>
      </c>
      <c r="AX10" s="129" t="s">
        <v>555</v>
      </c>
      <c r="AY10" s="129" t="s">
        <v>555</v>
      </c>
      <c r="AZ10" s="129" t="s">
        <v>555</v>
      </c>
      <c r="BA10" s="129" t="s">
        <v>555</v>
      </c>
      <c r="BB10" s="129" t="s">
        <v>555</v>
      </c>
      <c r="BC10" s="129" t="s">
        <v>555</v>
      </c>
      <c r="BD10" s="411"/>
      <c r="BE10" s="83"/>
      <c r="BF10" s="83"/>
    </row>
    <row r="11" spans="1:58" ht="15" customHeight="1">
      <c r="A11"/>
      <c r="B11" s="131"/>
      <c r="C11" s="130" t="s">
        <v>554</v>
      </c>
      <c r="D11" s="129" t="s">
        <v>553</v>
      </c>
      <c r="E11" s="129" t="s">
        <v>553</v>
      </c>
      <c r="F11" s="129" t="s">
        <v>553</v>
      </c>
      <c r="G11" s="129" t="s">
        <v>553</v>
      </c>
      <c r="H11" s="129" t="s">
        <v>848</v>
      </c>
      <c r="I11" s="129" t="s">
        <v>848</v>
      </c>
      <c r="J11" s="129" t="s">
        <v>848</v>
      </c>
      <c r="K11" s="129" t="s">
        <v>848</v>
      </c>
      <c r="L11" s="129" t="s">
        <v>553</v>
      </c>
      <c r="M11" s="129" t="s">
        <v>553</v>
      </c>
      <c r="N11" s="129" t="s">
        <v>553</v>
      </c>
      <c r="O11" s="129" t="s">
        <v>553</v>
      </c>
      <c r="P11" s="129" t="s">
        <v>553</v>
      </c>
      <c r="Q11" s="129" t="s">
        <v>848</v>
      </c>
      <c r="R11" s="129" t="s">
        <v>848</v>
      </c>
      <c r="S11" s="129" t="s">
        <v>848</v>
      </c>
      <c r="T11" s="129" t="s">
        <v>848</v>
      </c>
      <c r="U11" s="129" t="s">
        <v>848</v>
      </c>
      <c r="V11" s="129" t="s">
        <v>848</v>
      </c>
      <c r="W11" s="129" t="s">
        <v>848</v>
      </c>
      <c r="X11" s="129" t="s">
        <v>848</v>
      </c>
      <c r="Y11" s="129" t="s">
        <v>848</v>
      </c>
      <c r="Z11" s="129" t="s">
        <v>848</v>
      </c>
      <c r="AA11" s="129" t="s">
        <v>848</v>
      </c>
      <c r="AB11" s="129" t="s">
        <v>848</v>
      </c>
      <c r="AC11" s="129" t="s">
        <v>848</v>
      </c>
      <c r="AD11" s="129" t="s">
        <v>848</v>
      </c>
      <c r="AE11" s="129" t="s">
        <v>848</v>
      </c>
      <c r="AF11" s="129" t="s">
        <v>848</v>
      </c>
      <c r="AG11" s="129" t="s">
        <v>848</v>
      </c>
      <c r="AH11" s="129" t="s">
        <v>848</v>
      </c>
      <c r="AI11" s="129" t="s">
        <v>848</v>
      </c>
      <c r="AJ11" s="129" t="s">
        <v>848</v>
      </c>
      <c r="AK11" s="129" t="s">
        <v>848</v>
      </c>
      <c r="AL11" s="129" t="s">
        <v>848</v>
      </c>
      <c r="AM11" s="129" t="s">
        <v>848</v>
      </c>
      <c r="AN11" s="129" t="s">
        <v>848</v>
      </c>
      <c r="AO11" s="129" t="s">
        <v>848</v>
      </c>
      <c r="AP11" s="129" t="s">
        <v>848</v>
      </c>
      <c r="AQ11" s="129" t="s">
        <v>848</v>
      </c>
      <c r="AR11" s="129" t="s">
        <v>848</v>
      </c>
      <c r="AS11" s="129" t="s">
        <v>848</v>
      </c>
      <c r="AT11" s="129" t="s">
        <v>848</v>
      </c>
      <c r="AU11" s="129" t="s">
        <v>848</v>
      </c>
      <c r="AV11" s="129" t="s">
        <v>848</v>
      </c>
      <c r="AW11" s="129" t="s">
        <v>848</v>
      </c>
      <c r="AX11" s="129" t="s">
        <v>848</v>
      </c>
      <c r="AY11" s="129" t="s">
        <v>848</v>
      </c>
      <c r="AZ11" s="129" t="s">
        <v>848</v>
      </c>
      <c r="BA11" s="129" t="s">
        <v>848</v>
      </c>
      <c r="BB11" s="129" t="s">
        <v>848</v>
      </c>
      <c r="BC11" s="129" t="s">
        <v>848</v>
      </c>
      <c r="BD11" s="411"/>
      <c r="BE11" s="83"/>
      <c r="BF11" s="83"/>
    </row>
    <row r="12" spans="1:58">
      <c r="B12" s="128" t="s">
        <v>552</v>
      </c>
      <c r="C12" s="555">
        <v>45992</v>
      </c>
      <c r="D12" s="95">
        <f t="shared" ref="D12:D24" si="0">D76+D91</f>
        <v>141489622.5</v>
      </c>
      <c r="E12" s="96">
        <f t="shared" ref="E12:Z24" si="1">E76+E91</f>
        <v>88185651.480000004</v>
      </c>
      <c r="F12" s="95">
        <f t="shared" si="1"/>
        <v>140831065.20999998</v>
      </c>
      <c r="G12" s="96">
        <f t="shared" si="1"/>
        <v>8744623.370000001</v>
      </c>
      <c r="H12" s="95">
        <f t="shared" si="1"/>
        <v>1259092.6949999998</v>
      </c>
      <c r="I12" s="96">
        <f t="shared" si="1"/>
        <v>1964606.76</v>
      </c>
      <c r="J12" s="95">
        <f t="shared" si="1"/>
        <v>14404.654999999999</v>
      </c>
      <c r="K12" s="96">
        <f t="shared" si="1"/>
        <v>313645.66500000004</v>
      </c>
      <c r="L12" s="95">
        <f t="shared" si="1"/>
        <v>14480989.640000001</v>
      </c>
      <c r="M12" s="96">
        <f t="shared" si="1"/>
        <v>120152855.73999999</v>
      </c>
      <c r="N12" s="97">
        <f t="shared" si="1"/>
        <v>25747209.859999999</v>
      </c>
      <c r="O12" s="96">
        <f t="shared" si="1"/>
        <v>26280956.880000003</v>
      </c>
      <c r="P12" s="95">
        <f t="shared" si="1"/>
        <v>226582493.37</v>
      </c>
      <c r="Q12" s="94">
        <f t="shared" si="1"/>
        <v>7445003.0549999997</v>
      </c>
      <c r="R12" s="95">
        <f t="shared" si="1"/>
        <v>19801267.055</v>
      </c>
      <c r="S12" s="94">
        <f t="shared" si="1"/>
        <v>8380624.4950000001</v>
      </c>
      <c r="T12" s="95">
        <f t="shared" si="1"/>
        <v>6619943.8700000001</v>
      </c>
      <c r="U12" s="94">
        <f t="shared" si="1"/>
        <v>2664959.21</v>
      </c>
      <c r="V12" s="95">
        <f t="shared" si="1"/>
        <v>216107.64499999999</v>
      </c>
      <c r="W12" s="94">
        <f t="shared" si="1"/>
        <v>52197.684999999998</v>
      </c>
      <c r="X12" s="95">
        <f t="shared" si="1"/>
        <v>7276440.8300000001</v>
      </c>
      <c r="Y12" s="94">
        <f t="shared" si="1"/>
        <v>539931.54499999993</v>
      </c>
      <c r="Z12" s="95">
        <f t="shared" si="1"/>
        <v>2437256.5649999999</v>
      </c>
      <c r="AA12" s="94">
        <f t="shared" ref="AA12:AU23" si="2">AA76+AA91</f>
        <v>3367348.1750000003</v>
      </c>
      <c r="AB12" s="95">
        <f t="shared" si="2"/>
        <v>6319203.1500000004</v>
      </c>
      <c r="AC12" s="94">
        <f t="shared" si="2"/>
        <v>66596.285000000003</v>
      </c>
      <c r="AD12" s="95">
        <f t="shared" si="2"/>
        <v>182733.29</v>
      </c>
      <c r="AE12" s="96">
        <f t="shared" si="2"/>
        <v>108109.07999999999</v>
      </c>
      <c r="AF12" s="95">
        <f t="shared" si="2"/>
        <v>1612837.5950000002</v>
      </c>
      <c r="AG12" s="96">
        <f t="shared" si="2"/>
        <v>237889.26500000001</v>
      </c>
      <c r="AH12" s="95">
        <f t="shared" si="2"/>
        <v>4540500.3250000002</v>
      </c>
      <c r="AI12" s="96">
        <f t="shared" si="2"/>
        <v>22439.57</v>
      </c>
      <c r="AJ12" s="95">
        <f t="shared" si="2"/>
        <v>637853.9</v>
      </c>
      <c r="AK12" s="96">
        <f t="shared" si="2"/>
        <v>42758.51</v>
      </c>
      <c r="AL12" s="95">
        <f t="shared" si="2"/>
        <v>2950549.8450000002</v>
      </c>
      <c r="AM12" s="96">
        <f t="shared" si="2"/>
        <v>1253009.645</v>
      </c>
      <c r="AN12" s="97">
        <f t="shared" si="2"/>
        <v>3277291.2050000001</v>
      </c>
      <c r="AO12" s="96">
        <f t="shared" si="2"/>
        <v>502255.58</v>
      </c>
      <c r="AP12" s="95">
        <f t="shared" si="2"/>
        <v>2806960.2150000003</v>
      </c>
      <c r="AQ12" s="94">
        <f t="shared" si="2"/>
        <v>0</v>
      </c>
      <c r="AR12" s="95">
        <f t="shared" ref="AR12:AT24" si="3">AR76+AR91</f>
        <v>7490843.4649999999</v>
      </c>
      <c r="AS12" s="94">
        <f t="shared" si="3"/>
        <v>16492424.640000001</v>
      </c>
      <c r="AT12" s="95">
        <f t="shared" si="3"/>
        <v>152679.815</v>
      </c>
      <c r="AU12" s="94">
        <f t="shared" si="2"/>
        <v>0</v>
      </c>
      <c r="AV12" s="95">
        <f t="shared" ref="AV12:AW12" si="4">AV76+AV91</f>
        <v>3370694.6399999997</v>
      </c>
      <c r="AW12" s="94">
        <f t="shared" si="4"/>
        <v>4411060.5599999996</v>
      </c>
      <c r="AX12" s="95">
        <f t="shared" ref="AX12:BA12" si="5">AX76+AX91</f>
        <v>0</v>
      </c>
      <c r="AY12" s="94">
        <f t="shared" si="5"/>
        <v>0</v>
      </c>
      <c r="AZ12" s="95">
        <f t="shared" si="5"/>
        <v>0</v>
      </c>
      <c r="BA12" s="94">
        <f t="shared" si="5"/>
        <v>0</v>
      </c>
      <c r="BB12" s="95">
        <f t="shared" ref="BB12:BC12" si="6">BB76+BB91</f>
        <v>0</v>
      </c>
      <c r="BC12" s="94">
        <f t="shared" si="6"/>
        <v>0</v>
      </c>
      <c r="BD12" s="412"/>
      <c r="BE12" s="83"/>
      <c r="BF12" s="83"/>
    </row>
    <row r="13" spans="1:58">
      <c r="B13" s="119" t="s">
        <v>551</v>
      </c>
      <c r="C13" s="556">
        <v>46023</v>
      </c>
      <c r="D13" s="89">
        <f t="shared" si="0"/>
        <v>141489622.5</v>
      </c>
      <c r="E13" s="90">
        <f t="shared" ref="E13:S13" si="7">E77+E92</f>
        <v>88185651.480000004</v>
      </c>
      <c r="F13" s="89">
        <f t="shared" si="7"/>
        <v>140831065.20999998</v>
      </c>
      <c r="G13" s="90">
        <f t="shared" si="7"/>
        <v>8744623.370000001</v>
      </c>
      <c r="H13" s="89">
        <f t="shared" si="7"/>
        <v>1259092.6949999998</v>
      </c>
      <c r="I13" s="90">
        <f t="shared" si="7"/>
        <v>1964606.76</v>
      </c>
      <c r="J13" s="89">
        <f t="shared" si="7"/>
        <v>14404.654999999999</v>
      </c>
      <c r="K13" s="90">
        <f t="shared" si="7"/>
        <v>313645.66500000004</v>
      </c>
      <c r="L13" s="89">
        <f t="shared" si="7"/>
        <v>14480989.640000001</v>
      </c>
      <c r="M13" s="90">
        <f t="shared" si="7"/>
        <v>120152855.73999999</v>
      </c>
      <c r="N13" s="91">
        <f t="shared" si="7"/>
        <v>25747209.859999999</v>
      </c>
      <c r="O13" s="90">
        <f t="shared" si="7"/>
        <v>26280956.880000003</v>
      </c>
      <c r="P13" s="89">
        <f t="shared" si="7"/>
        <v>226582493.37</v>
      </c>
      <c r="Q13" s="88">
        <f t="shared" si="7"/>
        <v>7445003.0549999997</v>
      </c>
      <c r="R13" s="89">
        <f t="shared" si="7"/>
        <v>19801267.055</v>
      </c>
      <c r="S13" s="88">
        <f t="shared" si="7"/>
        <v>8380624.4950000001</v>
      </c>
      <c r="T13" s="89">
        <f t="shared" si="1"/>
        <v>6619943.8700000001</v>
      </c>
      <c r="U13" s="88">
        <f t="shared" si="1"/>
        <v>2664959.21</v>
      </c>
      <c r="V13" s="89">
        <f t="shared" si="1"/>
        <v>216107.64499999999</v>
      </c>
      <c r="W13" s="88">
        <f t="shared" si="1"/>
        <v>52197.684999999998</v>
      </c>
      <c r="X13" s="89">
        <f t="shared" si="1"/>
        <v>7276440.8300000001</v>
      </c>
      <c r="Y13" s="88">
        <f t="shared" si="1"/>
        <v>539931.54499999993</v>
      </c>
      <c r="Z13" s="89">
        <f t="shared" si="1"/>
        <v>2437256.5649999999</v>
      </c>
      <c r="AA13" s="88">
        <f t="shared" si="2"/>
        <v>3367348.1750000003</v>
      </c>
      <c r="AB13" s="89">
        <f t="shared" si="2"/>
        <v>6319203.1500000004</v>
      </c>
      <c r="AC13" s="88">
        <f t="shared" si="2"/>
        <v>66596.285000000003</v>
      </c>
      <c r="AD13" s="89">
        <f t="shared" si="2"/>
        <v>182733.29</v>
      </c>
      <c r="AE13" s="90">
        <f t="shared" si="2"/>
        <v>108109.07999999999</v>
      </c>
      <c r="AF13" s="89">
        <f t="shared" si="2"/>
        <v>1612837.5950000002</v>
      </c>
      <c r="AG13" s="90">
        <f t="shared" si="2"/>
        <v>237889.26500000001</v>
      </c>
      <c r="AH13" s="89">
        <f t="shared" si="2"/>
        <v>4540500.3250000002</v>
      </c>
      <c r="AI13" s="90">
        <f t="shared" si="2"/>
        <v>22439.57</v>
      </c>
      <c r="AJ13" s="89">
        <f t="shared" si="2"/>
        <v>637853.9</v>
      </c>
      <c r="AK13" s="90">
        <f t="shared" si="2"/>
        <v>42758.51</v>
      </c>
      <c r="AL13" s="89">
        <f t="shared" si="2"/>
        <v>2950549.8450000002</v>
      </c>
      <c r="AM13" s="90">
        <f t="shared" si="2"/>
        <v>1253009.645</v>
      </c>
      <c r="AN13" s="91">
        <f t="shared" si="2"/>
        <v>3277291.2050000001</v>
      </c>
      <c r="AO13" s="90">
        <f t="shared" si="2"/>
        <v>502255.58</v>
      </c>
      <c r="AP13" s="89">
        <f t="shared" si="2"/>
        <v>2806960.2150000003</v>
      </c>
      <c r="AQ13" s="88">
        <f t="shared" si="2"/>
        <v>0</v>
      </c>
      <c r="AR13" s="89">
        <f t="shared" si="3"/>
        <v>7490843.4649999999</v>
      </c>
      <c r="AS13" s="88">
        <f t="shared" si="3"/>
        <v>16492424.640000001</v>
      </c>
      <c r="AT13" s="89">
        <f t="shared" si="3"/>
        <v>152679.815</v>
      </c>
      <c r="AU13" s="88">
        <f t="shared" si="2"/>
        <v>0</v>
      </c>
      <c r="AV13" s="89">
        <f t="shared" ref="AV13:AW13" si="8">AV77+AV92</f>
        <v>3370694.6399999997</v>
      </c>
      <c r="AW13" s="88">
        <f t="shared" si="8"/>
        <v>4411060.5599999996</v>
      </c>
      <c r="AX13" s="89">
        <f t="shared" ref="AX13:BA13" si="9">AX77+AX92</f>
        <v>0</v>
      </c>
      <c r="AY13" s="88">
        <f t="shared" si="9"/>
        <v>0</v>
      </c>
      <c r="AZ13" s="89">
        <f t="shared" si="9"/>
        <v>0</v>
      </c>
      <c r="BA13" s="88">
        <f t="shared" si="9"/>
        <v>0</v>
      </c>
      <c r="BB13" s="89">
        <f t="shared" ref="BB13:BC13" si="10">BB77+BB92</f>
        <v>0</v>
      </c>
      <c r="BC13" s="88">
        <f t="shared" si="10"/>
        <v>0</v>
      </c>
      <c r="BD13" s="412"/>
      <c r="BE13" s="83"/>
      <c r="BF13" s="83"/>
    </row>
    <row r="14" spans="1:58">
      <c r="B14" s="119"/>
      <c r="C14" s="557">
        <v>46054</v>
      </c>
      <c r="D14" s="89">
        <f t="shared" si="0"/>
        <v>141489622.5</v>
      </c>
      <c r="E14" s="90">
        <f t="shared" si="1"/>
        <v>88185651.480000004</v>
      </c>
      <c r="F14" s="89">
        <f t="shared" si="1"/>
        <v>140831065.20999998</v>
      </c>
      <c r="G14" s="90">
        <f t="shared" si="1"/>
        <v>8744623.370000001</v>
      </c>
      <c r="H14" s="89">
        <f t="shared" si="1"/>
        <v>1259092.6949999998</v>
      </c>
      <c r="I14" s="90">
        <f t="shared" si="1"/>
        <v>1964606.76</v>
      </c>
      <c r="J14" s="89">
        <f t="shared" si="1"/>
        <v>14404.654999999999</v>
      </c>
      <c r="K14" s="90">
        <f t="shared" si="1"/>
        <v>313645.66500000004</v>
      </c>
      <c r="L14" s="89">
        <f t="shared" si="1"/>
        <v>14480989.640000001</v>
      </c>
      <c r="M14" s="90">
        <f t="shared" si="1"/>
        <v>120152855.73999999</v>
      </c>
      <c r="N14" s="91">
        <f t="shared" si="1"/>
        <v>25747209.859999999</v>
      </c>
      <c r="O14" s="90">
        <f t="shared" si="1"/>
        <v>26280956.880000003</v>
      </c>
      <c r="P14" s="89">
        <f t="shared" si="1"/>
        <v>226582493.37</v>
      </c>
      <c r="Q14" s="88">
        <f t="shared" si="1"/>
        <v>7445003.0549999997</v>
      </c>
      <c r="R14" s="89">
        <f t="shared" si="1"/>
        <v>19801267.055</v>
      </c>
      <c r="S14" s="88">
        <f t="shared" si="1"/>
        <v>8380624.4950000001</v>
      </c>
      <c r="T14" s="89">
        <f t="shared" si="1"/>
        <v>6619943.8700000001</v>
      </c>
      <c r="U14" s="88">
        <f t="shared" si="1"/>
        <v>2664959.21</v>
      </c>
      <c r="V14" s="89">
        <f t="shared" si="1"/>
        <v>216107.64499999999</v>
      </c>
      <c r="W14" s="88">
        <f t="shared" si="1"/>
        <v>52197.684999999998</v>
      </c>
      <c r="X14" s="89">
        <f t="shared" si="1"/>
        <v>7276440.8300000001</v>
      </c>
      <c r="Y14" s="88">
        <f t="shared" si="1"/>
        <v>539931.54499999993</v>
      </c>
      <c r="Z14" s="89">
        <f t="shared" si="1"/>
        <v>2437256.5649999999</v>
      </c>
      <c r="AA14" s="88">
        <f t="shared" si="2"/>
        <v>3367348.1750000003</v>
      </c>
      <c r="AB14" s="89">
        <f t="shared" si="2"/>
        <v>6319203.1500000004</v>
      </c>
      <c r="AC14" s="88">
        <f t="shared" si="2"/>
        <v>66596.285000000003</v>
      </c>
      <c r="AD14" s="89">
        <f t="shared" si="2"/>
        <v>182733.29</v>
      </c>
      <c r="AE14" s="90">
        <f t="shared" si="2"/>
        <v>108109.07999999999</v>
      </c>
      <c r="AF14" s="89">
        <f t="shared" si="2"/>
        <v>1612837.5950000002</v>
      </c>
      <c r="AG14" s="90">
        <f t="shared" si="2"/>
        <v>237889.26500000001</v>
      </c>
      <c r="AH14" s="89">
        <f t="shared" si="2"/>
        <v>4540500.3250000002</v>
      </c>
      <c r="AI14" s="90">
        <f t="shared" si="2"/>
        <v>22439.57</v>
      </c>
      <c r="AJ14" s="89">
        <f t="shared" si="2"/>
        <v>637853.9</v>
      </c>
      <c r="AK14" s="90">
        <f t="shared" si="2"/>
        <v>42758.51</v>
      </c>
      <c r="AL14" s="89">
        <f t="shared" si="2"/>
        <v>2950549.8450000002</v>
      </c>
      <c r="AM14" s="90">
        <f t="shared" si="2"/>
        <v>1253009.645</v>
      </c>
      <c r="AN14" s="91">
        <f t="shared" si="2"/>
        <v>3277291.2050000001</v>
      </c>
      <c r="AO14" s="90">
        <f t="shared" si="2"/>
        <v>502255.58</v>
      </c>
      <c r="AP14" s="89">
        <f t="shared" si="2"/>
        <v>2806960.2150000003</v>
      </c>
      <c r="AQ14" s="88">
        <f t="shared" si="2"/>
        <v>0</v>
      </c>
      <c r="AR14" s="89">
        <f t="shared" si="3"/>
        <v>7490843.4649999999</v>
      </c>
      <c r="AS14" s="88">
        <f t="shared" si="3"/>
        <v>16492424.640000001</v>
      </c>
      <c r="AT14" s="89">
        <f t="shared" si="3"/>
        <v>152679.815</v>
      </c>
      <c r="AU14" s="88">
        <f t="shared" si="2"/>
        <v>0</v>
      </c>
      <c r="AV14" s="89">
        <f t="shared" ref="AV14:AW14" si="11">AV78+AV93</f>
        <v>3370694.6399999997</v>
      </c>
      <c r="AW14" s="88">
        <f t="shared" si="11"/>
        <v>4411060.5599999996</v>
      </c>
      <c r="AX14" s="89">
        <f t="shared" ref="AX14:BA14" si="12">AX78+AX93</f>
        <v>0</v>
      </c>
      <c r="AY14" s="88">
        <f t="shared" si="12"/>
        <v>0</v>
      </c>
      <c r="AZ14" s="89">
        <f t="shared" si="12"/>
        <v>0</v>
      </c>
      <c r="BA14" s="88">
        <f t="shared" si="12"/>
        <v>0</v>
      </c>
      <c r="BB14" s="89">
        <f t="shared" ref="BB14:BC14" si="13">BB78+BB93</f>
        <v>0</v>
      </c>
      <c r="BC14" s="88">
        <f t="shared" si="13"/>
        <v>0</v>
      </c>
      <c r="BD14" s="412"/>
      <c r="BE14" s="83"/>
      <c r="BF14" s="83"/>
    </row>
    <row r="15" spans="1:58">
      <c r="B15" s="119"/>
      <c r="C15" s="557">
        <v>46082</v>
      </c>
      <c r="D15" s="89">
        <f t="shared" si="0"/>
        <v>141489622.5</v>
      </c>
      <c r="E15" s="90">
        <f t="shared" si="1"/>
        <v>88185651.480000004</v>
      </c>
      <c r="F15" s="89">
        <f t="shared" si="1"/>
        <v>140831065.20999998</v>
      </c>
      <c r="G15" s="90">
        <f t="shared" si="1"/>
        <v>8744623.370000001</v>
      </c>
      <c r="H15" s="89">
        <f t="shared" si="1"/>
        <v>1259092.6949999998</v>
      </c>
      <c r="I15" s="90">
        <f t="shared" si="1"/>
        <v>1964606.76</v>
      </c>
      <c r="J15" s="89">
        <f t="shared" si="1"/>
        <v>14404.654999999999</v>
      </c>
      <c r="K15" s="90">
        <f t="shared" si="1"/>
        <v>313645.66500000004</v>
      </c>
      <c r="L15" s="89">
        <f t="shared" si="1"/>
        <v>14480989.640000001</v>
      </c>
      <c r="M15" s="90">
        <f t="shared" si="1"/>
        <v>120152855.73999999</v>
      </c>
      <c r="N15" s="91">
        <f t="shared" si="1"/>
        <v>25747209.859999999</v>
      </c>
      <c r="O15" s="90">
        <f t="shared" si="1"/>
        <v>26280956.880000003</v>
      </c>
      <c r="P15" s="89">
        <f t="shared" si="1"/>
        <v>226582493.37</v>
      </c>
      <c r="Q15" s="88">
        <f t="shared" si="1"/>
        <v>7445003.0549999997</v>
      </c>
      <c r="R15" s="89">
        <f t="shared" si="1"/>
        <v>19801267.055</v>
      </c>
      <c r="S15" s="88">
        <f t="shared" si="1"/>
        <v>8380624.4950000001</v>
      </c>
      <c r="T15" s="89">
        <f t="shared" si="1"/>
        <v>6619943.8700000001</v>
      </c>
      <c r="U15" s="88">
        <f t="shared" si="1"/>
        <v>2664959.21</v>
      </c>
      <c r="V15" s="89">
        <f t="shared" si="1"/>
        <v>216107.64499999999</v>
      </c>
      <c r="W15" s="88">
        <f t="shared" si="1"/>
        <v>52197.684999999998</v>
      </c>
      <c r="X15" s="89">
        <f t="shared" si="1"/>
        <v>7276440.8300000001</v>
      </c>
      <c r="Y15" s="88">
        <f t="shared" si="1"/>
        <v>539931.54499999993</v>
      </c>
      <c r="Z15" s="89">
        <f t="shared" si="1"/>
        <v>2437256.5649999999</v>
      </c>
      <c r="AA15" s="88">
        <f t="shared" si="2"/>
        <v>3367348.1750000003</v>
      </c>
      <c r="AB15" s="89">
        <f>AB79+AB94</f>
        <v>6319203.1500000004</v>
      </c>
      <c r="AC15" s="88">
        <f t="shared" si="2"/>
        <v>66596.285000000003</v>
      </c>
      <c r="AD15" s="89">
        <f t="shared" si="2"/>
        <v>182733.29</v>
      </c>
      <c r="AE15" s="90">
        <f t="shared" si="2"/>
        <v>108109.07999999999</v>
      </c>
      <c r="AF15" s="89">
        <f t="shared" si="2"/>
        <v>1612837.5950000002</v>
      </c>
      <c r="AG15" s="90">
        <f t="shared" si="2"/>
        <v>237889.26500000001</v>
      </c>
      <c r="AH15" s="89">
        <f t="shared" si="2"/>
        <v>4540500.3250000002</v>
      </c>
      <c r="AI15" s="90">
        <f t="shared" si="2"/>
        <v>22439.57</v>
      </c>
      <c r="AJ15" s="89">
        <f t="shared" si="2"/>
        <v>637853.9</v>
      </c>
      <c r="AK15" s="90">
        <f t="shared" si="2"/>
        <v>42758.51</v>
      </c>
      <c r="AL15" s="89">
        <f t="shared" si="2"/>
        <v>2950549.8450000002</v>
      </c>
      <c r="AM15" s="90">
        <f t="shared" si="2"/>
        <v>1253009.645</v>
      </c>
      <c r="AN15" s="91">
        <f t="shared" si="2"/>
        <v>3277291.2050000001</v>
      </c>
      <c r="AO15" s="90">
        <f t="shared" si="2"/>
        <v>502255.58</v>
      </c>
      <c r="AP15" s="89">
        <f t="shared" si="2"/>
        <v>2806960.2150000003</v>
      </c>
      <c r="AQ15" s="88">
        <f t="shared" si="2"/>
        <v>0</v>
      </c>
      <c r="AR15" s="89">
        <f t="shared" si="3"/>
        <v>7490843.4649999999</v>
      </c>
      <c r="AS15" s="88">
        <f t="shared" si="3"/>
        <v>16492424.640000001</v>
      </c>
      <c r="AT15" s="89">
        <f t="shared" si="3"/>
        <v>152679.815</v>
      </c>
      <c r="AU15" s="88">
        <f t="shared" si="2"/>
        <v>0</v>
      </c>
      <c r="AV15" s="89">
        <f t="shared" ref="AV15:AW15" si="14">AV79+AV94</f>
        <v>3370694.6399999997</v>
      </c>
      <c r="AW15" s="88">
        <f t="shared" si="14"/>
        <v>4411060.5599999996</v>
      </c>
      <c r="AX15" s="89">
        <f t="shared" ref="AX15:BA15" si="15">AX79+AX94</f>
        <v>0</v>
      </c>
      <c r="AY15" s="88">
        <f t="shared" si="15"/>
        <v>0</v>
      </c>
      <c r="AZ15" s="89">
        <f t="shared" si="15"/>
        <v>0</v>
      </c>
      <c r="BA15" s="88">
        <f t="shared" si="15"/>
        <v>0</v>
      </c>
      <c r="BB15" s="89">
        <f t="shared" ref="BB15:BC15" si="16">BB79+BB94</f>
        <v>0</v>
      </c>
      <c r="BC15" s="88">
        <f t="shared" si="16"/>
        <v>0</v>
      </c>
      <c r="BD15" s="412"/>
      <c r="BE15" s="83"/>
      <c r="BF15" s="83"/>
    </row>
    <row r="16" spans="1:58">
      <c r="B16" s="119"/>
      <c r="C16" s="557">
        <v>46113</v>
      </c>
      <c r="D16" s="89">
        <f t="shared" si="0"/>
        <v>141489622.5</v>
      </c>
      <c r="E16" s="90">
        <f t="shared" si="1"/>
        <v>88185651.480000004</v>
      </c>
      <c r="F16" s="89">
        <f t="shared" si="1"/>
        <v>140831065.20999998</v>
      </c>
      <c r="G16" s="90">
        <f t="shared" si="1"/>
        <v>8744623.370000001</v>
      </c>
      <c r="H16" s="89">
        <f t="shared" si="1"/>
        <v>1259092.6949999998</v>
      </c>
      <c r="I16" s="90">
        <f t="shared" si="1"/>
        <v>1964606.76</v>
      </c>
      <c r="J16" s="89">
        <f t="shared" si="1"/>
        <v>14404.654999999999</v>
      </c>
      <c r="K16" s="90">
        <f t="shared" si="1"/>
        <v>313645.66500000004</v>
      </c>
      <c r="L16" s="89">
        <f t="shared" si="1"/>
        <v>14480989.640000001</v>
      </c>
      <c r="M16" s="90">
        <f t="shared" si="1"/>
        <v>120152855.73999999</v>
      </c>
      <c r="N16" s="91">
        <f t="shared" si="1"/>
        <v>25747209.859999999</v>
      </c>
      <c r="O16" s="90">
        <f t="shared" si="1"/>
        <v>26280956.880000003</v>
      </c>
      <c r="P16" s="89">
        <f t="shared" si="1"/>
        <v>226582493.37</v>
      </c>
      <c r="Q16" s="88">
        <f t="shared" si="1"/>
        <v>7445003.0549999997</v>
      </c>
      <c r="R16" s="89">
        <f t="shared" si="1"/>
        <v>19801267.055</v>
      </c>
      <c r="S16" s="88">
        <f t="shared" si="1"/>
        <v>8380624.4950000001</v>
      </c>
      <c r="T16" s="89">
        <f t="shared" si="1"/>
        <v>6619943.8700000001</v>
      </c>
      <c r="U16" s="88">
        <f t="shared" si="1"/>
        <v>2664959.21</v>
      </c>
      <c r="V16" s="89">
        <f t="shared" si="1"/>
        <v>216107.64499999999</v>
      </c>
      <c r="W16" s="88">
        <f t="shared" si="1"/>
        <v>52197.684999999998</v>
      </c>
      <c r="X16" s="89">
        <f t="shared" si="1"/>
        <v>7276440.8300000001</v>
      </c>
      <c r="Y16" s="88">
        <f t="shared" si="1"/>
        <v>539931.54499999993</v>
      </c>
      <c r="Z16" s="89">
        <f t="shared" si="1"/>
        <v>2437256.5649999999</v>
      </c>
      <c r="AA16" s="88">
        <f t="shared" si="2"/>
        <v>3367348.1750000003</v>
      </c>
      <c r="AB16" s="89">
        <f t="shared" si="2"/>
        <v>6319203.1500000004</v>
      </c>
      <c r="AC16" s="88">
        <f t="shared" si="2"/>
        <v>66596.285000000003</v>
      </c>
      <c r="AD16" s="89">
        <f t="shared" si="2"/>
        <v>182733.29</v>
      </c>
      <c r="AE16" s="90">
        <f t="shared" si="2"/>
        <v>108109.07999999999</v>
      </c>
      <c r="AF16" s="89">
        <f t="shared" si="2"/>
        <v>1612837.5950000002</v>
      </c>
      <c r="AG16" s="90">
        <f t="shared" si="2"/>
        <v>237889.26500000001</v>
      </c>
      <c r="AH16" s="89">
        <f t="shared" si="2"/>
        <v>4540500.3250000002</v>
      </c>
      <c r="AI16" s="90">
        <f t="shared" si="2"/>
        <v>22439.57</v>
      </c>
      <c r="AJ16" s="89">
        <f t="shared" si="2"/>
        <v>637853.9</v>
      </c>
      <c r="AK16" s="90">
        <f t="shared" si="2"/>
        <v>42758.51</v>
      </c>
      <c r="AL16" s="89">
        <f t="shared" si="2"/>
        <v>2950549.8450000002</v>
      </c>
      <c r="AM16" s="90">
        <f t="shared" si="2"/>
        <v>1253009.645</v>
      </c>
      <c r="AN16" s="91">
        <f t="shared" si="2"/>
        <v>3277291.2050000001</v>
      </c>
      <c r="AO16" s="90">
        <f t="shared" si="2"/>
        <v>502255.58</v>
      </c>
      <c r="AP16" s="89">
        <f t="shared" si="2"/>
        <v>2806960.2150000003</v>
      </c>
      <c r="AQ16" s="88">
        <f t="shared" si="2"/>
        <v>0</v>
      </c>
      <c r="AR16" s="89">
        <f t="shared" si="3"/>
        <v>7490843.4649999999</v>
      </c>
      <c r="AS16" s="88">
        <f t="shared" si="3"/>
        <v>16492424.640000001</v>
      </c>
      <c r="AT16" s="89">
        <f t="shared" si="3"/>
        <v>152679.815</v>
      </c>
      <c r="AU16" s="88">
        <f t="shared" si="2"/>
        <v>0</v>
      </c>
      <c r="AV16" s="89">
        <f t="shared" ref="AV16:AW16" si="17">AV80+AV95</f>
        <v>3370694.6399999997</v>
      </c>
      <c r="AW16" s="88">
        <f t="shared" si="17"/>
        <v>4411060.5599999996</v>
      </c>
      <c r="AX16" s="89">
        <f t="shared" ref="AX16:BA16" si="18">AX80+AX95</f>
        <v>0</v>
      </c>
      <c r="AY16" s="88">
        <f t="shared" si="18"/>
        <v>0</v>
      </c>
      <c r="AZ16" s="89">
        <f t="shared" si="18"/>
        <v>0</v>
      </c>
      <c r="BA16" s="88">
        <f t="shared" si="18"/>
        <v>0</v>
      </c>
      <c r="BB16" s="89">
        <f t="shared" ref="BB16:BC16" si="19">BB80+BB95</f>
        <v>0</v>
      </c>
      <c r="BC16" s="88">
        <f t="shared" si="19"/>
        <v>0</v>
      </c>
      <c r="BD16" s="412"/>
      <c r="BE16" s="83"/>
      <c r="BF16" s="83"/>
    </row>
    <row r="17" spans="2:58">
      <c r="B17" s="119"/>
      <c r="C17" s="557">
        <v>46143</v>
      </c>
      <c r="D17" s="89">
        <f t="shared" si="0"/>
        <v>141489622.5</v>
      </c>
      <c r="E17" s="90">
        <f t="shared" si="1"/>
        <v>88185651.480000004</v>
      </c>
      <c r="F17" s="89">
        <f t="shared" si="1"/>
        <v>140831065.20999998</v>
      </c>
      <c r="G17" s="90">
        <f t="shared" si="1"/>
        <v>8744623.370000001</v>
      </c>
      <c r="H17" s="89">
        <f t="shared" si="1"/>
        <v>1259092.6949999998</v>
      </c>
      <c r="I17" s="90">
        <f t="shared" si="1"/>
        <v>1964606.76</v>
      </c>
      <c r="J17" s="89">
        <f t="shared" si="1"/>
        <v>14404.654999999999</v>
      </c>
      <c r="K17" s="90">
        <f t="shared" si="1"/>
        <v>313645.66500000004</v>
      </c>
      <c r="L17" s="89">
        <f t="shared" si="1"/>
        <v>14480989.640000001</v>
      </c>
      <c r="M17" s="90">
        <f t="shared" si="1"/>
        <v>120152855.73999999</v>
      </c>
      <c r="N17" s="91">
        <f t="shared" si="1"/>
        <v>25747209.859999999</v>
      </c>
      <c r="O17" s="90">
        <f t="shared" si="1"/>
        <v>26280956.880000003</v>
      </c>
      <c r="P17" s="89">
        <f t="shared" si="1"/>
        <v>226582493.37</v>
      </c>
      <c r="Q17" s="88">
        <f t="shared" si="1"/>
        <v>7445003.0549999997</v>
      </c>
      <c r="R17" s="89">
        <f t="shared" si="1"/>
        <v>19801267.055</v>
      </c>
      <c r="S17" s="88">
        <f t="shared" si="1"/>
        <v>8380624.4950000001</v>
      </c>
      <c r="T17" s="89">
        <f t="shared" si="1"/>
        <v>6619943.8700000001</v>
      </c>
      <c r="U17" s="88">
        <f t="shared" si="1"/>
        <v>2664959.21</v>
      </c>
      <c r="V17" s="89">
        <f t="shared" si="1"/>
        <v>216107.64499999999</v>
      </c>
      <c r="W17" s="88">
        <f t="shared" si="1"/>
        <v>52197.684999999998</v>
      </c>
      <c r="X17" s="89">
        <f t="shared" si="1"/>
        <v>7276440.8300000001</v>
      </c>
      <c r="Y17" s="88">
        <f t="shared" si="1"/>
        <v>539931.54499999993</v>
      </c>
      <c r="Z17" s="89">
        <f t="shared" si="1"/>
        <v>2437256.5649999999</v>
      </c>
      <c r="AA17" s="88">
        <f t="shared" si="2"/>
        <v>3367348.1750000003</v>
      </c>
      <c r="AB17" s="89">
        <f t="shared" si="2"/>
        <v>6319203.1500000004</v>
      </c>
      <c r="AC17" s="88">
        <f t="shared" si="2"/>
        <v>66596.285000000003</v>
      </c>
      <c r="AD17" s="89">
        <f t="shared" si="2"/>
        <v>182733.29</v>
      </c>
      <c r="AE17" s="90">
        <f t="shared" si="2"/>
        <v>108109.07999999999</v>
      </c>
      <c r="AF17" s="89">
        <f t="shared" si="2"/>
        <v>1612837.5950000002</v>
      </c>
      <c r="AG17" s="90">
        <f t="shared" si="2"/>
        <v>237889.26500000001</v>
      </c>
      <c r="AH17" s="89">
        <f t="shared" si="2"/>
        <v>4540500.3250000002</v>
      </c>
      <c r="AI17" s="90">
        <f t="shared" si="2"/>
        <v>22439.57</v>
      </c>
      <c r="AJ17" s="89">
        <f t="shared" si="2"/>
        <v>637853.9</v>
      </c>
      <c r="AK17" s="90">
        <f t="shared" si="2"/>
        <v>42758.51</v>
      </c>
      <c r="AL17" s="89">
        <f t="shared" si="2"/>
        <v>2950549.8450000002</v>
      </c>
      <c r="AM17" s="90">
        <f t="shared" si="2"/>
        <v>1253009.645</v>
      </c>
      <c r="AN17" s="91">
        <f t="shared" si="2"/>
        <v>3277291.2050000001</v>
      </c>
      <c r="AO17" s="90">
        <f t="shared" si="2"/>
        <v>502255.58</v>
      </c>
      <c r="AP17" s="89">
        <f t="shared" si="2"/>
        <v>2806960.2150000003</v>
      </c>
      <c r="AQ17" s="88">
        <f t="shared" si="2"/>
        <v>0</v>
      </c>
      <c r="AR17" s="89">
        <f t="shared" si="3"/>
        <v>7490843.4649999999</v>
      </c>
      <c r="AS17" s="88">
        <f t="shared" si="3"/>
        <v>16492424.640000001</v>
      </c>
      <c r="AT17" s="89">
        <f t="shared" si="3"/>
        <v>152679.815</v>
      </c>
      <c r="AU17" s="88">
        <f t="shared" si="2"/>
        <v>0</v>
      </c>
      <c r="AV17" s="89">
        <f t="shared" ref="AV17:AW17" si="20">AV81+AV96</f>
        <v>3370694.6399999997</v>
      </c>
      <c r="AW17" s="88">
        <f t="shared" si="20"/>
        <v>4411060.5599999996</v>
      </c>
      <c r="AX17" s="89">
        <f t="shared" ref="AX17:BA17" si="21">AX81+AX96</f>
        <v>0</v>
      </c>
      <c r="AY17" s="88">
        <f t="shared" si="21"/>
        <v>0</v>
      </c>
      <c r="AZ17" s="89">
        <f t="shared" si="21"/>
        <v>0</v>
      </c>
      <c r="BA17" s="88">
        <f t="shared" si="21"/>
        <v>0</v>
      </c>
      <c r="BB17" s="89">
        <f t="shared" ref="BB17:BC17" si="22">BB81+BB96</f>
        <v>0</v>
      </c>
      <c r="BC17" s="88">
        <f t="shared" si="22"/>
        <v>0</v>
      </c>
      <c r="BD17" s="412"/>
      <c r="BE17" s="83"/>
      <c r="BF17" s="83"/>
    </row>
    <row r="18" spans="2:58">
      <c r="B18" s="119"/>
      <c r="C18" s="557">
        <v>46174</v>
      </c>
      <c r="D18" s="89">
        <f t="shared" si="0"/>
        <v>141489622.5</v>
      </c>
      <c r="E18" s="90">
        <f t="shared" si="1"/>
        <v>88185651.480000004</v>
      </c>
      <c r="F18" s="89">
        <f t="shared" si="1"/>
        <v>140831065.20999998</v>
      </c>
      <c r="G18" s="90">
        <f t="shared" si="1"/>
        <v>8744623.370000001</v>
      </c>
      <c r="H18" s="89">
        <f t="shared" si="1"/>
        <v>1259092.6949999998</v>
      </c>
      <c r="I18" s="90">
        <f t="shared" si="1"/>
        <v>1964606.76</v>
      </c>
      <c r="J18" s="89">
        <f t="shared" si="1"/>
        <v>14404.654999999999</v>
      </c>
      <c r="K18" s="90">
        <f t="shared" si="1"/>
        <v>313645.66500000004</v>
      </c>
      <c r="L18" s="89">
        <f t="shared" si="1"/>
        <v>14480989.640000001</v>
      </c>
      <c r="M18" s="90">
        <f t="shared" si="1"/>
        <v>120152855.73999999</v>
      </c>
      <c r="N18" s="91">
        <f t="shared" si="1"/>
        <v>25747209.859999999</v>
      </c>
      <c r="O18" s="90">
        <f t="shared" si="1"/>
        <v>26280956.880000003</v>
      </c>
      <c r="P18" s="89">
        <f t="shared" si="1"/>
        <v>226582493.37</v>
      </c>
      <c r="Q18" s="88">
        <f t="shared" si="1"/>
        <v>7445003.0549999997</v>
      </c>
      <c r="R18" s="89">
        <f t="shared" si="1"/>
        <v>19801267.055</v>
      </c>
      <c r="S18" s="88">
        <f t="shared" si="1"/>
        <v>8380624.4950000001</v>
      </c>
      <c r="T18" s="89">
        <f t="shared" si="1"/>
        <v>6619943.8700000001</v>
      </c>
      <c r="U18" s="88">
        <f t="shared" si="1"/>
        <v>2664959.21</v>
      </c>
      <c r="V18" s="89">
        <f t="shared" si="1"/>
        <v>216107.64499999999</v>
      </c>
      <c r="W18" s="88">
        <f t="shared" si="1"/>
        <v>52197.684999999998</v>
      </c>
      <c r="X18" s="89">
        <f t="shared" si="1"/>
        <v>7276440.8300000001</v>
      </c>
      <c r="Y18" s="88">
        <f t="shared" si="1"/>
        <v>539931.54499999993</v>
      </c>
      <c r="Z18" s="89">
        <f t="shared" si="1"/>
        <v>2437256.5649999999</v>
      </c>
      <c r="AA18" s="88">
        <f t="shared" si="2"/>
        <v>3367348.1750000003</v>
      </c>
      <c r="AB18" s="89">
        <f t="shared" si="2"/>
        <v>6319203.1500000004</v>
      </c>
      <c r="AC18" s="88">
        <f t="shared" si="2"/>
        <v>66596.285000000003</v>
      </c>
      <c r="AD18" s="89">
        <f t="shared" si="2"/>
        <v>182733.29</v>
      </c>
      <c r="AE18" s="90">
        <f t="shared" si="2"/>
        <v>108109.07999999999</v>
      </c>
      <c r="AF18" s="89">
        <f t="shared" si="2"/>
        <v>1612837.5950000002</v>
      </c>
      <c r="AG18" s="90">
        <f t="shared" si="2"/>
        <v>237889.26500000001</v>
      </c>
      <c r="AH18" s="89">
        <f t="shared" si="2"/>
        <v>4540500.3250000002</v>
      </c>
      <c r="AI18" s="90">
        <f t="shared" si="2"/>
        <v>22439.57</v>
      </c>
      <c r="AJ18" s="89">
        <f t="shared" si="2"/>
        <v>637853.9</v>
      </c>
      <c r="AK18" s="90">
        <f t="shared" si="2"/>
        <v>42758.51</v>
      </c>
      <c r="AL18" s="89">
        <f t="shared" si="2"/>
        <v>2950549.8450000002</v>
      </c>
      <c r="AM18" s="90">
        <f t="shared" si="2"/>
        <v>1253009.645</v>
      </c>
      <c r="AN18" s="91">
        <f t="shared" si="2"/>
        <v>3277291.2050000001</v>
      </c>
      <c r="AO18" s="90">
        <f t="shared" si="2"/>
        <v>502255.58</v>
      </c>
      <c r="AP18" s="89">
        <f t="shared" si="2"/>
        <v>2806960.2150000003</v>
      </c>
      <c r="AQ18" s="88">
        <f t="shared" si="2"/>
        <v>0</v>
      </c>
      <c r="AR18" s="89">
        <f t="shared" si="3"/>
        <v>7490843.4649999999</v>
      </c>
      <c r="AS18" s="88">
        <f t="shared" si="3"/>
        <v>16492424.640000001</v>
      </c>
      <c r="AT18" s="89">
        <f t="shared" si="3"/>
        <v>152679.815</v>
      </c>
      <c r="AU18" s="88">
        <f t="shared" si="2"/>
        <v>0</v>
      </c>
      <c r="AV18" s="89">
        <f t="shared" ref="AV18:AW18" si="23">AV82+AV97</f>
        <v>3370694.6399999997</v>
      </c>
      <c r="AW18" s="88">
        <f t="shared" si="23"/>
        <v>4411060.5599999996</v>
      </c>
      <c r="AX18" s="89">
        <f t="shared" ref="AX18:BA18" si="24">AX82+AX97</f>
        <v>0</v>
      </c>
      <c r="AY18" s="88">
        <f t="shared" si="24"/>
        <v>0</v>
      </c>
      <c r="AZ18" s="89">
        <f t="shared" si="24"/>
        <v>0</v>
      </c>
      <c r="BA18" s="88">
        <f t="shared" si="24"/>
        <v>0</v>
      </c>
      <c r="BB18" s="89">
        <f t="shared" ref="BB18:BC18" si="25">BB82+BB97</f>
        <v>0</v>
      </c>
      <c r="BC18" s="88">
        <f t="shared" si="25"/>
        <v>0</v>
      </c>
      <c r="BD18" s="412"/>
      <c r="BE18" s="83"/>
      <c r="BF18" s="83"/>
    </row>
    <row r="19" spans="2:58">
      <c r="B19" s="119"/>
      <c r="C19" s="557">
        <v>46204</v>
      </c>
      <c r="D19" s="89">
        <f t="shared" si="0"/>
        <v>141489622.5</v>
      </c>
      <c r="E19" s="90">
        <f t="shared" si="1"/>
        <v>88185651.480000004</v>
      </c>
      <c r="F19" s="89">
        <f t="shared" si="1"/>
        <v>140831065.20999998</v>
      </c>
      <c r="G19" s="90">
        <f t="shared" si="1"/>
        <v>8744623.370000001</v>
      </c>
      <c r="H19" s="89">
        <f t="shared" si="1"/>
        <v>1259092.6949999998</v>
      </c>
      <c r="I19" s="90">
        <f t="shared" si="1"/>
        <v>1964606.76</v>
      </c>
      <c r="J19" s="89">
        <f t="shared" si="1"/>
        <v>14404.654999999999</v>
      </c>
      <c r="K19" s="90">
        <f t="shared" si="1"/>
        <v>313645.66500000004</v>
      </c>
      <c r="L19" s="89">
        <f t="shared" si="1"/>
        <v>14480989.640000001</v>
      </c>
      <c r="M19" s="90">
        <f t="shared" si="1"/>
        <v>120152855.73999999</v>
      </c>
      <c r="N19" s="91">
        <f t="shared" si="1"/>
        <v>25747209.859999999</v>
      </c>
      <c r="O19" s="90">
        <f t="shared" si="1"/>
        <v>26280956.880000003</v>
      </c>
      <c r="P19" s="89">
        <f t="shared" si="1"/>
        <v>226582493.37</v>
      </c>
      <c r="Q19" s="88">
        <f t="shared" si="1"/>
        <v>7445003.0549999997</v>
      </c>
      <c r="R19" s="89">
        <f t="shared" si="1"/>
        <v>19801267.055</v>
      </c>
      <c r="S19" s="88">
        <f t="shared" si="1"/>
        <v>8380624.4950000001</v>
      </c>
      <c r="T19" s="89">
        <f t="shared" si="1"/>
        <v>6619943.8700000001</v>
      </c>
      <c r="U19" s="88">
        <f t="shared" si="1"/>
        <v>2664959.21</v>
      </c>
      <c r="V19" s="89">
        <f t="shared" si="1"/>
        <v>216107.64499999999</v>
      </c>
      <c r="W19" s="88">
        <f t="shared" si="1"/>
        <v>52197.684999999998</v>
      </c>
      <c r="X19" s="89">
        <f t="shared" si="1"/>
        <v>7276440.8300000001</v>
      </c>
      <c r="Y19" s="88">
        <f t="shared" si="1"/>
        <v>539931.54499999993</v>
      </c>
      <c r="Z19" s="89">
        <f t="shared" si="1"/>
        <v>2437256.5649999999</v>
      </c>
      <c r="AA19" s="88">
        <f t="shared" si="2"/>
        <v>3367348.1750000003</v>
      </c>
      <c r="AB19" s="89">
        <f t="shared" si="2"/>
        <v>6319203.1500000004</v>
      </c>
      <c r="AC19" s="88">
        <f t="shared" si="2"/>
        <v>66596.285000000003</v>
      </c>
      <c r="AD19" s="89">
        <f t="shared" si="2"/>
        <v>182733.29</v>
      </c>
      <c r="AE19" s="90">
        <f t="shared" si="2"/>
        <v>108109.07999999999</v>
      </c>
      <c r="AF19" s="89">
        <f t="shared" si="2"/>
        <v>1612837.5950000002</v>
      </c>
      <c r="AG19" s="90">
        <f t="shared" si="2"/>
        <v>237889.26500000001</v>
      </c>
      <c r="AH19" s="89">
        <f t="shared" si="2"/>
        <v>4540500.3250000002</v>
      </c>
      <c r="AI19" s="90">
        <f t="shared" si="2"/>
        <v>22439.57</v>
      </c>
      <c r="AJ19" s="89">
        <f t="shared" si="2"/>
        <v>637853.9</v>
      </c>
      <c r="AK19" s="90">
        <f t="shared" si="2"/>
        <v>42758.51</v>
      </c>
      <c r="AL19" s="89">
        <f t="shared" si="2"/>
        <v>2950549.8450000002</v>
      </c>
      <c r="AM19" s="90">
        <f t="shared" si="2"/>
        <v>1253009.645</v>
      </c>
      <c r="AN19" s="91">
        <f t="shared" si="2"/>
        <v>3277291.2050000001</v>
      </c>
      <c r="AO19" s="90">
        <f t="shared" si="2"/>
        <v>502255.58</v>
      </c>
      <c r="AP19" s="89">
        <f t="shared" si="2"/>
        <v>2806960.2150000003</v>
      </c>
      <c r="AQ19" s="88">
        <f t="shared" si="2"/>
        <v>0</v>
      </c>
      <c r="AR19" s="89">
        <f t="shared" si="3"/>
        <v>7490843.4649999999</v>
      </c>
      <c r="AS19" s="88">
        <f t="shared" si="3"/>
        <v>16492424.640000001</v>
      </c>
      <c r="AT19" s="89">
        <f t="shared" si="3"/>
        <v>152679.815</v>
      </c>
      <c r="AU19" s="88">
        <f t="shared" si="2"/>
        <v>0</v>
      </c>
      <c r="AV19" s="89">
        <f t="shared" ref="AV19:AW19" si="26">AV83+AV98</f>
        <v>3370694.6399999997</v>
      </c>
      <c r="AW19" s="88">
        <f t="shared" si="26"/>
        <v>4411060.5599999996</v>
      </c>
      <c r="AX19" s="89">
        <f t="shared" ref="AX19:BA19" si="27">AX83+AX98</f>
        <v>0</v>
      </c>
      <c r="AY19" s="88">
        <f t="shared" si="27"/>
        <v>0</v>
      </c>
      <c r="AZ19" s="89">
        <f t="shared" si="27"/>
        <v>0</v>
      </c>
      <c r="BA19" s="88">
        <f t="shared" si="27"/>
        <v>0</v>
      </c>
      <c r="BB19" s="89">
        <f t="shared" ref="BB19:BC19" si="28">BB83+BB98</f>
        <v>0</v>
      </c>
      <c r="BC19" s="88">
        <f t="shared" si="28"/>
        <v>0</v>
      </c>
      <c r="BD19" s="412"/>
      <c r="BE19" s="83"/>
      <c r="BF19" s="83"/>
    </row>
    <row r="20" spans="2:58">
      <c r="B20" s="119"/>
      <c r="C20" s="557">
        <v>46235</v>
      </c>
      <c r="D20" s="89">
        <f t="shared" si="0"/>
        <v>141489622.5</v>
      </c>
      <c r="E20" s="90">
        <f t="shared" si="1"/>
        <v>88185651.480000004</v>
      </c>
      <c r="F20" s="89">
        <f t="shared" si="1"/>
        <v>140831065.20999998</v>
      </c>
      <c r="G20" s="90">
        <f t="shared" si="1"/>
        <v>8744623.370000001</v>
      </c>
      <c r="H20" s="89">
        <f t="shared" si="1"/>
        <v>1259092.6949999998</v>
      </c>
      <c r="I20" s="90">
        <f t="shared" si="1"/>
        <v>1964606.76</v>
      </c>
      <c r="J20" s="89">
        <f t="shared" si="1"/>
        <v>14404.654999999999</v>
      </c>
      <c r="K20" s="90">
        <f t="shared" si="1"/>
        <v>313645.66500000004</v>
      </c>
      <c r="L20" s="89">
        <f t="shared" si="1"/>
        <v>14480989.640000001</v>
      </c>
      <c r="M20" s="90">
        <f t="shared" si="1"/>
        <v>120152855.73999999</v>
      </c>
      <c r="N20" s="91">
        <f t="shared" si="1"/>
        <v>25747209.859999999</v>
      </c>
      <c r="O20" s="90">
        <f t="shared" si="1"/>
        <v>26280956.880000003</v>
      </c>
      <c r="P20" s="89">
        <f t="shared" si="1"/>
        <v>226582493.37</v>
      </c>
      <c r="Q20" s="88">
        <f t="shared" si="1"/>
        <v>7445003.0549999997</v>
      </c>
      <c r="R20" s="89">
        <f t="shared" si="1"/>
        <v>19801267.055</v>
      </c>
      <c r="S20" s="88">
        <f t="shared" si="1"/>
        <v>8380624.4950000001</v>
      </c>
      <c r="T20" s="89">
        <f t="shared" si="1"/>
        <v>6619943.8700000001</v>
      </c>
      <c r="U20" s="88">
        <f t="shared" si="1"/>
        <v>2664959.21</v>
      </c>
      <c r="V20" s="89">
        <f t="shared" si="1"/>
        <v>216107.64499999999</v>
      </c>
      <c r="W20" s="88">
        <f t="shared" si="1"/>
        <v>52197.684999999998</v>
      </c>
      <c r="X20" s="89">
        <f t="shared" si="1"/>
        <v>7276440.8300000001</v>
      </c>
      <c r="Y20" s="88">
        <f t="shared" si="1"/>
        <v>539931.54499999993</v>
      </c>
      <c r="Z20" s="89">
        <f t="shared" si="1"/>
        <v>2437256.5649999999</v>
      </c>
      <c r="AA20" s="88">
        <f t="shared" si="2"/>
        <v>3367348.1750000003</v>
      </c>
      <c r="AB20" s="89">
        <f t="shared" si="2"/>
        <v>6319203.1500000004</v>
      </c>
      <c r="AC20" s="88">
        <f t="shared" si="2"/>
        <v>66596.285000000003</v>
      </c>
      <c r="AD20" s="89">
        <f t="shared" si="2"/>
        <v>182733.29</v>
      </c>
      <c r="AE20" s="90">
        <f t="shared" si="2"/>
        <v>108109.07999999999</v>
      </c>
      <c r="AF20" s="89">
        <f t="shared" si="2"/>
        <v>1612837.5950000002</v>
      </c>
      <c r="AG20" s="90">
        <f t="shared" si="2"/>
        <v>237889.26500000001</v>
      </c>
      <c r="AH20" s="89">
        <f t="shared" si="2"/>
        <v>4540500.3250000002</v>
      </c>
      <c r="AI20" s="90">
        <f t="shared" si="2"/>
        <v>22439.57</v>
      </c>
      <c r="AJ20" s="89">
        <f t="shared" si="2"/>
        <v>637853.9</v>
      </c>
      <c r="AK20" s="90">
        <f t="shared" si="2"/>
        <v>42758.51</v>
      </c>
      <c r="AL20" s="89">
        <f t="shared" si="2"/>
        <v>2950549.8450000002</v>
      </c>
      <c r="AM20" s="90">
        <f t="shared" si="2"/>
        <v>1253009.645</v>
      </c>
      <c r="AN20" s="91">
        <f t="shared" si="2"/>
        <v>3277291.2050000001</v>
      </c>
      <c r="AO20" s="90">
        <f t="shared" si="2"/>
        <v>502255.58</v>
      </c>
      <c r="AP20" s="89">
        <f t="shared" si="2"/>
        <v>2806960.2150000003</v>
      </c>
      <c r="AQ20" s="88">
        <f t="shared" si="2"/>
        <v>0</v>
      </c>
      <c r="AR20" s="89">
        <f t="shared" si="3"/>
        <v>7490843.4649999999</v>
      </c>
      <c r="AS20" s="88">
        <f t="shared" si="3"/>
        <v>16492424.640000001</v>
      </c>
      <c r="AT20" s="89">
        <f t="shared" si="3"/>
        <v>152679.815</v>
      </c>
      <c r="AU20" s="88">
        <f t="shared" si="2"/>
        <v>0</v>
      </c>
      <c r="AV20" s="89">
        <f t="shared" ref="AV20:AW20" si="29">AV84+AV99</f>
        <v>3370694.6399999997</v>
      </c>
      <c r="AW20" s="88">
        <f t="shared" si="29"/>
        <v>4411060.5599999996</v>
      </c>
      <c r="AX20" s="89">
        <f t="shared" ref="AX20:BA20" si="30">AX84+AX99</f>
        <v>0</v>
      </c>
      <c r="AY20" s="88">
        <f t="shared" si="30"/>
        <v>0</v>
      </c>
      <c r="AZ20" s="89">
        <f t="shared" si="30"/>
        <v>0</v>
      </c>
      <c r="BA20" s="88">
        <f t="shared" si="30"/>
        <v>0</v>
      </c>
      <c r="BB20" s="89">
        <f t="shared" ref="BB20:BC20" si="31">BB84+BB99</f>
        <v>0</v>
      </c>
      <c r="BC20" s="88">
        <f t="shared" si="31"/>
        <v>0</v>
      </c>
      <c r="BD20" s="412"/>
      <c r="BE20" s="83"/>
      <c r="BF20" s="83"/>
    </row>
    <row r="21" spans="2:58">
      <c r="B21" s="119"/>
      <c r="C21" s="557">
        <v>46266</v>
      </c>
      <c r="D21" s="89">
        <f t="shared" si="0"/>
        <v>141489622.5</v>
      </c>
      <c r="E21" s="90">
        <f t="shared" si="1"/>
        <v>88185651.480000004</v>
      </c>
      <c r="F21" s="89">
        <f t="shared" si="1"/>
        <v>140831065.20999998</v>
      </c>
      <c r="G21" s="90">
        <f t="shared" si="1"/>
        <v>8744623.370000001</v>
      </c>
      <c r="H21" s="89">
        <f t="shared" si="1"/>
        <v>1259092.6949999998</v>
      </c>
      <c r="I21" s="90">
        <f t="shared" si="1"/>
        <v>1964606.76</v>
      </c>
      <c r="J21" s="89">
        <f t="shared" si="1"/>
        <v>14404.654999999999</v>
      </c>
      <c r="K21" s="90">
        <f t="shared" si="1"/>
        <v>313645.66500000004</v>
      </c>
      <c r="L21" s="89">
        <f t="shared" si="1"/>
        <v>14480989.640000001</v>
      </c>
      <c r="M21" s="90">
        <f t="shared" si="1"/>
        <v>120152855.73999999</v>
      </c>
      <c r="N21" s="91">
        <f t="shared" si="1"/>
        <v>25747209.859999999</v>
      </c>
      <c r="O21" s="90">
        <f t="shared" si="1"/>
        <v>26280956.880000003</v>
      </c>
      <c r="P21" s="89">
        <f t="shared" si="1"/>
        <v>226582493.37</v>
      </c>
      <c r="Q21" s="88">
        <f t="shared" si="1"/>
        <v>7445003.0549999997</v>
      </c>
      <c r="R21" s="89">
        <f t="shared" si="1"/>
        <v>19801267.055</v>
      </c>
      <c r="S21" s="88">
        <f t="shared" si="1"/>
        <v>8380624.4950000001</v>
      </c>
      <c r="T21" s="89">
        <f t="shared" si="1"/>
        <v>6619943.8700000001</v>
      </c>
      <c r="U21" s="88">
        <f t="shared" si="1"/>
        <v>2664959.21</v>
      </c>
      <c r="V21" s="89">
        <f t="shared" si="1"/>
        <v>216107.64499999999</v>
      </c>
      <c r="W21" s="88">
        <f t="shared" si="1"/>
        <v>52197.684999999998</v>
      </c>
      <c r="X21" s="89">
        <f t="shared" si="1"/>
        <v>7276440.8300000001</v>
      </c>
      <c r="Y21" s="88">
        <f t="shared" si="1"/>
        <v>539931.54499999993</v>
      </c>
      <c r="Z21" s="89">
        <f t="shared" si="1"/>
        <v>2437256.5649999999</v>
      </c>
      <c r="AA21" s="88">
        <f t="shared" si="2"/>
        <v>3367348.1750000003</v>
      </c>
      <c r="AB21" s="89">
        <f t="shared" si="2"/>
        <v>6319203.1500000004</v>
      </c>
      <c r="AC21" s="88">
        <f t="shared" si="2"/>
        <v>66596.285000000003</v>
      </c>
      <c r="AD21" s="89">
        <f t="shared" si="2"/>
        <v>182733.29</v>
      </c>
      <c r="AE21" s="90">
        <f t="shared" si="2"/>
        <v>108109.07999999999</v>
      </c>
      <c r="AF21" s="89">
        <f t="shared" si="2"/>
        <v>1612837.5950000002</v>
      </c>
      <c r="AG21" s="90">
        <f t="shared" si="2"/>
        <v>237889.26500000001</v>
      </c>
      <c r="AH21" s="89">
        <f t="shared" si="2"/>
        <v>4540500.3250000002</v>
      </c>
      <c r="AI21" s="90">
        <f t="shared" si="2"/>
        <v>22439.57</v>
      </c>
      <c r="AJ21" s="89">
        <f t="shared" si="2"/>
        <v>637853.9</v>
      </c>
      <c r="AK21" s="90">
        <f t="shared" si="2"/>
        <v>42758.51</v>
      </c>
      <c r="AL21" s="89">
        <f t="shared" si="2"/>
        <v>2950549.8450000002</v>
      </c>
      <c r="AM21" s="90">
        <f t="shared" si="2"/>
        <v>1253009.645</v>
      </c>
      <c r="AN21" s="91">
        <f t="shared" si="2"/>
        <v>3277291.2050000001</v>
      </c>
      <c r="AO21" s="90">
        <f t="shared" si="2"/>
        <v>502255.58</v>
      </c>
      <c r="AP21" s="89">
        <f t="shared" si="2"/>
        <v>2806960.2150000003</v>
      </c>
      <c r="AQ21" s="88">
        <f t="shared" si="2"/>
        <v>0</v>
      </c>
      <c r="AR21" s="89">
        <f t="shared" si="3"/>
        <v>7490843.4649999999</v>
      </c>
      <c r="AS21" s="88">
        <f t="shared" si="3"/>
        <v>16492424.640000001</v>
      </c>
      <c r="AT21" s="89">
        <f t="shared" si="3"/>
        <v>152679.815</v>
      </c>
      <c r="AU21" s="88">
        <f t="shared" si="2"/>
        <v>0</v>
      </c>
      <c r="AV21" s="89">
        <f t="shared" ref="AV21:AW21" si="32">AV85+AV100</f>
        <v>3370694.6399999997</v>
      </c>
      <c r="AW21" s="88">
        <f t="shared" si="32"/>
        <v>4411060.5599999996</v>
      </c>
      <c r="AX21" s="89">
        <f t="shared" ref="AX21:BA21" si="33">AX85+AX100</f>
        <v>0</v>
      </c>
      <c r="AY21" s="88">
        <f t="shared" si="33"/>
        <v>0</v>
      </c>
      <c r="AZ21" s="89">
        <f t="shared" si="33"/>
        <v>0</v>
      </c>
      <c r="BA21" s="88">
        <f t="shared" si="33"/>
        <v>0</v>
      </c>
      <c r="BB21" s="89">
        <f t="shared" ref="BB21:BC21" si="34">BB85+BB100</f>
        <v>0</v>
      </c>
      <c r="BC21" s="88">
        <f t="shared" si="34"/>
        <v>0</v>
      </c>
      <c r="BD21" s="412"/>
      <c r="BE21" s="83"/>
      <c r="BF21" s="83"/>
    </row>
    <row r="22" spans="2:58">
      <c r="B22" s="119"/>
      <c r="C22" s="557">
        <v>46296</v>
      </c>
      <c r="D22" s="89">
        <f t="shared" si="0"/>
        <v>141489622.5</v>
      </c>
      <c r="E22" s="90">
        <f t="shared" si="1"/>
        <v>88185651.480000004</v>
      </c>
      <c r="F22" s="89">
        <f t="shared" si="1"/>
        <v>140831065.20999998</v>
      </c>
      <c r="G22" s="90">
        <f t="shared" si="1"/>
        <v>8744623.370000001</v>
      </c>
      <c r="H22" s="89">
        <f t="shared" si="1"/>
        <v>1259092.6949999998</v>
      </c>
      <c r="I22" s="90">
        <f t="shared" si="1"/>
        <v>1964606.76</v>
      </c>
      <c r="J22" s="89">
        <f t="shared" si="1"/>
        <v>14404.654999999999</v>
      </c>
      <c r="K22" s="90">
        <f t="shared" si="1"/>
        <v>313645.66500000004</v>
      </c>
      <c r="L22" s="89">
        <f t="shared" si="1"/>
        <v>14480989.640000001</v>
      </c>
      <c r="M22" s="90">
        <f t="shared" si="1"/>
        <v>120152855.73999999</v>
      </c>
      <c r="N22" s="91">
        <f t="shared" si="1"/>
        <v>25747209.859999999</v>
      </c>
      <c r="O22" s="90">
        <f t="shared" si="1"/>
        <v>26280956.880000003</v>
      </c>
      <c r="P22" s="89">
        <f t="shared" si="1"/>
        <v>226582493.37</v>
      </c>
      <c r="Q22" s="88">
        <f t="shared" si="1"/>
        <v>7445003.0549999997</v>
      </c>
      <c r="R22" s="89">
        <f t="shared" si="1"/>
        <v>19801267.055</v>
      </c>
      <c r="S22" s="88">
        <f t="shared" si="1"/>
        <v>8380624.4950000001</v>
      </c>
      <c r="T22" s="89">
        <f t="shared" si="1"/>
        <v>6619943.8700000001</v>
      </c>
      <c r="U22" s="88">
        <f t="shared" si="1"/>
        <v>2664959.21</v>
      </c>
      <c r="V22" s="89">
        <f t="shared" si="1"/>
        <v>216107.64499999999</v>
      </c>
      <c r="W22" s="88">
        <f t="shared" si="1"/>
        <v>52197.684999999998</v>
      </c>
      <c r="X22" s="89">
        <f t="shared" si="1"/>
        <v>7276440.8300000001</v>
      </c>
      <c r="Y22" s="88">
        <f t="shared" si="1"/>
        <v>539931.54499999993</v>
      </c>
      <c r="Z22" s="89">
        <f t="shared" si="1"/>
        <v>2437256.5649999999</v>
      </c>
      <c r="AA22" s="88">
        <f t="shared" si="2"/>
        <v>3367348.1750000003</v>
      </c>
      <c r="AB22" s="89">
        <f t="shared" si="2"/>
        <v>6319203.1500000004</v>
      </c>
      <c r="AC22" s="88">
        <f t="shared" si="2"/>
        <v>66596.285000000003</v>
      </c>
      <c r="AD22" s="89">
        <f t="shared" si="2"/>
        <v>182733.29</v>
      </c>
      <c r="AE22" s="90">
        <f t="shared" si="2"/>
        <v>108109.07999999999</v>
      </c>
      <c r="AF22" s="89">
        <f t="shared" si="2"/>
        <v>1612837.5950000002</v>
      </c>
      <c r="AG22" s="90">
        <f t="shared" si="2"/>
        <v>237889.26500000001</v>
      </c>
      <c r="AH22" s="89">
        <f t="shared" si="2"/>
        <v>4540500.3250000002</v>
      </c>
      <c r="AI22" s="90">
        <f t="shared" si="2"/>
        <v>22439.57</v>
      </c>
      <c r="AJ22" s="89">
        <f t="shared" si="2"/>
        <v>637853.9</v>
      </c>
      <c r="AK22" s="90">
        <f t="shared" si="2"/>
        <v>42758.51</v>
      </c>
      <c r="AL22" s="89">
        <f t="shared" si="2"/>
        <v>2950549.8450000002</v>
      </c>
      <c r="AM22" s="90">
        <f t="shared" si="2"/>
        <v>1253009.645</v>
      </c>
      <c r="AN22" s="91">
        <f t="shared" si="2"/>
        <v>3277291.2050000001</v>
      </c>
      <c r="AO22" s="90">
        <f t="shared" si="2"/>
        <v>502255.58</v>
      </c>
      <c r="AP22" s="89">
        <f t="shared" si="2"/>
        <v>2806960.2150000003</v>
      </c>
      <c r="AQ22" s="88">
        <f t="shared" si="2"/>
        <v>0</v>
      </c>
      <c r="AR22" s="89">
        <f t="shared" si="3"/>
        <v>7490843.4649999999</v>
      </c>
      <c r="AS22" s="88">
        <f t="shared" si="3"/>
        <v>16492424.640000001</v>
      </c>
      <c r="AT22" s="89">
        <f t="shared" si="3"/>
        <v>152679.815</v>
      </c>
      <c r="AU22" s="88">
        <f t="shared" si="2"/>
        <v>0</v>
      </c>
      <c r="AV22" s="89">
        <f t="shared" ref="AV22:AW22" si="35">AV86+AV101</f>
        <v>3370694.6399999997</v>
      </c>
      <c r="AW22" s="88">
        <f t="shared" si="35"/>
        <v>4411060.5599999996</v>
      </c>
      <c r="AX22" s="89">
        <f t="shared" ref="AX22:BA22" si="36">AX86+AX101</f>
        <v>0</v>
      </c>
      <c r="AY22" s="88">
        <f t="shared" si="36"/>
        <v>0</v>
      </c>
      <c r="AZ22" s="89">
        <f t="shared" si="36"/>
        <v>0</v>
      </c>
      <c r="BA22" s="88">
        <f t="shared" si="36"/>
        <v>0</v>
      </c>
      <c r="BB22" s="89">
        <f t="shared" ref="BB22:BC22" si="37">BB86+BB101</f>
        <v>0</v>
      </c>
      <c r="BC22" s="88">
        <f t="shared" si="37"/>
        <v>0</v>
      </c>
      <c r="BD22" s="412"/>
      <c r="BE22" s="83"/>
      <c r="BF22" s="83"/>
    </row>
    <row r="23" spans="2:58">
      <c r="B23" s="119"/>
      <c r="C23" s="557">
        <v>46327</v>
      </c>
      <c r="D23" s="89">
        <f t="shared" si="0"/>
        <v>141489622.5</v>
      </c>
      <c r="E23" s="90">
        <f t="shared" si="1"/>
        <v>88185651.480000004</v>
      </c>
      <c r="F23" s="89">
        <f t="shared" si="1"/>
        <v>140831065.20999998</v>
      </c>
      <c r="G23" s="90">
        <f t="shared" si="1"/>
        <v>8744623.370000001</v>
      </c>
      <c r="H23" s="89">
        <f t="shared" si="1"/>
        <v>1259092.6949999998</v>
      </c>
      <c r="I23" s="90">
        <f t="shared" si="1"/>
        <v>1964606.76</v>
      </c>
      <c r="J23" s="89">
        <f t="shared" si="1"/>
        <v>14404.654999999999</v>
      </c>
      <c r="K23" s="90">
        <f t="shared" si="1"/>
        <v>313645.66500000004</v>
      </c>
      <c r="L23" s="89">
        <f t="shared" si="1"/>
        <v>14480989.640000001</v>
      </c>
      <c r="M23" s="90">
        <f t="shared" si="1"/>
        <v>120152855.73999999</v>
      </c>
      <c r="N23" s="91">
        <f t="shared" si="1"/>
        <v>25747209.859999999</v>
      </c>
      <c r="O23" s="90">
        <f t="shared" si="1"/>
        <v>26280956.880000003</v>
      </c>
      <c r="P23" s="89">
        <f t="shared" si="1"/>
        <v>226582493.37</v>
      </c>
      <c r="Q23" s="88">
        <f t="shared" si="1"/>
        <v>7445003.0549999997</v>
      </c>
      <c r="R23" s="89">
        <f t="shared" si="1"/>
        <v>19801267.055</v>
      </c>
      <c r="S23" s="88">
        <f t="shared" si="1"/>
        <v>8380624.4950000001</v>
      </c>
      <c r="T23" s="89">
        <f t="shared" si="1"/>
        <v>6619943.8700000001</v>
      </c>
      <c r="U23" s="88">
        <f t="shared" si="1"/>
        <v>2664959.21</v>
      </c>
      <c r="V23" s="89">
        <f t="shared" si="1"/>
        <v>216107.64499999999</v>
      </c>
      <c r="W23" s="88">
        <f t="shared" si="1"/>
        <v>52197.684999999998</v>
      </c>
      <c r="X23" s="89">
        <f t="shared" si="1"/>
        <v>7276440.8300000001</v>
      </c>
      <c r="Y23" s="88">
        <f t="shared" si="1"/>
        <v>539931.54499999993</v>
      </c>
      <c r="Z23" s="89">
        <f t="shared" si="1"/>
        <v>2437256.5649999999</v>
      </c>
      <c r="AA23" s="88">
        <f t="shared" si="2"/>
        <v>3367348.1750000003</v>
      </c>
      <c r="AB23" s="89">
        <f t="shared" si="2"/>
        <v>6319203.1500000004</v>
      </c>
      <c r="AC23" s="88">
        <f t="shared" si="2"/>
        <v>66596.285000000003</v>
      </c>
      <c r="AD23" s="89">
        <f t="shared" si="2"/>
        <v>182733.29</v>
      </c>
      <c r="AE23" s="90">
        <f t="shared" si="2"/>
        <v>108109.07999999999</v>
      </c>
      <c r="AF23" s="89">
        <f t="shared" si="2"/>
        <v>1612837.5950000002</v>
      </c>
      <c r="AG23" s="90">
        <f t="shared" si="2"/>
        <v>237889.26500000001</v>
      </c>
      <c r="AH23" s="89">
        <f t="shared" si="2"/>
        <v>4540500.3250000002</v>
      </c>
      <c r="AI23" s="90">
        <f t="shared" si="2"/>
        <v>22439.57</v>
      </c>
      <c r="AJ23" s="89">
        <f t="shared" si="2"/>
        <v>637853.9</v>
      </c>
      <c r="AK23" s="90">
        <f t="shared" si="2"/>
        <v>42758.51</v>
      </c>
      <c r="AL23" s="89">
        <f t="shared" si="2"/>
        <v>2950549.8450000002</v>
      </c>
      <c r="AM23" s="90">
        <f t="shared" si="2"/>
        <v>1253009.645</v>
      </c>
      <c r="AN23" s="91">
        <f t="shared" si="2"/>
        <v>3277291.2050000001</v>
      </c>
      <c r="AO23" s="90">
        <f t="shared" si="2"/>
        <v>502255.58</v>
      </c>
      <c r="AP23" s="89">
        <f t="shared" si="2"/>
        <v>2806960.2150000003</v>
      </c>
      <c r="AQ23" s="88">
        <f t="shared" si="2"/>
        <v>0</v>
      </c>
      <c r="AR23" s="89">
        <f t="shared" si="3"/>
        <v>7490843.4649999999</v>
      </c>
      <c r="AS23" s="88">
        <f t="shared" si="3"/>
        <v>16492424.640000001</v>
      </c>
      <c r="AT23" s="89">
        <f t="shared" si="3"/>
        <v>152679.815</v>
      </c>
      <c r="AU23" s="88">
        <f t="shared" si="2"/>
        <v>0</v>
      </c>
      <c r="AV23" s="89">
        <f t="shared" ref="AV23:AW23" si="38">AV87+AV102</f>
        <v>3370694.6399999997</v>
      </c>
      <c r="AW23" s="88">
        <f t="shared" si="38"/>
        <v>4411060.5599999996</v>
      </c>
      <c r="AX23" s="89">
        <f t="shared" ref="AX23:BA23" si="39">AX87+AX102</f>
        <v>109473.41879407375</v>
      </c>
      <c r="AY23" s="88">
        <f t="shared" si="39"/>
        <v>0</v>
      </c>
      <c r="AZ23" s="89">
        <f t="shared" si="39"/>
        <v>0</v>
      </c>
      <c r="BA23" s="88">
        <f t="shared" si="39"/>
        <v>0</v>
      </c>
      <c r="BB23" s="89">
        <f t="shared" ref="BB23:BC23" si="40">BB87+BB102</f>
        <v>0</v>
      </c>
      <c r="BC23" s="88">
        <f t="shared" si="40"/>
        <v>0</v>
      </c>
      <c r="BD23" s="412"/>
      <c r="BE23" s="83"/>
      <c r="BF23" s="83"/>
    </row>
    <row r="24" spans="2:58">
      <c r="B24" s="93"/>
      <c r="C24" s="558">
        <v>46357</v>
      </c>
      <c r="D24" s="118">
        <f t="shared" si="0"/>
        <v>141489622.5</v>
      </c>
      <c r="E24" s="117">
        <f t="shared" si="1"/>
        <v>88185651.480000004</v>
      </c>
      <c r="F24" s="118">
        <f t="shared" si="1"/>
        <v>140831065.20999998</v>
      </c>
      <c r="G24" s="117">
        <f t="shared" si="1"/>
        <v>8744623.370000001</v>
      </c>
      <c r="H24" s="118">
        <f t="shared" si="1"/>
        <v>1259092.6949999998</v>
      </c>
      <c r="I24" s="117">
        <f t="shared" si="1"/>
        <v>1964606.76</v>
      </c>
      <c r="J24" s="118">
        <f t="shared" si="1"/>
        <v>14404.654999999999</v>
      </c>
      <c r="K24" s="117">
        <f t="shared" ref="K24:Z24" si="41">K88+K103</f>
        <v>313645.66500000004</v>
      </c>
      <c r="L24" s="118">
        <f t="shared" si="41"/>
        <v>14480989.640000001</v>
      </c>
      <c r="M24" s="117">
        <f t="shared" si="41"/>
        <v>120152855.73999999</v>
      </c>
      <c r="N24" s="127">
        <f t="shared" si="41"/>
        <v>25747209.859999999</v>
      </c>
      <c r="O24" s="117">
        <f t="shared" si="41"/>
        <v>26280956.880000003</v>
      </c>
      <c r="P24" s="118">
        <f t="shared" si="41"/>
        <v>226582493.37</v>
      </c>
      <c r="Q24" s="126">
        <f t="shared" si="41"/>
        <v>7445003.0549999997</v>
      </c>
      <c r="R24" s="118">
        <f t="shared" si="41"/>
        <v>19801267.055</v>
      </c>
      <c r="S24" s="126">
        <f t="shared" si="41"/>
        <v>8380624.4950000001</v>
      </c>
      <c r="T24" s="118">
        <f t="shared" si="41"/>
        <v>6619943.8700000001</v>
      </c>
      <c r="U24" s="126">
        <f t="shared" si="41"/>
        <v>2664959.21</v>
      </c>
      <c r="V24" s="118">
        <f t="shared" si="41"/>
        <v>216107.64499999999</v>
      </c>
      <c r="W24" s="126">
        <f t="shared" si="41"/>
        <v>52197.684999999998</v>
      </c>
      <c r="X24" s="118">
        <f t="shared" si="41"/>
        <v>7276440.8300000001</v>
      </c>
      <c r="Y24" s="126">
        <f t="shared" si="41"/>
        <v>539931.54499999993</v>
      </c>
      <c r="Z24" s="89">
        <f t="shared" si="41"/>
        <v>2437256.5649999999</v>
      </c>
      <c r="AA24" s="126">
        <f t="shared" ref="AA24:AV24" si="42">AA88+AA103</f>
        <v>3367348.1750000003</v>
      </c>
      <c r="AB24" s="89">
        <f t="shared" si="42"/>
        <v>6319203.1500000004</v>
      </c>
      <c r="AC24" s="126">
        <f t="shared" si="42"/>
        <v>66596.285000000003</v>
      </c>
      <c r="AD24" s="118">
        <f t="shared" si="42"/>
        <v>182733.29</v>
      </c>
      <c r="AE24" s="117">
        <f t="shared" si="42"/>
        <v>108109.07999999999</v>
      </c>
      <c r="AF24" s="118">
        <f t="shared" si="42"/>
        <v>1612837.5950000002</v>
      </c>
      <c r="AG24" s="117">
        <f t="shared" si="42"/>
        <v>237889.26500000001</v>
      </c>
      <c r="AH24" s="118">
        <f t="shared" si="42"/>
        <v>4540500.3250000002</v>
      </c>
      <c r="AI24" s="117">
        <f t="shared" si="42"/>
        <v>22439.57</v>
      </c>
      <c r="AJ24" s="118">
        <f t="shared" si="42"/>
        <v>637853.9</v>
      </c>
      <c r="AK24" s="117">
        <f t="shared" si="42"/>
        <v>42758.51</v>
      </c>
      <c r="AL24" s="118">
        <f t="shared" si="42"/>
        <v>2950549.8450000002</v>
      </c>
      <c r="AM24" s="117">
        <f t="shared" si="42"/>
        <v>1253009.645</v>
      </c>
      <c r="AN24" s="127">
        <f t="shared" si="42"/>
        <v>3277291.2050000001</v>
      </c>
      <c r="AO24" s="117">
        <f t="shared" si="42"/>
        <v>502255.58</v>
      </c>
      <c r="AP24" s="118">
        <f t="shared" si="42"/>
        <v>2806960.2150000003</v>
      </c>
      <c r="AQ24" s="126">
        <f t="shared" si="42"/>
        <v>0</v>
      </c>
      <c r="AR24" s="118">
        <f t="shared" si="3"/>
        <v>7490843.4649999999</v>
      </c>
      <c r="AS24" s="126">
        <f t="shared" si="3"/>
        <v>16492424.640000001</v>
      </c>
      <c r="AT24" s="118">
        <f t="shared" si="3"/>
        <v>152679.815</v>
      </c>
      <c r="AU24" s="126">
        <f t="shared" si="42"/>
        <v>0</v>
      </c>
      <c r="AV24" s="118">
        <f t="shared" si="42"/>
        <v>3370694.6399999997</v>
      </c>
      <c r="AW24" s="126">
        <f t="shared" ref="AW24:AX24" si="43">AW88+AW103</f>
        <v>4411060.5599999996</v>
      </c>
      <c r="AX24" s="118">
        <f t="shared" si="43"/>
        <v>109473.41879407375</v>
      </c>
      <c r="AY24" s="126">
        <f t="shared" ref="AY24:BB24" si="44">AY88+AY103</f>
        <v>0</v>
      </c>
      <c r="AZ24" s="118">
        <f t="shared" si="44"/>
        <v>0</v>
      </c>
      <c r="BA24" s="126">
        <f t="shared" si="44"/>
        <v>0</v>
      </c>
      <c r="BB24" s="118">
        <f t="shared" si="44"/>
        <v>0</v>
      </c>
      <c r="BC24" s="126">
        <f t="shared" ref="BC24" si="45">BC88+BC103</f>
        <v>0</v>
      </c>
      <c r="BD24" s="412"/>
      <c r="BE24" s="83"/>
      <c r="BF24" s="83"/>
    </row>
    <row r="25" spans="2:58">
      <c r="B25" s="104"/>
      <c r="C25" s="111" t="s">
        <v>546</v>
      </c>
      <c r="D25" s="84">
        <f t="shared" ref="D25:M25" si="46">AVERAGE(D12:D24)</f>
        <v>141489622.5</v>
      </c>
      <c r="E25" s="84">
        <f t="shared" si="46"/>
        <v>88185651.480000004</v>
      </c>
      <c r="F25" s="84">
        <f t="shared" si="46"/>
        <v>140831065.21000001</v>
      </c>
      <c r="G25" s="84">
        <f t="shared" si="46"/>
        <v>8744623.3700000029</v>
      </c>
      <c r="H25" s="84">
        <f t="shared" si="46"/>
        <v>1259092.6950000001</v>
      </c>
      <c r="I25" s="84">
        <f t="shared" si="46"/>
        <v>1964606.7600000005</v>
      </c>
      <c r="J25" s="84">
        <f t="shared" si="46"/>
        <v>14404.654999999999</v>
      </c>
      <c r="K25" s="84">
        <f t="shared" si="46"/>
        <v>313645.66500000004</v>
      </c>
      <c r="L25" s="84">
        <f t="shared" si="46"/>
        <v>14480989.639999999</v>
      </c>
      <c r="M25" s="84">
        <f t="shared" si="46"/>
        <v>120152855.73999999</v>
      </c>
      <c r="N25" s="84">
        <f t="shared" ref="N25:W25" si="47">AVERAGE(N12:N24)</f>
        <v>25747209.860000007</v>
      </c>
      <c r="O25" s="84">
        <f t="shared" si="47"/>
        <v>26280956.879999999</v>
      </c>
      <c r="P25" s="84">
        <f t="shared" si="47"/>
        <v>226582493.36999992</v>
      </c>
      <c r="Q25" s="84">
        <f t="shared" si="47"/>
        <v>7445003.0550000006</v>
      </c>
      <c r="R25" s="84">
        <f t="shared" si="47"/>
        <v>19801267.055000003</v>
      </c>
      <c r="S25" s="84">
        <f t="shared" si="47"/>
        <v>8380624.495000001</v>
      </c>
      <c r="T25" s="84">
        <f t="shared" si="47"/>
        <v>6619943.8700000001</v>
      </c>
      <c r="U25" s="84">
        <f>AVERAGE(U12:U24)</f>
        <v>2664959.2100000004</v>
      </c>
      <c r="V25" s="84">
        <f t="shared" si="47"/>
        <v>216107.64499999999</v>
      </c>
      <c r="W25" s="84">
        <f t="shared" si="47"/>
        <v>52197.685000000005</v>
      </c>
      <c r="X25" s="84">
        <f t="shared" ref="X25:AN25" si="48">AVERAGE(X12:X24)</f>
        <v>7276440.8299999991</v>
      </c>
      <c r="Y25" s="84">
        <f>AVERAGE(Y12:Y24)</f>
        <v>539931.54499999993</v>
      </c>
      <c r="Z25" s="84">
        <f t="shared" si="48"/>
        <v>2437256.5650000004</v>
      </c>
      <c r="AA25" s="84">
        <f>AVERAGE(AA12:AA24)</f>
        <v>3367348.1749999993</v>
      </c>
      <c r="AB25" s="84">
        <f>AVERAGE(AB12:AB24)</f>
        <v>6319203.1500000004</v>
      </c>
      <c r="AC25" s="84">
        <f>AVERAGE(AC12:AC24)</f>
        <v>66596.285000000018</v>
      </c>
      <c r="AD25" s="84">
        <f t="shared" si="48"/>
        <v>182733.29</v>
      </c>
      <c r="AE25" s="84">
        <f t="shared" si="48"/>
        <v>108109.08</v>
      </c>
      <c r="AF25" s="84">
        <f t="shared" si="48"/>
        <v>1612837.5950000002</v>
      </c>
      <c r="AG25" s="84">
        <f t="shared" si="48"/>
        <v>237889.2650000001</v>
      </c>
      <c r="AH25" s="84">
        <f t="shared" si="48"/>
        <v>4540500.3250000011</v>
      </c>
      <c r="AI25" s="84">
        <f t="shared" si="48"/>
        <v>22439.570000000003</v>
      </c>
      <c r="AJ25" s="84">
        <f t="shared" si="48"/>
        <v>637853.90000000014</v>
      </c>
      <c r="AK25" s="84">
        <f t="shared" si="48"/>
        <v>42758.51</v>
      </c>
      <c r="AL25" s="84">
        <f t="shared" si="48"/>
        <v>2950549.8449999993</v>
      </c>
      <c r="AM25" s="84">
        <f t="shared" si="48"/>
        <v>1253009.6449999998</v>
      </c>
      <c r="AN25" s="84">
        <f t="shared" si="48"/>
        <v>3277291.2049999991</v>
      </c>
      <c r="AO25" s="84">
        <f t="shared" ref="AO25:AU25" si="49">AVERAGE(AO12:AO24)</f>
        <v>502255.58</v>
      </c>
      <c r="AP25" s="84">
        <f t="shared" si="49"/>
        <v>2806960.2150000008</v>
      </c>
      <c r="AQ25" s="84">
        <f t="shared" si="49"/>
        <v>0</v>
      </c>
      <c r="AR25" s="84">
        <f t="shared" si="49"/>
        <v>7490843.4650000026</v>
      </c>
      <c r="AS25" s="84">
        <f t="shared" si="49"/>
        <v>16492424.639999995</v>
      </c>
      <c r="AT25" s="84">
        <f t="shared" si="49"/>
        <v>152679.81499999997</v>
      </c>
      <c r="AU25" s="84">
        <f t="shared" si="49"/>
        <v>0</v>
      </c>
      <c r="AV25" s="84">
        <f t="shared" ref="AV25:AW25" si="50">AVERAGE(AV12:AV24)</f>
        <v>3370694.64</v>
      </c>
      <c r="AW25" s="84">
        <f t="shared" si="50"/>
        <v>4411060.5600000005</v>
      </c>
      <c r="AX25" s="84">
        <f t="shared" ref="AX25:BA25" si="51">AVERAGE(AX12:AX24)</f>
        <v>16842.064429857499</v>
      </c>
      <c r="AY25" s="84">
        <f t="shared" si="51"/>
        <v>0</v>
      </c>
      <c r="AZ25" s="84">
        <f t="shared" si="51"/>
        <v>0</v>
      </c>
      <c r="BA25" s="84">
        <f t="shared" si="51"/>
        <v>0</v>
      </c>
      <c r="BB25" s="84">
        <f t="shared" ref="BB25:BC25" si="52">AVERAGE(BB12:BB24)</f>
        <v>0</v>
      </c>
      <c r="BC25" s="84">
        <f t="shared" si="52"/>
        <v>0</v>
      </c>
      <c r="BD25" s="197"/>
      <c r="BE25" s="985">
        <f>ROUND(SUM(D25:BD25),0)-ROUND(SUM('ATC Att GG ER21-2601'!E127),0)</f>
        <v>0</v>
      </c>
      <c r="BF25" s="83"/>
    </row>
    <row r="26" spans="2:58">
      <c r="B26" s="104"/>
      <c r="C26" s="86"/>
      <c r="D26" s="86"/>
      <c r="E26" s="86"/>
      <c r="F26" s="86"/>
      <c r="G26" s="86"/>
      <c r="H26" s="86"/>
      <c r="I26" s="86"/>
      <c r="J26" s="86"/>
      <c r="K26" s="86"/>
      <c r="L26" s="86"/>
      <c r="M26" s="86"/>
      <c r="N26" s="108"/>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108"/>
      <c r="AO26" s="86"/>
      <c r="AP26" s="86"/>
      <c r="AQ26" s="86"/>
      <c r="AR26" s="86"/>
      <c r="AS26" s="86"/>
      <c r="AT26" s="86"/>
      <c r="AU26" s="86"/>
      <c r="AV26" s="86"/>
      <c r="AW26" s="86"/>
      <c r="AX26" s="86"/>
      <c r="AY26" s="86"/>
      <c r="AZ26" s="86"/>
      <c r="BA26" s="86"/>
      <c r="BB26" s="86"/>
      <c r="BC26" s="86"/>
      <c r="BD26" s="111"/>
      <c r="BE26" s="83"/>
      <c r="BF26" s="83"/>
    </row>
    <row r="27" spans="2:58">
      <c r="B27" s="104"/>
      <c r="C27" s="86"/>
      <c r="D27" s="86"/>
      <c r="E27" s="86"/>
      <c r="F27" s="86"/>
      <c r="G27" s="86"/>
      <c r="H27" s="86"/>
      <c r="I27" s="86"/>
      <c r="J27" s="86"/>
      <c r="K27" s="86"/>
      <c r="L27" s="86"/>
      <c r="M27" s="86"/>
      <c r="N27" s="108"/>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108"/>
      <c r="AO27" s="86"/>
      <c r="AP27" s="86"/>
      <c r="AQ27" s="86"/>
      <c r="AR27" s="86"/>
      <c r="AS27" s="86"/>
      <c r="AT27" s="86"/>
      <c r="AU27" s="86"/>
      <c r="AV27" s="86"/>
      <c r="AW27" s="86"/>
      <c r="AX27" s="86"/>
      <c r="AY27" s="86"/>
      <c r="AZ27" s="86"/>
      <c r="BA27" s="86"/>
      <c r="BB27" s="86"/>
      <c r="BC27" s="86"/>
      <c r="BD27" s="111"/>
      <c r="BE27" s="83"/>
      <c r="BF27" s="83"/>
    </row>
    <row r="28" spans="2:58">
      <c r="B28" s="128" t="s">
        <v>550</v>
      </c>
      <c r="C28" s="555">
        <v>45992</v>
      </c>
      <c r="D28" s="95">
        <f t="shared" ref="D28:M28" si="53">+D12-D45</f>
        <v>53666096.39365986</v>
      </c>
      <c r="E28" s="96">
        <f t="shared" si="53"/>
        <v>36522822.237409137</v>
      </c>
      <c r="F28" s="95">
        <f t="shared" si="53"/>
        <v>42009496.472316355</v>
      </c>
      <c r="G28" s="96">
        <f t="shared" si="53"/>
        <v>4351643.4893072164</v>
      </c>
      <c r="H28" s="95">
        <f t="shared" si="53"/>
        <v>380150.85256880033</v>
      </c>
      <c r="I28" s="96">
        <f t="shared" si="53"/>
        <v>488526.94503909792</v>
      </c>
      <c r="J28" s="95">
        <f t="shared" si="53"/>
        <v>-340936.01000004495</v>
      </c>
      <c r="K28" s="96">
        <f t="shared" si="53"/>
        <v>-103731.39998784178</v>
      </c>
      <c r="L28" s="95">
        <f t="shared" si="53"/>
        <v>5304429.2008327097</v>
      </c>
      <c r="M28" s="96">
        <f t="shared" si="53"/>
        <v>46458693.924011379</v>
      </c>
      <c r="N28" s="97">
        <f t="shared" ref="N28:W28" si="54">+N12-N45</f>
        <v>4993145.5621287748</v>
      </c>
      <c r="O28" s="96">
        <f t="shared" si="54"/>
        <v>7519014.4862506166</v>
      </c>
      <c r="P28" s="95">
        <f t="shared" si="54"/>
        <v>45272774.651216775</v>
      </c>
      <c r="Q28" s="94">
        <f t="shared" si="54"/>
        <v>1398942.0042028027</v>
      </c>
      <c r="R28" s="95">
        <f t="shared" si="54"/>
        <v>2249167.5604005493</v>
      </c>
      <c r="S28" s="94">
        <f t="shared" si="54"/>
        <v>1545857.7345671682</v>
      </c>
      <c r="T28" s="95">
        <f t="shared" si="54"/>
        <v>1138676.1899728384</v>
      </c>
      <c r="U28" s="94">
        <f t="shared" ref="U28:U40" si="55">+U12-U45</f>
        <v>320447.01989310281</v>
      </c>
      <c r="V28" s="95">
        <f t="shared" si="54"/>
        <v>26319.30999775845</v>
      </c>
      <c r="W28" s="94">
        <f t="shared" si="54"/>
        <v>6313.5499884840319</v>
      </c>
      <c r="X28" s="95">
        <f t="shared" ref="X28:AN28" si="56">+X12-X45</f>
        <v>622750.78402077314</v>
      </c>
      <c r="Y28" s="94">
        <f t="shared" si="56"/>
        <v>132195.91491314012</v>
      </c>
      <c r="Z28" s="95">
        <f t="shared" si="56"/>
        <v>138962.36461615423</v>
      </c>
      <c r="AA28" s="94">
        <f t="shared" si="56"/>
        <v>248667.8408314893</v>
      </c>
      <c r="AB28" s="95">
        <f t="shared" si="56"/>
        <v>274333.43691943958</v>
      </c>
      <c r="AC28" s="94">
        <f t="shared" si="56"/>
        <v>3220.8050052926264</v>
      </c>
      <c r="AD28" s="95">
        <f t="shared" si="56"/>
        <v>9719.3700034794747</v>
      </c>
      <c r="AE28" s="96">
        <f t="shared" si="56"/>
        <v>4881.2921289493825</v>
      </c>
      <c r="AF28" s="95">
        <f t="shared" si="56"/>
        <v>51289.642401920864</v>
      </c>
      <c r="AG28" s="96">
        <f t="shared" si="56"/>
        <v>23377.209961882036</v>
      </c>
      <c r="AH28" s="95">
        <f t="shared" si="56"/>
        <v>353481.09430498676</v>
      </c>
      <c r="AI28" s="96">
        <f t="shared" si="56"/>
        <v>1282.8550005604302</v>
      </c>
      <c r="AJ28" s="95">
        <f t="shared" si="56"/>
        <v>37698.240142701892</v>
      </c>
      <c r="AK28" s="96">
        <f t="shared" si="56"/>
        <v>1794.6549951939742</v>
      </c>
      <c r="AL28" s="95">
        <f t="shared" si="56"/>
        <v>144937.19671282126</v>
      </c>
      <c r="AM28" s="96">
        <f t="shared" si="56"/>
        <v>37328.072203121381</v>
      </c>
      <c r="AN28" s="97">
        <f t="shared" si="56"/>
        <v>155758.56440121215</v>
      </c>
      <c r="AO28" s="96">
        <f t="shared" ref="AO28:AT40" si="57">+AO12-AO45</f>
        <v>25903.659992413246</v>
      </c>
      <c r="AP28" s="95">
        <f t="shared" si="57"/>
        <v>74389.410243591759</v>
      </c>
      <c r="AQ28" s="94">
        <f t="shared" si="57"/>
        <v>0</v>
      </c>
      <c r="AR28" s="95">
        <f t="shared" si="57"/>
        <v>163821.2633630177</v>
      </c>
      <c r="AS28" s="94">
        <f t="shared" si="57"/>
        <v>323356.4706133455</v>
      </c>
      <c r="AT28" s="95">
        <f t="shared" si="57"/>
        <v>3842.4777698747639</v>
      </c>
      <c r="AU28" s="94">
        <f t="shared" ref="AU28:AV40" si="58">+AU12-AU45</f>
        <v>0</v>
      </c>
      <c r="AV28" s="95">
        <f t="shared" si="58"/>
        <v>168984.66057814192</v>
      </c>
      <c r="AW28" s="94">
        <f t="shared" ref="AW28:AX28" si="59">+AW12-AW45</f>
        <v>218728.19035944575</v>
      </c>
      <c r="AX28" s="95">
        <f t="shared" si="59"/>
        <v>0</v>
      </c>
      <c r="AY28" s="94">
        <f t="shared" ref="AY28:BB28" si="60">+AY12-AY45</f>
        <v>0</v>
      </c>
      <c r="AZ28" s="95">
        <f t="shared" si="60"/>
        <v>0</v>
      </c>
      <c r="BA28" s="94">
        <f t="shared" si="60"/>
        <v>0</v>
      </c>
      <c r="BB28" s="95">
        <f t="shared" si="60"/>
        <v>0</v>
      </c>
      <c r="BC28" s="94">
        <f t="shared" ref="BC28" si="61">+BC12-BC45</f>
        <v>0</v>
      </c>
      <c r="BD28" s="412"/>
      <c r="BE28" s="83"/>
      <c r="BF28" s="83"/>
    </row>
    <row r="29" spans="2:58">
      <c r="B29" s="119" t="s">
        <v>549</v>
      </c>
      <c r="C29" s="556">
        <v>46023</v>
      </c>
      <c r="D29" s="89">
        <f t="shared" ref="D29:M29" si="62">+D13-D46</f>
        <v>53942163.269269854</v>
      </c>
      <c r="E29" s="90">
        <f t="shared" si="62"/>
        <v>36694856.07031066</v>
      </c>
      <c r="F29" s="89">
        <f t="shared" si="62"/>
        <v>42268941.457702428</v>
      </c>
      <c r="G29" s="90">
        <f t="shared" si="62"/>
        <v>4372940.7141917525</v>
      </c>
      <c r="H29" s="89">
        <f t="shared" si="62"/>
        <v>382858.28966360039</v>
      </c>
      <c r="I29" s="90">
        <f t="shared" si="62"/>
        <v>492975.20504561416</v>
      </c>
      <c r="J29" s="89">
        <f t="shared" si="62"/>
        <v>-340875.49500005238</v>
      </c>
      <c r="K29" s="90">
        <f t="shared" si="62"/>
        <v>-102992.85498581541</v>
      </c>
      <c r="L29" s="89">
        <f t="shared" si="62"/>
        <v>5338419.9909714945</v>
      </c>
      <c r="M29" s="90">
        <f t="shared" si="62"/>
        <v>46815696.564679936</v>
      </c>
      <c r="N29" s="91">
        <f t="shared" ref="N29:W29" si="63">+N13-N46</f>
        <v>5047981.3624835685</v>
      </c>
      <c r="O29" s="90">
        <f t="shared" si="63"/>
        <v>7580823.1772923842</v>
      </c>
      <c r="P29" s="89">
        <f t="shared" si="63"/>
        <v>45729861.124752909</v>
      </c>
      <c r="Q29" s="88">
        <f t="shared" si="63"/>
        <v>1415034.6940699369</v>
      </c>
      <c r="R29" s="89">
        <f t="shared" si="63"/>
        <v>2291812.9304673076</v>
      </c>
      <c r="S29" s="88">
        <f t="shared" si="63"/>
        <v>1565698.6744950293</v>
      </c>
      <c r="T29" s="89">
        <f t="shared" si="63"/>
        <v>1154054.2649683114</v>
      </c>
      <c r="U29" s="88">
        <f t="shared" si="55"/>
        <v>326795.07487528678</v>
      </c>
      <c r="V29" s="89">
        <f t="shared" si="63"/>
        <v>26904.149997384869</v>
      </c>
      <c r="W29" s="88">
        <f t="shared" si="63"/>
        <v>6454.8099865647018</v>
      </c>
      <c r="X29" s="89">
        <f t="shared" ref="X29:AK29" si="64">+X13-X46</f>
        <v>639794.79885756876</v>
      </c>
      <c r="Y29" s="88">
        <f t="shared" ref="Y29:Y40" si="65">+Y13-Y46</f>
        <v>133701.21989866352</v>
      </c>
      <c r="Z29" s="89">
        <f t="shared" si="64"/>
        <v>144421.38955217972</v>
      </c>
      <c r="AA29" s="88">
        <f t="shared" ref="AA29:AB40" si="66">+AA13-AA46</f>
        <v>256202.50097007072</v>
      </c>
      <c r="AB29" s="89">
        <f t="shared" si="66"/>
        <v>288585.43807267956</v>
      </c>
      <c r="AC29" s="88">
        <f t="shared" si="64"/>
        <v>3375.0900061747307</v>
      </c>
      <c r="AD29" s="89">
        <f t="shared" si="64"/>
        <v>10098.720004059374</v>
      </c>
      <c r="AE29" s="90">
        <f t="shared" si="64"/>
        <v>5131.7083171076083</v>
      </c>
      <c r="AF29" s="89">
        <f t="shared" si="64"/>
        <v>55563.80946890777</v>
      </c>
      <c r="AG29" s="90">
        <f t="shared" si="64"/>
        <v>24040.329955529014</v>
      </c>
      <c r="AH29" s="89">
        <f t="shared" si="64"/>
        <v>364354.87918915087</v>
      </c>
      <c r="AI29" s="90">
        <f t="shared" si="64"/>
        <v>1334.8400006538359</v>
      </c>
      <c r="AJ29" s="89">
        <f t="shared" si="64"/>
        <v>39581.120166485547</v>
      </c>
      <c r="AK29" s="90">
        <f t="shared" si="64"/>
        <v>1879.1049943929684</v>
      </c>
      <c r="AL29" s="89">
        <f t="shared" ref="AL29:AO40" si="67">+AL13-AL46</f>
        <v>152160.80616495851</v>
      </c>
      <c r="AM29" s="90">
        <f t="shared" si="67"/>
        <v>40887.3825703084</v>
      </c>
      <c r="AN29" s="91">
        <f t="shared" si="67"/>
        <v>162908.33430141443</v>
      </c>
      <c r="AO29" s="90">
        <f t="shared" si="67"/>
        <v>27090.169991148752</v>
      </c>
      <c r="AP29" s="89">
        <f t="shared" si="57"/>
        <v>81144.810284190811</v>
      </c>
      <c r="AQ29" s="88">
        <f t="shared" si="57"/>
        <v>0</v>
      </c>
      <c r="AR29" s="89">
        <f t="shared" si="57"/>
        <v>182027.46142352186</v>
      </c>
      <c r="AS29" s="88">
        <f t="shared" si="57"/>
        <v>359284.98404890299</v>
      </c>
      <c r="AT29" s="89">
        <f t="shared" si="57"/>
        <v>4210.3515648538887</v>
      </c>
      <c r="AU29" s="88">
        <f t="shared" si="58"/>
        <v>0</v>
      </c>
      <c r="AV29" s="89">
        <f t="shared" si="58"/>
        <v>176706.02567449864</v>
      </c>
      <c r="AW29" s="88">
        <f t="shared" ref="AW29:AX29" si="68">+AW13-AW46</f>
        <v>228638.94541935343</v>
      </c>
      <c r="AX29" s="89">
        <f t="shared" si="68"/>
        <v>0</v>
      </c>
      <c r="AY29" s="88">
        <f t="shared" ref="AY29:BB29" si="69">+AY13-AY46</f>
        <v>0</v>
      </c>
      <c r="AZ29" s="89">
        <f t="shared" si="69"/>
        <v>0</v>
      </c>
      <c r="BA29" s="88">
        <f t="shared" si="69"/>
        <v>0</v>
      </c>
      <c r="BB29" s="89">
        <f t="shared" si="69"/>
        <v>0</v>
      </c>
      <c r="BC29" s="88">
        <f t="shared" ref="BC29" si="70">+BC13-BC46</f>
        <v>0</v>
      </c>
      <c r="BD29" s="412"/>
      <c r="BE29" s="83"/>
      <c r="BF29" s="83"/>
    </row>
    <row r="30" spans="2:58">
      <c r="B30" s="119"/>
      <c r="C30" s="557">
        <v>46054</v>
      </c>
      <c r="D30" s="89">
        <f t="shared" ref="D30:M30" si="71">+D14-D47</f>
        <v>54218230.144879818</v>
      </c>
      <c r="E30" s="90">
        <f t="shared" si="71"/>
        <v>36866889.903212182</v>
      </c>
      <c r="F30" s="89">
        <f t="shared" si="71"/>
        <v>42528386.443088472</v>
      </c>
      <c r="G30" s="90">
        <f t="shared" si="71"/>
        <v>4394237.9390762886</v>
      </c>
      <c r="H30" s="89">
        <f t="shared" si="71"/>
        <v>385565.72675840044</v>
      </c>
      <c r="I30" s="90">
        <f t="shared" si="71"/>
        <v>497423.4650521304</v>
      </c>
      <c r="J30" s="89">
        <f t="shared" si="71"/>
        <v>-340814.98000005994</v>
      </c>
      <c r="K30" s="90">
        <f t="shared" si="71"/>
        <v>-102254.30998378905</v>
      </c>
      <c r="L30" s="89">
        <f t="shared" si="71"/>
        <v>5372410.7811102793</v>
      </c>
      <c r="M30" s="90">
        <f t="shared" si="71"/>
        <v>47172699.205348507</v>
      </c>
      <c r="N30" s="91">
        <f t="shared" ref="N30:W30" si="72">+N14-N47</f>
        <v>5102817.1628383622</v>
      </c>
      <c r="O30" s="90">
        <f t="shared" si="72"/>
        <v>7642631.8683341555</v>
      </c>
      <c r="P30" s="89">
        <f t="shared" si="72"/>
        <v>46186947.598289043</v>
      </c>
      <c r="Q30" s="88">
        <f t="shared" si="72"/>
        <v>1431127.3839370711</v>
      </c>
      <c r="R30" s="89">
        <f t="shared" si="72"/>
        <v>2334458.3005340658</v>
      </c>
      <c r="S30" s="88">
        <f t="shared" si="72"/>
        <v>1585539.6144228904</v>
      </c>
      <c r="T30" s="89">
        <f t="shared" si="72"/>
        <v>1169432.3399637844</v>
      </c>
      <c r="U30" s="88">
        <f t="shared" si="55"/>
        <v>333143.12985747028</v>
      </c>
      <c r="V30" s="89">
        <f t="shared" si="72"/>
        <v>27488.98999701126</v>
      </c>
      <c r="W30" s="88">
        <f t="shared" si="72"/>
        <v>6596.0699846453717</v>
      </c>
      <c r="X30" s="89">
        <f t="shared" ref="X30:AK30" si="73">+X14-X47</f>
        <v>656838.81369436439</v>
      </c>
      <c r="Y30" s="88">
        <f t="shared" si="65"/>
        <v>135206.52488418692</v>
      </c>
      <c r="Z30" s="89">
        <f t="shared" si="73"/>
        <v>149880.41448820569</v>
      </c>
      <c r="AA30" s="88">
        <f t="shared" si="66"/>
        <v>263737.16110865213</v>
      </c>
      <c r="AB30" s="89">
        <f t="shared" si="66"/>
        <v>302837.43922591954</v>
      </c>
      <c r="AC30" s="88">
        <f t="shared" si="73"/>
        <v>3529.3750070568349</v>
      </c>
      <c r="AD30" s="89">
        <f t="shared" si="73"/>
        <v>10478.070004639274</v>
      </c>
      <c r="AE30" s="90">
        <f t="shared" si="73"/>
        <v>5382.1245052658487</v>
      </c>
      <c r="AF30" s="89">
        <f t="shared" si="73"/>
        <v>59837.976535894442</v>
      </c>
      <c r="AG30" s="90">
        <f t="shared" si="73"/>
        <v>24703.449949176022</v>
      </c>
      <c r="AH30" s="89">
        <f t="shared" si="73"/>
        <v>375228.66407331545</v>
      </c>
      <c r="AI30" s="90">
        <f t="shared" si="73"/>
        <v>1386.8250007472416</v>
      </c>
      <c r="AJ30" s="89">
        <f t="shared" si="73"/>
        <v>41464.000190269086</v>
      </c>
      <c r="AK30" s="90">
        <f t="shared" si="73"/>
        <v>1963.5549935919626</v>
      </c>
      <c r="AL30" s="89">
        <f t="shared" si="67"/>
        <v>159384.41561709484</v>
      </c>
      <c r="AM30" s="90">
        <f t="shared" si="67"/>
        <v>44446.692937495187</v>
      </c>
      <c r="AN30" s="91">
        <f t="shared" si="67"/>
        <v>170058.10420161625</v>
      </c>
      <c r="AO30" s="90">
        <f t="shared" si="67"/>
        <v>28276.679989884316</v>
      </c>
      <c r="AP30" s="89">
        <f t="shared" si="57"/>
        <v>87900.210324789397</v>
      </c>
      <c r="AQ30" s="88">
        <f t="shared" si="57"/>
        <v>0</v>
      </c>
      <c r="AR30" s="89">
        <f t="shared" si="57"/>
        <v>200233.65948402416</v>
      </c>
      <c r="AS30" s="88">
        <f t="shared" si="57"/>
        <v>395213.49748446047</v>
      </c>
      <c r="AT30" s="89">
        <f t="shared" si="57"/>
        <v>4578.2253598330135</v>
      </c>
      <c r="AU30" s="88">
        <f t="shared" si="58"/>
        <v>0</v>
      </c>
      <c r="AV30" s="89">
        <f t="shared" si="58"/>
        <v>184427.39077085583</v>
      </c>
      <c r="AW30" s="88">
        <f t="shared" ref="AW30:AX30" si="74">+AW14-AW47</f>
        <v>238549.70047926111</v>
      </c>
      <c r="AX30" s="89">
        <f t="shared" si="74"/>
        <v>0</v>
      </c>
      <c r="AY30" s="88">
        <f t="shared" ref="AY30:BB30" si="75">+AY14-AY47</f>
        <v>0</v>
      </c>
      <c r="AZ30" s="89">
        <f t="shared" si="75"/>
        <v>0</v>
      </c>
      <c r="BA30" s="88">
        <f t="shared" si="75"/>
        <v>0</v>
      </c>
      <c r="BB30" s="89">
        <f t="shared" si="75"/>
        <v>0</v>
      </c>
      <c r="BC30" s="88">
        <f t="shared" ref="BC30" si="76">+BC14-BC47</f>
        <v>0</v>
      </c>
      <c r="BD30" s="412"/>
      <c r="BE30" s="83"/>
      <c r="BF30" s="83"/>
    </row>
    <row r="31" spans="2:58">
      <c r="B31" s="119"/>
      <c r="C31" s="557">
        <v>46082</v>
      </c>
      <c r="D31" s="89">
        <f t="shared" ref="D31:M31" si="77">+D15-D48</f>
        <v>54494297.020489812</v>
      </c>
      <c r="E31" s="90">
        <f t="shared" si="77"/>
        <v>37038923.736113705</v>
      </c>
      <c r="F31" s="89">
        <f t="shared" si="77"/>
        <v>42787831.428474545</v>
      </c>
      <c r="G31" s="90">
        <f t="shared" si="77"/>
        <v>4415535.1639608247</v>
      </c>
      <c r="H31" s="89">
        <f t="shared" si="77"/>
        <v>388273.1638532005</v>
      </c>
      <c r="I31" s="90">
        <f t="shared" si="77"/>
        <v>501871.72505864664</v>
      </c>
      <c r="J31" s="89">
        <f t="shared" si="77"/>
        <v>-340754.46500006737</v>
      </c>
      <c r="K31" s="90">
        <f t="shared" si="77"/>
        <v>-101515.76498176268</v>
      </c>
      <c r="L31" s="89">
        <f t="shared" si="77"/>
        <v>5406401.5712490641</v>
      </c>
      <c r="M31" s="90">
        <f t="shared" si="77"/>
        <v>47529701.846017078</v>
      </c>
      <c r="N31" s="91">
        <f t="shared" ref="N31:W31" si="78">+N15-N48</f>
        <v>5157652.9631931596</v>
      </c>
      <c r="O31" s="90">
        <f t="shared" si="78"/>
        <v>7704440.5593759269</v>
      </c>
      <c r="P31" s="89">
        <f t="shared" si="78"/>
        <v>46644034.071825147</v>
      </c>
      <c r="Q31" s="88">
        <f t="shared" si="78"/>
        <v>1447220.0738042053</v>
      </c>
      <c r="R31" s="89">
        <f t="shared" si="78"/>
        <v>2377103.6706008241</v>
      </c>
      <c r="S31" s="88">
        <f t="shared" si="78"/>
        <v>1605380.5543507515</v>
      </c>
      <c r="T31" s="89">
        <f t="shared" si="78"/>
        <v>1184810.4149592575</v>
      </c>
      <c r="U31" s="88">
        <f t="shared" si="55"/>
        <v>339491.18483965425</v>
      </c>
      <c r="V31" s="89">
        <f t="shared" si="78"/>
        <v>28073.82999663768</v>
      </c>
      <c r="W31" s="88">
        <f t="shared" si="78"/>
        <v>6737.3299827260489</v>
      </c>
      <c r="X31" s="89">
        <f t="shared" ref="X31:AK31" si="79">+X15-X48</f>
        <v>673882.82853115909</v>
      </c>
      <c r="Y31" s="88">
        <f t="shared" si="65"/>
        <v>136711.82986971026</v>
      </c>
      <c r="Z31" s="89">
        <f t="shared" si="79"/>
        <v>155339.43942423118</v>
      </c>
      <c r="AA31" s="88">
        <f t="shared" si="66"/>
        <v>271271.82124723354</v>
      </c>
      <c r="AB31" s="89">
        <f t="shared" si="66"/>
        <v>317089.44037915953</v>
      </c>
      <c r="AC31" s="88">
        <f t="shared" si="79"/>
        <v>3683.6600079389391</v>
      </c>
      <c r="AD31" s="89">
        <f t="shared" si="79"/>
        <v>10857.420005219203</v>
      </c>
      <c r="AE31" s="90">
        <f t="shared" si="79"/>
        <v>5632.5406934240746</v>
      </c>
      <c r="AF31" s="89">
        <f t="shared" si="79"/>
        <v>64112.143602881348</v>
      </c>
      <c r="AG31" s="90">
        <f t="shared" si="79"/>
        <v>25366.569942823029</v>
      </c>
      <c r="AH31" s="89">
        <f t="shared" si="79"/>
        <v>386102.44895748002</v>
      </c>
      <c r="AI31" s="90">
        <f t="shared" si="79"/>
        <v>1438.8100008406436</v>
      </c>
      <c r="AJ31" s="89">
        <f t="shared" si="79"/>
        <v>43346.88021405274</v>
      </c>
      <c r="AK31" s="90">
        <f t="shared" si="79"/>
        <v>2048.004992790964</v>
      </c>
      <c r="AL31" s="89">
        <f t="shared" si="67"/>
        <v>166608.0250692321</v>
      </c>
      <c r="AM31" s="90">
        <f t="shared" si="67"/>
        <v>48006.003304681974</v>
      </c>
      <c r="AN31" s="91">
        <f t="shared" si="67"/>
        <v>177207.87410181854</v>
      </c>
      <c r="AO31" s="90">
        <f t="shared" si="67"/>
        <v>29463.189988619823</v>
      </c>
      <c r="AP31" s="89">
        <f t="shared" si="57"/>
        <v>94655.610365387984</v>
      </c>
      <c r="AQ31" s="88">
        <f t="shared" si="57"/>
        <v>0</v>
      </c>
      <c r="AR31" s="89">
        <f t="shared" si="57"/>
        <v>218439.85754452739</v>
      </c>
      <c r="AS31" s="88">
        <f t="shared" si="57"/>
        <v>431142.01092001796</v>
      </c>
      <c r="AT31" s="89">
        <f t="shared" si="57"/>
        <v>4946.0991548121383</v>
      </c>
      <c r="AU31" s="88">
        <f t="shared" si="58"/>
        <v>0</v>
      </c>
      <c r="AV31" s="89">
        <f t="shared" si="58"/>
        <v>192148.75586721301</v>
      </c>
      <c r="AW31" s="88">
        <f t="shared" ref="AW31:AX31" si="80">+AW15-AW48</f>
        <v>248460.45553916879</v>
      </c>
      <c r="AX31" s="89">
        <f t="shared" si="80"/>
        <v>0</v>
      </c>
      <c r="AY31" s="88">
        <f t="shared" ref="AY31:BB31" si="81">+AY15-AY48</f>
        <v>0</v>
      </c>
      <c r="AZ31" s="89">
        <f t="shared" si="81"/>
        <v>0</v>
      </c>
      <c r="BA31" s="88">
        <f t="shared" si="81"/>
        <v>0</v>
      </c>
      <c r="BB31" s="89">
        <f t="shared" si="81"/>
        <v>0</v>
      </c>
      <c r="BC31" s="88">
        <f t="shared" ref="BC31" si="82">+BC15-BC48</f>
        <v>0</v>
      </c>
      <c r="BD31" s="412"/>
      <c r="BE31" s="83"/>
      <c r="BF31" s="83"/>
    </row>
    <row r="32" spans="2:58">
      <c r="B32" s="119"/>
      <c r="C32" s="557">
        <v>46113</v>
      </c>
      <c r="D32" s="89">
        <f t="shared" ref="D32:M32" si="83">+D16-D49</f>
        <v>54770363.896099776</v>
      </c>
      <c r="E32" s="90">
        <f t="shared" si="83"/>
        <v>37210957.569015227</v>
      </c>
      <c r="F32" s="89">
        <f t="shared" si="83"/>
        <v>43047276.413860589</v>
      </c>
      <c r="G32" s="90">
        <f t="shared" si="83"/>
        <v>4436832.3888453608</v>
      </c>
      <c r="H32" s="89">
        <f t="shared" si="83"/>
        <v>390980.60094800056</v>
      </c>
      <c r="I32" s="90">
        <f t="shared" si="83"/>
        <v>506319.98506516288</v>
      </c>
      <c r="J32" s="89">
        <f t="shared" si="83"/>
        <v>-340693.95000007492</v>
      </c>
      <c r="K32" s="90">
        <f t="shared" si="83"/>
        <v>-100777.21997973631</v>
      </c>
      <c r="L32" s="89">
        <f t="shared" si="83"/>
        <v>5440392.3613878489</v>
      </c>
      <c r="M32" s="90">
        <f t="shared" si="83"/>
        <v>47886704.486685634</v>
      </c>
      <c r="N32" s="91">
        <f t="shared" ref="N32:W32" si="84">+N16-N49</f>
        <v>5212488.7635479569</v>
      </c>
      <c r="O32" s="90">
        <f t="shared" si="84"/>
        <v>7766249.2504176944</v>
      </c>
      <c r="P32" s="89">
        <f t="shared" si="84"/>
        <v>47101120.54536128</v>
      </c>
      <c r="Q32" s="88">
        <f t="shared" si="84"/>
        <v>1463312.7636713386</v>
      </c>
      <c r="R32" s="89">
        <f t="shared" si="84"/>
        <v>2419749.0406675823</v>
      </c>
      <c r="S32" s="88">
        <f t="shared" si="84"/>
        <v>1625221.4942786135</v>
      </c>
      <c r="T32" s="89">
        <f t="shared" si="84"/>
        <v>1200188.4899547305</v>
      </c>
      <c r="U32" s="88">
        <f t="shared" si="55"/>
        <v>345839.23982183775</v>
      </c>
      <c r="V32" s="89">
        <f t="shared" si="84"/>
        <v>28658.6699962641</v>
      </c>
      <c r="W32" s="88">
        <f t="shared" si="84"/>
        <v>6878.5899808067188</v>
      </c>
      <c r="X32" s="89">
        <f t="shared" ref="X32:AK32" si="85">+X16-X49</f>
        <v>690926.84336795472</v>
      </c>
      <c r="Y32" s="88">
        <f t="shared" si="65"/>
        <v>138217.1348552336</v>
      </c>
      <c r="Z32" s="89">
        <f t="shared" si="85"/>
        <v>160798.46436025715</v>
      </c>
      <c r="AA32" s="88">
        <f t="shared" si="66"/>
        <v>278806.48138581542</v>
      </c>
      <c r="AB32" s="89">
        <f t="shared" si="66"/>
        <v>331341.44153239951</v>
      </c>
      <c r="AC32" s="88">
        <f t="shared" si="85"/>
        <v>3837.9450088210433</v>
      </c>
      <c r="AD32" s="89">
        <f t="shared" si="85"/>
        <v>11236.770005799102</v>
      </c>
      <c r="AE32" s="90">
        <f t="shared" si="85"/>
        <v>5882.9568815823004</v>
      </c>
      <c r="AF32" s="89">
        <f t="shared" si="85"/>
        <v>68386.31066986802</v>
      </c>
      <c r="AG32" s="90">
        <f t="shared" si="85"/>
        <v>26029.689936470037</v>
      </c>
      <c r="AH32" s="89">
        <f t="shared" si="85"/>
        <v>396976.2338416446</v>
      </c>
      <c r="AI32" s="90">
        <f t="shared" si="85"/>
        <v>1490.7950009340493</v>
      </c>
      <c r="AJ32" s="89">
        <f t="shared" si="85"/>
        <v>45229.760237836395</v>
      </c>
      <c r="AK32" s="90">
        <f t="shared" si="85"/>
        <v>2132.4549919899582</v>
      </c>
      <c r="AL32" s="89">
        <f t="shared" si="67"/>
        <v>173831.63452136936</v>
      </c>
      <c r="AM32" s="90">
        <f t="shared" si="67"/>
        <v>51565.313671868993</v>
      </c>
      <c r="AN32" s="91">
        <f t="shared" si="67"/>
        <v>184357.64400202036</v>
      </c>
      <c r="AO32" s="90">
        <f t="shared" si="67"/>
        <v>30649.699987355387</v>
      </c>
      <c r="AP32" s="89">
        <f t="shared" si="57"/>
        <v>101411.01040598657</v>
      </c>
      <c r="AQ32" s="88">
        <f t="shared" si="57"/>
        <v>0</v>
      </c>
      <c r="AR32" s="89">
        <f t="shared" si="57"/>
        <v>236646.05560502969</v>
      </c>
      <c r="AS32" s="88">
        <f t="shared" si="57"/>
        <v>467070.52435557544</v>
      </c>
      <c r="AT32" s="89">
        <f t="shared" si="57"/>
        <v>5313.9729497912631</v>
      </c>
      <c r="AU32" s="88">
        <f t="shared" si="58"/>
        <v>0</v>
      </c>
      <c r="AV32" s="89">
        <f t="shared" si="58"/>
        <v>199870.12096356973</v>
      </c>
      <c r="AW32" s="88">
        <f t="shared" ref="AW32:AX32" si="86">+AW16-AW49</f>
        <v>258371.21059907647</v>
      </c>
      <c r="AX32" s="89">
        <f t="shared" si="86"/>
        <v>0</v>
      </c>
      <c r="AY32" s="88">
        <f t="shared" ref="AY32:BB32" si="87">+AY16-AY49</f>
        <v>0</v>
      </c>
      <c r="AZ32" s="89">
        <f t="shared" si="87"/>
        <v>0</v>
      </c>
      <c r="BA32" s="88">
        <f t="shared" si="87"/>
        <v>0</v>
      </c>
      <c r="BB32" s="89">
        <f t="shared" si="87"/>
        <v>0</v>
      </c>
      <c r="BC32" s="88">
        <f t="shared" ref="BC32" si="88">+BC16-BC49</f>
        <v>0</v>
      </c>
      <c r="BD32" s="412"/>
      <c r="BE32" s="83"/>
      <c r="BF32" s="83"/>
    </row>
    <row r="33" spans="2:58">
      <c r="B33" s="119"/>
      <c r="C33" s="557">
        <v>46143</v>
      </c>
      <c r="D33" s="89">
        <f t="shared" ref="D33:M33" si="89">+D17-D50</f>
        <v>55046430.77170977</v>
      </c>
      <c r="E33" s="90">
        <f t="shared" si="89"/>
        <v>37382991.40191675</v>
      </c>
      <c r="F33" s="89">
        <f t="shared" si="89"/>
        <v>43306721.399246663</v>
      </c>
      <c r="G33" s="90">
        <f t="shared" si="89"/>
        <v>4458129.613729897</v>
      </c>
      <c r="H33" s="89">
        <f t="shared" si="89"/>
        <v>393688.03804280062</v>
      </c>
      <c r="I33" s="90">
        <f t="shared" si="89"/>
        <v>510768.24507167935</v>
      </c>
      <c r="J33" s="89">
        <f t="shared" si="89"/>
        <v>-340633.43500008236</v>
      </c>
      <c r="K33" s="90">
        <f t="shared" si="89"/>
        <v>-100038.67497770995</v>
      </c>
      <c r="L33" s="89">
        <f t="shared" si="89"/>
        <v>5474383.1515266337</v>
      </c>
      <c r="M33" s="90">
        <f t="shared" si="89"/>
        <v>48243707.12735419</v>
      </c>
      <c r="N33" s="91">
        <f t="shared" ref="N33:W33" si="90">+N17-N50</f>
        <v>5267324.5639027506</v>
      </c>
      <c r="O33" s="90">
        <f t="shared" si="90"/>
        <v>7828057.941459462</v>
      </c>
      <c r="P33" s="89">
        <f t="shared" si="90"/>
        <v>47558207.018897414</v>
      </c>
      <c r="Q33" s="88">
        <f t="shared" si="90"/>
        <v>1479405.4535384718</v>
      </c>
      <c r="R33" s="89">
        <f t="shared" si="90"/>
        <v>2462394.4107343405</v>
      </c>
      <c r="S33" s="88">
        <f t="shared" si="90"/>
        <v>1645062.4342064746</v>
      </c>
      <c r="T33" s="89">
        <f t="shared" si="90"/>
        <v>1215566.5649502035</v>
      </c>
      <c r="U33" s="88">
        <f t="shared" si="55"/>
        <v>352187.29480402172</v>
      </c>
      <c r="V33" s="89">
        <f t="shared" si="90"/>
        <v>29243.50999589049</v>
      </c>
      <c r="W33" s="88">
        <f t="shared" si="90"/>
        <v>7019.8499788873887</v>
      </c>
      <c r="X33" s="89">
        <f t="shared" ref="X33:AK33" si="91">+X17-X50</f>
        <v>707970.85820475034</v>
      </c>
      <c r="Y33" s="88">
        <f t="shared" si="65"/>
        <v>139722.439840757</v>
      </c>
      <c r="Z33" s="89">
        <f t="shared" si="91"/>
        <v>166257.48929628264</v>
      </c>
      <c r="AA33" s="88">
        <f t="shared" si="66"/>
        <v>286341.14152439684</v>
      </c>
      <c r="AB33" s="89">
        <f t="shared" si="66"/>
        <v>345593.44268563949</v>
      </c>
      <c r="AC33" s="88">
        <f t="shared" si="91"/>
        <v>3992.2300097031475</v>
      </c>
      <c r="AD33" s="89">
        <f t="shared" si="91"/>
        <v>11616.120006379002</v>
      </c>
      <c r="AE33" s="90">
        <f t="shared" si="91"/>
        <v>6133.3730697405408</v>
      </c>
      <c r="AF33" s="89">
        <f t="shared" si="91"/>
        <v>72660.477736854926</v>
      </c>
      <c r="AG33" s="90">
        <f t="shared" si="91"/>
        <v>26692.809930117044</v>
      </c>
      <c r="AH33" s="89">
        <f t="shared" si="91"/>
        <v>407850.01872580871</v>
      </c>
      <c r="AI33" s="90">
        <f t="shared" si="91"/>
        <v>1542.780001027455</v>
      </c>
      <c r="AJ33" s="89">
        <f t="shared" si="91"/>
        <v>47112.64026162005</v>
      </c>
      <c r="AK33" s="90">
        <f t="shared" si="91"/>
        <v>2216.9049911889524</v>
      </c>
      <c r="AL33" s="89">
        <f t="shared" si="67"/>
        <v>181055.24397350568</v>
      </c>
      <c r="AM33" s="90">
        <f t="shared" si="67"/>
        <v>55124.624039056012</v>
      </c>
      <c r="AN33" s="91">
        <f t="shared" si="67"/>
        <v>191507.41390222264</v>
      </c>
      <c r="AO33" s="90">
        <f t="shared" si="67"/>
        <v>31836.209986090951</v>
      </c>
      <c r="AP33" s="89">
        <f t="shared" si="57"/>
        <v>108166.41044658516</v>
      </c>
      <c r="AQ33" s="88">
        <f t="shared" si="57"/>
        <v>0</v>
      </c>
      <c r="AR33" s="89">
        <f t="shared" si="57"/>
        <v>254852.25366553385</v>
      </c>
      <c r="AS33" s="88">
        <f t="shared" si="57"/>
        <v>502999.03779113293</v>
      </c>
      <c r="AT33" s="89">
        <f t="shared" si="57"/>
        <v>5681.8467447703879</v>
      </c>
      <c r="AU33" s="88">
        <f t="shared" si="58"/>
        <v>0</v>
      </c>
      <c r="AV33" s="89">
        <f t="shared" si="58"/>
        <v>207591.48605992692</v>
      </c>
      <c r="AW33" s="88">
        <f t="shared" ref="AW33:AX33" si="92">+AW17-AW50</f>
        <v>268281.96565898415</v>
      </c>
      <c r="AX33" s="89">
        <f t="shared" si="92"/>
        <v>0</v>
      </c>
      <c r="AY33" s="88">
        <f t="shared" ref="AY33:BB33" si="93">+AY17-AY50</f>
        <v>0</v>
      </c>
      <c r="AZ33" s="89">
        <f t="shared" si="93"/>
        <v>0</v>
      </c>
      <c r="BA33" s="88">
        <f t="shared" si="93"/>
        <v>0</v>
      </c>
      <c r="BB33" s="89">
        <f t="shared" si="93"/>
        <v>0</v>
      </c>
      <c r="BC33" s="88">
        <f t="shared" ref="BC33" si="94">+BC17-BC50</f>
        <v>0</v>
      </c>
      <c r="BD33" s="412"/>
      <c r="BE33" s="83"/>
      <c r="BF33" s="83"/>
    </row>
    <row r="34" spans="2:58">
      <c r="B34" s="119"/>
      <c r="C34" s="557">
        <v>46174</v>
      </c>
      <c r="D34" s="89">
        <f t="shared" ref="D34:M34" si="95">+D18-D51</f>
        <v>55322497.647319734</v>
      </c>
      <c r="E34" s="90">
        <f t="shared" si="95"/>
        <v>37555025.234818272</v>
      </c>
      <c r="F34" s="89">
        <f t="shared" si="95"/>
        <v>43566166.384632707</v>
      </c>
      <c r="G34" s="90">
        <f t="shared" si="95"/>
        <v>4479426.8386144331</v>
      </c>
      <c r="H34" s="89">
        <f t="shared" si="95"/>
        <v>396395.47513760068</v>
      </c>
      <c r="I34" s="90">
        <f t="shared" si="95"/>
        <v>515216.50507819559</v>
      </c>
      <c r="J34" s="89">
        <f t="shared" si="95"/>
        <v>-340572.92000008991</v>
      </c>
      <c r="K34" s="90">
        <f t="shared" si="95"/>
        <v>-99300.12997568358</v>
      </c>
      <c r="L34" s="89">
        <f t="shared" si="95"/>
        <v>5508373.9416654184</v>
      </c>
      <c r="M34" s="90">
        <f t="shared" si="95"/>
        <v>48600709.768022761</v>
      </c>
      <c r="N34" s="91">
        <f t="shared" ref="N34:W34" si="96">+N18-N51</f>
        <v>5322160.3642575443</v>
      </c>
      <c r="O34" s="90">
        <f t="shared" si="96"/>
        <v>7889866.6325012334</v>
      </c>
      <c r="P34" s="89">
        <f t="shared" si="96"/>
        <v>48015293.492433548</v>
      </c>
      <c r="Q34" s="88">
        <f t="shared" si="96"/>
        <v>1495498.143405607</v>
      </c>
      <c r="R34" s="89">
        <f t="shared" si="96"/>
        <v>2505039.7808010988</v>
      </c>
      <c r="S34" s="88">
        <f t="shared" si="96"/>
        <v>1664903.3741343357</v>
      </c>
      <c r="T34" s="89">
        <f t="shared" si="96"/>
        <v>1230944.6399456766</v>
      </c>
      <c r="U34" s="88">
        <f t="shared" si="55"/>
        <v>358535.34978620568</v>
      </c>
      <c r="V34" s="89">
        <f t="shared" si="96"/>
        <v>29828.34999551691</v>
      </c>
      <c r="W34" s="88">
        <f t="shared" si="96"/>
        <v>7161.1099769680586</v>
      </c>
      <c r="X34" s="89">
        <f t="shared" ref="X34:AK34" si="97">+X18-X51</f>
        <v>725014.87304154597</v>
      </c>
      <c r="Y34" s="88">
        <f t="shared" si="65"/>
        <v>141227.7448262804</v>
      </c>
      <c r="Z34" s="89">
        <f t="shared" si="97"/>
        <v>171716.5142323086</v>
      </c>
      <c r="AA34" s="88">
        <f t="shared" si="66"/>
        <v>293875.80166297825</v>
      </c>
      <c r="AB34" s="89">
        <f t="shared" si="66"/>
        <v>359845.44383887853</v>
      </c>
      <c r="AC34" s="88">
        <f t="shared" si="97"/>
        <v>4146.5150105852517</v>
      </c>
      <c r="AD34" s="89">
        <f t="shared" si="97"/>
        <v>11995.470006958931</v>
      </c>
      <c r="AE34" s="90">
        <f t="shared" si="97"/>
        <v>6383.7892578987667</v>
      </c>
      <c r="AF34" s="89">
        <f t="shared" si="97"/>
        <v>76934.644803841598</v>
      </c>
      <c r="AG34" s="90">
        <f t="shared" si="97"/>
        <v>27355.929923764052</v>
      </c>
      <c r="AH34" s="89">
        <f t="shared" si="97"/>
        <v>418723.80360997375</v>
      </c>
      <c r="AI34" s="90">
        <f t="shared" si="97"/>
        <v>1594.7650011208607</v>
      </c>
      <c r="AJ34" s="89">
        <f t="shared" si="97"/>
        <v>48995.520285403705</v>
      </c>
      <c r="AK34" s="90">
        <f t="shared" si="97"/>
        <v>2301.3549903879539</v>
      </c>
      <c r="AL34" s="89">
        <f t="shared" si="67"/>
        <v>188278.85342564294</v>
      </c>
      <c r="AM34" s="90">
        <f t="shared" si="67"/>
        <v>58683.934406242799</v>
      </c>
      <c r="AN34" s="91">
        <f t="shared" si="67"/>
        <v>198657.18380242446</v>
      </c>
      <c r="AO34" s="90">
        <f t="shared" si="67"/>
        <v>33022.719984826457</v>
      </c>
      <c r="AP34" s="89">
        <f t="shared" si="57"/>
        <v>114921.81048718374</v>
      </c>
      <c r="AQ34" s="88">
        <f t="shared" si="57"/>
        <v>0</v>
      </c>
      <c r="AR34" s="89">
        <f t="shared" si="57"/>
        <v>273058.45172603615</v>
      </c>
      <c r="AS34" s="88">
        <f t="shared" si="57"/>
        <v>538927.55122669041</v>
      </c>
      <c r="AT34" s="89">
        <f t="shared" si="57"/>
        <v>6049.7205397495127</v>
      </c>
      <c r="AU34" s="88">
        <f t="shared" si="58"/>
        <v>0</v>
      </c>
      <c r="AV34" s="89">
        <f t="shared" si="58"/>
        <v>215312.85115628364</v>
      </c>
      <c r="AW34" s="88">
        <f t="shared" ref="AW34:AX34" si="98">+AW18-AW51</f>
        <v>278192.72071889183</v>
      </c>
      <c r="AX34" s="89">
        <f t="shared" si="98"/>
        <v>0</v>
      </c>
      <c r="AY34" s="88">
        <f t="shared" ref="AY34:BB34" si="99">+AY18-AY51</f>
        <v>0</v>
      </c>
      <c r="AZ34" s="89">
        <f t="shared" si="99"/>
        <v>0</v>
      </c>
      <c r="BA34" s="88">
        <f t="shared" si="99"/>
        <v>0</v>
      </c>
      <c r="BB34" s="89">
        <f t="shared" si="99"/>
        <v>0</v>
      </c>
      <c r="BC34" s="88">
        <f t="shared" ref="BC34" si="100">+BC18-BC51</f>
        <v>0</v>
      </c>
      <c r="BD34" s="412"/>
      <c r="BE34" s="83"/>
      <c r="BF34" s="83"/>
    </row>
    <row r="35" spans="2:58">
      <c r="B35" s="119"/>
      <c r="C35" s="557">
        <v>46204</v>
      </c>
      <c r="D35" s="89">
        <f t="shared" ref="D35:M35" si="101">+D19-D52</f>
        <v>55598564.522929728</v>
      </c>
      <c r="E35" s="90">
        <f t="shared" si="101"/>
        <v>37727059.067719795</v>
      </c>
      <c r="F35" s="89">
        <f t="shared" si="101"/>
        <v>43825611.37001878</v>
      </c>
      <c r="G35" s="90">
        <f t="shared" si="101"/>
        <v>4500724.0634989692</v>
      </c>
      <c r="H35" s="89">
        <f t="shared" si="101"/>
        <v>399102.91223240073</v>
      </c>
      <c r="I35" s="90">
        <f t="shared" si="101"/>
        <v>519664.76508471183</v>
      </c>
      <c r="J35" s="89">
        <f t="shared" si="101"/>
        <v>-340512.40500009735</v>
      </c>
      <c r="K35" s="90">
        <f t="shared" si="101"/>
        <v>-98561.584973657213</v>
      </c>
      <c r="L35" s="89">
        <f t="shared" si="101"/>
        <v>5542364.7318042032</v>
      </c>
      <c r="M35" s="90">
        <f t="shared" si="101"/>
        <v>48957712.408691332</v>
      </c>
      <c r="N35" s="91">
        <f t="shared" ref="N35:W35" si="102">+N19-N52</f>
        <v>5376996.1646123417</v>
      </c>
      <c r="O35" s="90">
        <f t="shared" si="102"/>
        <v>7951675.3235430047</v>
      </c>
      <c r="P35" s="89">
        <f t="shared" si="102"/>
        <v>48472379.965969652</v>
      </c>
      <c r="Q35" s="88">
        <f t="shared" si="102"/>
        <v>1511590.8332727402</v>
      </c>
      <c r="R35" s="89">
        <f t="shared" si="102"/>
        <v>2547685.150867857</v>
      </c>
      <c r="S35" s="88">
        <f t="shared" si="102"/>
        <v>1684744.3140621977</v>
      </c>
      <c r="T35" s="89">
        <f t="shared" si="102"/>
        <v>1246322.7149411496</v>
      </c>
      <c r="U35" s="88">
        <f t="shared" si="55"/>
        <v>364883.40476838918</v>
      </c>
      <c r="V35" s="89">
        <f t="shared" si="102"/>
        <v>30413.189995143301</v>
      </c>
      <c r="W35" s="88">
        <f t="shared" si="102"/>
        <v>7302.3699750487285</v>
      </c>
      <c r="X35" s="89">
        <f t="shared" ref="X35:AK35" si="103">+X19-X52</f>
        <v>742058.8878783416</v>
      </c>
      <c r="Y35" s="88">
        <f t="shared" si="65"/>
        <v>142733.04981180374</v>
      </c>
      <c r="Z35" s="89">
        <f t="shared" si="103"/>
        <v>177175.5391683341</v>
      </c>
      <c r="AA35" s="88">
        <f t="shared" si="66"/>
        <v>301410.46180156013</v>
      </c>
      <c r="AB35" s="89">
        <f t="shared" si="66"/>
        <v>374097.44499211945</v>
      </c>
      <c r="AC35" s="88">
        <f t="shared" si="103"/>
        <v>4300.8000114673559</v>
      </c>
      <c r="AD35" s="89">
        <f t="shared" si="103"/>
        <v>12374.82000753883</v>
      </c>
      <c r="AE35" s="90">
        <f t="shared" si="103"/>
        <v>6634.2054460569925</v>
      </c>
      <c r="AF35" s="89">
        <f t="shared" si="103"/>
        <v>81208.811870828504</v>
      </c>
      <c r="AG35" s="90">
        <f t="shared" si="103"/>
        <v>28019.049917411059</v>
      </c>
      <c r="AH35" s="89">
        <f t="shared" si="103"/>
        <v>429597.58849413786</v>
      </c>
      <c r="AI35" s="90">
        <f t="shared" si="103"/>
        <v>1646.7500012142664</v>
      </c>
      <c r="AJ35" s="89">
        <f t="shared" si="103"/>
        <v>50878.40030918736</v>
      </c>
      <c r="AK35" s="90">
        <f t="shared" si="103"/>
        <v>2385.8049895869481</v>
      </c>
      <c r="AL35" s="89">
        <f t="shared" si="67"/>
        <v>195502.46287777927</v>
      </c>
      <c r="AM35" s="90">
        <f t="shared" si="67"/>
        <v>62243.244773429586</v>
      </c>
      <c r="AN35" s="91">
        <f t="shared" si="67"/>
        <v>205806.95370262675</v>
      </c>
      <c r="AO35" s="90">
        <f t="shared" si="67"/>
        <v>34209.229983562022</v>
      </c>
      <c r="AP35" s="89">
        <f t="shared" si="57"/>
        <v>121677.21052778279</v>
      </c>
      <c r="AQ35" s="88">
        <f t="shared" si="57"/>
        <v>0</v>
      </c>
      <c r="AR35" s="89">
        <f t="shared" si="57"/>
        <v>291264.64978653938</v>
      </c>
      <c r="AS35" s="88">
        <f t="shared" si="57"/>
        <v>574856.0646622479</v>
      </c>
      <c r="AT35" s="89">
        <f t="shared" si="57"/>
        <v>6417.5943347286375</v>
      </c>
      <c r="AU35" s="88">
        <f t="shared" si="58"/>
        <v>0</v>
      </c>
      <c r="AV35" s="89">
        <f t="shared" si="58"/>
        <v>223034.21625264082</v>
      </c>
      <c r="AW35" s="88">
        <f t="shared" ref="AW35:AX35" si="104">+AW19-AW52</f>
        <v>288103.4757787995</v>
      </c>
      <c r="AX35" s="89">
        <f t="shared" si="104"/>
        <v>0</v>
      </c>
      <c r="AY35" s="88">
        <f t="shared" ref="AY35:BB35" si="105">+AY19-AY52</f>
        <v>0</v>
      </c>
      <c r="AZ35" s="89">
        <f t="shared" si="105"/>
        <v>0</v>
      </c>
      <c r="BA35" s="88">
        <f t="shared" si="105"/>
        <v>0</v>
      </c>
      <c r="BB35" s="89">
        <f t="shared" si="105"/>
        <v>0</v>
      </c>
      <c r="BC35" s="88">
        <f t="shared" ref="BC35" si="106">+BC19-BC52</f>
        <v>0</v>
      </c>
      <c r="BD35" s="412"/>
      <c r="BE35" s="83"/>
      <c r="BF35" s="83"/>
    </row>
    <row r="36" spans="2:58">
      <c r="B36" s="119"/>
      <c r="C36" s="557">
        <v>46235</v>
      </c>
      <c r="D36" s="89">
        <f t="shared" ref="D36:M36" si="107">+D20-D53</f>
        <v>55874631.398539692</v>
      </c>
      <c r="E36" s="90">
        <f t="shared" si="107"/>
        <v>37899092.900621317</v>
      </c>
      <c r="F36" s="89">
        <f t="shared" si="107"/>
        <v>44085056.355404824</v>
      </c>
      <c r="G36" s="90">
        <f t="shared" si="107"/>
        <v>4522021.2883835053</v>
      </c>
      <c r="H36" s="89">
        <f t="shared" si="107"/>
        <v>401810.34932720079</v>
      </c>
      <c r="I36" s="90">
        <f t="shared" si="107"/>
        <v>524113.02509122831</v>
      </c>
      <c r="J36" s="89">
        <f t="shared" si="107"/>
        <v>-340451.8900001049</v>
      </c>
      <c r="K36" s="90">
        <f t="shared" si="107"/>
        <v>-97823.039971630846</v>
      </c>
      <c r="L36" s="89">
        <f t="shared" si="107"/>
        <v>5576355.521942988</v>
      </c>
      <c r="M36" s="90">
        <f t="shared" si="107"/>
        <v>49314715.049359888</v>
      </c>
      <c r="N36" s="91">
        <f t="shared" ref="N36:W36" si="108">+N20-N53</f>
        <v>5431831.9649671391</v>
      </c>
      <c r="O36" s="90">
        <f t="shared" si="108"/>
        <v>8013484.0145847723</v>
      </c>
      <c r="P36" s="89">
        <f t="shared" si="108"/>
        <v>48929466.439505786</v>
      </c>
      <c r="Q36" s="88">
        <f t="shared" si="108"/>
        <v>1527683.5231398735</v>
      </c>
      <c r="R36" s="89">
        <f t="shared" si="108"/>
        <v>2590330.5209346153</v>
      </c>
      <c r="S36" s="88">
        <f t="shared" si="108"/>
        <v>1704585.2539900588</v>
      </c>
      <c r="T36" s="89">
        <f t="shared" si="108"/>
        <v>1261700.7899366226</v>
      </c>
      <c r="U36" s="88">
        <f t="shared" si="55"/>
        <v>371231.45975057315</v>
      </c>
      <c r="V36" s="89">
        <f t="shared" si="108"/>
        <v>30998.02999476972</v>
      </c>
      <c r="W36" s="88">
        <f t="shared" si="108"/>
        <v>7443.6299731294057</v>
      </c>
      <c r="X36" s="89">
        <f t="shared" ref="X36:AK36" si="109">+X20-X53</f>
        <v>759102.90271513723</v>
      </c>
      <c r="Y36" s="88">
        <f t="shared" si="65"/>
        <v>144238.35479732708</v>
      </c>
      <c r="Z36" s="89">
        <f t="shared" si="109"/>
        <v>182634.5641043596</v>
      </c>
      <c r="AA36" s="88">
        <f t="shared" si="66"/>
        <v>308945.12194014154</v>
      </c>
      <c r="AB36" s="89">
        <f t="shared" si="66"/>
        <v>388349.4461453585</v>
      </c>
      <c r="AC36" s="88">
        <f t="shared" si="109"/>
        <v>4455.0850123494602</v>
      </c>
      <c r="AD36" s="89">
        <f t="shared" si="109"/>
        <v>12754.170008118759</v>
      </c>
      <c r="AE36" s="90">
        <f t="shared" si="109"/>
        <v>6884.6216342152184</v>
      </c>
      <c r="AF36" s="89">
        <f t="shared" si="109"/>
        <v>85482.978937815409</v>
      </c>
      <c r="AG36" s="90">
        <f t="shared" si="109"/>
        <v>28682.169911058067</v>
      </c>
      <c r="AH36" s="89">
        <f t="shared" si="109"/>
        <v>440471.37337830244</v>
      </c>
      <c r="AI36" s="90">
        <f t="shared" si="109"/>
        <v>1698.7350013076684</v>
      </c>
      <c r="AJ36" s="89">
        <f t="shared" si="109"/>
        <v>52761.280332971015</v>
      </c>
      <c r="AK36" s="90">
        <f t="shared" si="109"/>
        <v>2470.2549887859423</v>
      </c>
      <c r="AL36" s="89">
        <f t="shared" si="67"/>
        <v>202726.07232991653</v>
      </c>
      <c r="AM36" s="90">
        <f t="shared" si="67"/>
        <v>65802.555140616605</v>
      </c>
      <c r="AN36" s="91">
        <f t="shared" si="67"/>
        <v>212956.72360282857</v>
      </c>
      <c r="AO36" s="90">
        <f t="shared" si="67"/>
        <v>35395.739982297528</v>
      </c>
      <c r="AP36" s="89">
        <f t="shared" si="57"/>
        <v>128432.61056838138</v>
      </c>
      <c r="AQ36" s="88">
        <f t="shared" si="57"/>
        <v>0</v>
      </c>
      <c r="AR36" s="89">
        <f t="shared" si="57"/>
        <v>309470.84784704261</v>
      </c>
      <c r="AS36" s="88">
        <f t="shared" si="57"/>
        <v>610784.57809780724</v>
      </c>
      <c r="AT36" s="89">
        <f t="shared" si="57"/>
        <v>6785.4681297077623</v>
      </c>
      <c r="AU36" s="88">
        <f t="shared" si="58"/>
        <v>0</v>
      </c>
      <c r="AV36" s="89">
        <f t="shared" si="58"/>
        <v>230755.58134899754</v>
      </c>
      <c r="AW36" s="88">
        <f t="shared" ref="AW36:AX36" si="110">+AW20-AW53</f>
        <v>298014.23083870718</v>
      </c>
      <c r="AX36" s="89">
        <f t="shared" si="110"/>
        <v>0</v>
      </c>
      <c r="AY36" s="88">
        <f t="shared" ref="AY36:BB36" si="111">+AY20-AY53</f>
        <v>0</v>
      </c>
      <c r="AZ36" s="89">
        <f t="shared" si="111"/>
        <v>0</v>
      </c>
      <c r="BA36" s="88">
        <f t="shared" si="111"/>
        <v>0</v>
      </c>
      <c r="BB36" s="89">
        <f t="shared" si="111"/>
        <v>0</v>
      </c>
      <c r="BC36" s="88">
        <f t="shared" ref="BC36" si="112">+BC20-BC53</f>
        <v>0</v>
      </c>
      <c r="BD36" s="412"/>
      <c r="BE36" s="83"/>
      <c r="BF36" s="83"/>
    </row>
    <row r="37" spans="2:58">
      <c r="B37" s="119"/>
      <c r="C37" s="557">
        <v>46266</v>
      </c>
      <c r="D37" s="89">
        <f t="shared" ref="D37:M37" si="113">+D21-D54</f>
        <v>56150698.274149686</v>
      </c>
      <c r="E37" s="90">
        <f t="shared" si="113"/>
        <v>38071126.73352284</v>
      </c>
      <c r="F37" s="89">
        <f t="shared" si="113"/>
        <v>44344501.340790898</v>
      </c>
      <c r="G37" s="90">
        <f t="shared" si="113"/>
        <v>4543318.5132680414</v>
      </c>
      <c r="H37" s="89">
        <f t="shared" si="113"/>
        <v>404517.78642200085</v>
      </c>
      <c r="I37" s="90">
        <f t="shared" si="113"/>
        <v>528561.28509774455</v>
      </c>
      <c r="J37" s="89">
        <f t="shared" si="113"/>
        <v>-340391.37500011234</v>
      </c>
      <c r="K37" s="90">
        <f t="shared" si="113"/>
        <v>-97084.494969604479</v>
      </c>
      <c r="L37" s="89">
        <f t="shared" si="113"/>
        <v>5610346.3120817728</v>
      </c>
      <c r="M37" s="90">
        <f t="shared" si="113"/>
        <v>49671717.690028444</v>
      </c>
      <c r="N37" s="91">
        <f t="shared" ref="N37:W37" si="114">+N21-N54</f>
        <v>5486667.7653219327</v>
      </c>
      <c r="O37" s="90">
        <f t="shared" si="114"/>
        <v>8075292.7056265399</v>
      </c>
      <c r="P37" s="89">
        <f t="shared" si="114"/>
        <v>49386552.913041919</v>
      </c>
      <c r="Q37" s="88">
        <f t="shared" si="114"/>
        <v>1543776.2130070077</v>
      </c>
      <c r="R37" s="89">
        <f t="shared" si="114"/>
        <v>2632975.8910013735</v>
      </c>
      <c r="S37" s="88">
        <f t="shared" si="114"/>
        <v>1724426.1939179199</v>
      </c>
      <c r="T37" s="89">
        <f t="shared" si="114"/>
        <v>1277078.8649320956</v>
      </c>
      <c r="U37" s="88">
        <f t="shared" si="55"/>
        <v>377579.51473275665</v>
      </c>
      <c r="V37" s="89">
        <f t="shared" si="114"/>
        <v>31582.86999439614</v>
      </c>
      <c r="W37" s="88">
        <f t="shared" si="114"/>
        <v>7584.8899712100756</v>
      </c>
      <c r="X37" s="89">
        <f t="shared" ref="X37:AK37" si="115">+X21-X54</f>
        <v>776146.91755193286</v>
      </c>
      <c r="Y37" s="88">
        <f t="shared" si="65"/>
        <v>145743.65978285047</v>
      </c>
      <c r="Z37" s="89">
        <f t="shared" si="115"/>
        <v>188093.58904038556</v>
      </c>
      <c r="AA37" s="88">
        <f t="shared" si="66"/>
        <v>316479.78207872296</v>
      </c>
      <c r="AB37" s="89">
        <f t="shared" si="66"/>
        <v>402601.44729859941</v>
      </c>
      <c r="AC37" s="88">
        <f t="shared" si="115"/>
        <v>4609.3700132315644</v>
      </c>
      <c r="AD37" s="89">
        <f t="shared" si="115"/>
        <v>13133.520008698659</v>
      </c>
      <c r="AE37" s="90">
        <f t="shared" si="115"/>
        <v>7135.0378223734588</v>
      </c>
      <c r="AF37" s="89">
        <f t="shared" si="115"/>
        <v>89757.146004802082</v>
      </c>
      <c r="AG37" s="90">
        <f t="shared" si="115"/>
        <v>29345.289904705074</v>
      </c>
      <c r="AH37" s="89">
        <f t="shared" si="115"/>
        <v>451345.15826246655</v>
      </c>
      <c r="AI37" s="90">
        <f t="shared" si="115"/>
        <v>1750.7200014010741</v>
      </c>
      <c r="AJ37" s="89">
        <f t="shared" si="115"/>
        <v>54644.160356754554</v>
      </c>
      <c r="AK37" s="90">
        <f t="shared" si="115"/>
        <v>2554.7049879849365</v>
      </c>
      <c r="AL37" s="89">
        <f t="shared" si="67"/>
        <v>209949.68178205332</v>
      </c>
      <c r="AM37" s="90">
        <f t="shared" si="67"/>
        <v>69361.865507803624</v>
      </c>
      <c r="AN37" s="91">
        <f t="shared" si="67"/>
        <v>220106.49350303086</v>
      </c>
      <c r="AO37" s="90">
        <f t="shared" si="67"/>
        <v>36582.249981033092</v>
      </c>
      <c r="AP37" s="89">
        <f t="shared" si="57"/>
        <v>135188.01060897997</v>
      </c>
      <c r="AQ37" s="88">
        <f t="shared" si="57"/>
        <v>0</v>
      </c>
      <c r="AR37" s="89">
        <f t="shared" si="57"/>
        <v>327677.0459075449</v>
      </c>
      <c r="AS37" s="88">
        <f t="shared" si="57"/>
        <v>646713.09153336473</v>
      </c>
      <c r="AT37" s="89">
        <f t="shared" si="57"/>
        <v>7153.3419246868871</v>
      </c>
      <c r="AU37" s="88">
        <f t="shared" si="58"/>
        <v>0</v>
      </c>
      <c r="AV37" s="89">
        <f t="shared" si="58"/>
        <v>238476.94644535473</v>
      </c>
      <c r="AW37" s="88">
        <f t="shared" ref="AW37:AX37" si="116">+AW21-AW54</f>
        <v>307924.98589861486</v>
      </c>
      <c r="AX37" s="89">
        <f t="shared" si="116"/>
        <v>0</v>
      </c>
      <c r="AY37" s="88">
        <f t="shared" ref="AY37:BB37" si="117">+AY21-AY54</f>
        <v>0</v>
      </c>
      <c r="AZ37" s="89">
        <f t="shared" si="117"/>
        <v>0</v>
      </c>
      <c r="BA37" s="88">
        <f t="shared" si="117"/>
        <v>0</v>
      </c>
      <c r="BB37" s="89">
        <f t="shared" si="117"/>
        <v>0</v>
      </c>
      <c r="BC37" s="88">
        <f t="shared" ref="BC37" si="118">+BC21-BC54</f>
        <v>0</v>
      </c>
      <c r="BD37" s="412"/>
      <c r="BE37" s="83"/>
      <c r="BF37" s="83"/>
    </row>
    <row r="38" spans="2:58">
      <c r="B38" s="119"/>
      <c r="C38" s="557">
        <v>46296</v>
      </c>
      <c r="D38" s="89">
        <f t="shared" ref="D38:M38" si="119">+D22-D55</f>
        <v>56426765.14975965</v>
      </c>
      <c r="E38" s="90">
        <f t="shared" si="119"/>
        <v>38243160.566424362</v>
      </c>
      <c r="F38" s="89">
        <f t="shared" si="119"/>
        <v>44603946.326176941</v>
      </c>
      <c r="G38" s="90">
        <f t="shared" si="119"/>
        <v>4564615.7381525775</v>
      </c>
      <c r="H38" s="89">
        <f t="shared" si="119"/>
        <v>407225.22351680091</v>
      </c>
      <c r="I38" s="90">
        <f t="shared" si="119"/>
        <v>533009.54510426079</v>
      </c>
      <c r="J38" s="89">
        <f t="shared" si="119"/>
        <v>-340330.86000011989</v>
      </c>
      <c r="K38" s="90">
        <f t="shared" si="119"/>
        <v>-96345.949967578112</v>
      </c>
      <c r="L38" s="89">
        <f t="shared" si="119"/>
        <v>5644337.1022205576</v>
      </c>
      <c r="M38" s="90">
        <f t="shared" si="119"/>
        <v>50028720.330697015</v>
      </c>
      <c r="N38" s="91">
        <f t="shared" ref="N38:W38" si="120">+N22-N55</f>
        <v>5541503.5656767264</v>
      </c>
      <c r="O38" s="90">
        <f t="shared" si="120"/>
        <v>8137101.3966683112</v>
      </c>
      <c r="P38" s="89">
        <f t="shared" si="120"/>
        <v>49843639.386578053</v>
      </c>
      <c r="Q38" s="88">
        <f t="shared" si="120"/>
        <v>1559868.9028741419</v>
      </c>
      <c r="R38" s="89">
        <f t="shared" si="120"/>
        <v>2675621.2610681318</v>
      </c>
      <c r="S38" s="88">
        <f t="shared" si="120"/>
        <v>1744267.133845781</v>
      </c>
      <c r="T38" s="89">
        <f t="shared" si="120"/>
        <v>1292456.9399275687</v>
      </c>
      <c r="U38" s="88">
        <f t="shared" si="55"/>
        <v>383927.56971494062</v>
      </c>
      <c r="V38" s="89">
        <f t="shared" si="120"/>
        <v>32167.709994022531</v>
      </c>
      <c r="W38" s="88">
        <f t="shared" si="120"/>
        <v>7726.1499692907455</v>
      </c>
      <c r="X38" s="89">
        <f t="shared" ref="X38:AK38" si="121">+X22-X55</f>
        <v>793190.93238872848</v>
      </c>
      <c r="Y38" s="88">
        <f t="shared" si="65"/>
        <v>147248.96476837387</v>
      </c>
      <c r="Z38" s="89">
        <f t="shared" si="121"/>
        <v>193552.61397641106</v>
      </c>
      <c r="AA38" s="88">
        <f t="shared" si="66"/>
        <v>324014.44221730437</v>
      </c>
      <c r="AB38" s="89">
        <f t="shared" si="66"/>
        <v>416853.44845183846</v>
      </c>
      <c r="AC38" s="88">
        <f t="shared" si="121"/>
        <v>4763.6550141136686</v>
      </c>
      <c r="AD38" s="89">
        <f t="shared" si="121"/>
        <v>13512.870009278558</v>
      </c>
      <c r="AE38" s="90">
        <f t="shared" si="121"/>
        <v>7385.4540105316846</v>
      </c>
      <c r="AF38" s="89">
        <f t="shared" si="121"/>
        <v>94031.313071788987</v>
      </c>
      <c r="AG38" s="90">
        <f t="shared" si="121"/>
        <v>30008.409898352053</v>
      </c>
      <c r="AH38" s="89">
        <f t="shared" si="121"/>
        <v>462218.94314663112</v>
      </c>
      <c r="AI38" s="90">
        <f t="shared" si="121"/>
        <v>1802.7050014944798</v>
      </c>
      <c r="AJ38" s="89">
        <f t="shared" si="121"/>
        <v>56527.040380538208</v>
      </c>
      <c r="AK38" s="90">
        <f t="shared" si="121"/>
        <v>2639.1549871839306</v>
      </c>
      <c r="AL38" s="89">
        <f t="shared" si="67"/>
        <v>217173.29123419011</v>
      </c>
      <c r="AM38" s="90">
        <f t="shared" si="67"/>
        <v>72921.175874990411</v>
      </c>
      <c r="AN38" s="91">
        <f t="shared" si="67"/>
        <v>227256.26340323268</v>
      </c>
      <c r="AO38" s="90">
        <f t="shared" si="67"/>
        <v>37768.759979768656</v>
      </c>
      <c r="AP38" s="89">
        <f t="shared" si="57"/>
        <v>141943.41064957855</v>
      </c>
      <c r="AQ38" s="88">
        <f t="shared" si="57"/>
        <v>0</v>
      </c>
      <c r="AR38" s="89">
        <f t="shared" si="57"/>
        <v>345883.24396804906</v>
      </c>
      <c r="AS38" s="88">
        <f t="shared" si="57"/>
        <v>682641.60496892221</v>
      </c>
      <c r="AT38" s="89">
        <f t="shared" si="57"/>
        <v>7521.2157196660119</v>
      </c>
      <c r="AU38" s="88">
        <f t="shared" si="58"/>
        <v>0</v>
      </c>
      <c r="AV38" s="89">
        <f t="shared" si="58"/>
        <v>246198.31154171191</v>
      </c>
      <c r="AW38" s="88">
        <f t="shared" ref="AW38:AX38" si="122">+AW22-AW55</f>
        <v>317835.74095852254</v>
      </c>
      <c r="AX38" s="89">
        <f t="shared" si="122"/>
        <v>0</v>
      </c>
      <c r="AY38" s="88">
        <f t="shared" ref="AY38:BB38" si="123">+AY22-AY55</f>
        <v>0</v>
      </c>
      <c r="AZ38" s="89">
        <f t="shared" si="123"/>
        <v>0</v>
      </c>
      <c r="BA38" s="88">
        <f t="shared" si="123"/>
        <v>0</v>
      </c>
      <c r="BB38" s="89">
        <f t="shared" si="123"/>
        <v>0</v>
      </c>
      <c r="BC38" s="88">
        <f t="shared" ref="BC38" si="124">+BC22-BC55</f>
        <v>0</v>
      </c>
      <c r="BD38" s="412"/>
      <c r="BE38" s="83"/>
      <c r="BF38" s="83"/>
    </row>
    <row r="39" spans="2:58">
      <c r="B39" s="119"/>
      <c r="C39" s="557">
        <v>46327</v>
      </c>
      <c r="D39" s="89">
        <f t="shared" ref="D39:M39" si="125">+D23-D56</f>
        <v>56702832.025369644</v>
      </c>
      <c r="E39" s="90">
        <f t="shared" si="125"/>
        <v>38415194.399325885</v>
      </c>
      <c r="F39" s="89">
        <f t="shared" si="125"/>
        <v>44863391.311563015</v>
      </c>
      <c r="G39" s="90">
        <f t="shared" si="125"/>
        <v>4585912.9630371137</v>
      </c>
      <c r="H39" s="89">
        <f t="shared" si="125"/>
        <v>409932.66061160096</v>
      </c>
      <c r="I39" s="90">
        <f t="shared" si="125"/>
        <v>537457.80511077726</v>
      </c>
      <c r="J39" s="89">
        <f t="shared" si="125"/>
        <v>-340270.34500012733</v>
      </c>
      <c r="K39" s="90">
        <f t="shared" si="125"/>
        <v>-95607.404965551745</v>
      </c>
      <c r="L39" s="89">
        <f t="shared" si="125"/>
        <v>5678327.8923593424</v>
      </c>
      <c r="M39" s="90">
        <f t="shared" si="125"/>
        <v>50385722.971365586</v>
      </c>
      <c r="N39" s="91">
        <f t="shared" ref="N39:W39" si="126">+N23-N56</f>
        <v>5596339.3660315238</v>
      </c>
      <c r="O39" s="90">
        <f t="shared" si="126"/>
        <v>8198910.0877100825</v>
      </c>
      <c r="P39" s="89">
        <f t="shared" si="126"/>
        <v>50300725.860114157</v>
      </c>
      <c r="Q39" s="88">
        <f t="shared" si="126"/>
        <v>1575961.5927412752</v>
      </c>
      <c r="R39" s="89">
        <f t="shared" si="126"/>
        <v>2718266.63113489</v>
      </c>
      <c r="S39" s="88">
        <f t="shared" si="126"/>
        <v>1764108.0737736421</v>
      </c>
      <c r="T39" s="89">
        <f t="shared" si="126"/>
        <v>1307835.0149230417</v>
      </c>
      <c r="U39" s="88">
        <f t="shared" si="55"/>
        <v>390275.62469712459</v>
      </c>
      <c r="V39" s="89">
        <f t="shared" si="126"/>
        <v>32752.54999364895</v>
      </c>
      <c r="W39" s="88">
        <f t="shared" si="126"/>
        <v>7867.4099673714227</v>
      </c>
      <c r="X39" s="89">
        <f t="shared" ref="X39:AK40" si="127">+X23-X56</f>
        <v>810234.94722552411</v>
      </c>
      <c r="Y39" s="88">
        <f t="shared" si="65"/>
        <v>148754.26975389721</v>
      </c>
      <c r="Z39" s="89">
        <f t="shared" si="127"/>
        <v>199011.63891243702</v>
      </c>
      <c r="AA39" s="88">
        <f t="shared" si="66"/>
        <v>331549.10235588579</v>
      </c>
      <c r="AB39" s="89">
        <f t="shared" si="66"/>
        <v>431105.44960507844</v>
      </c>
      <c r="AC39" s="88">
        <f t="shared" si="127"/>
        <v>4917.9400149957728</v>
      </c>
      <c r="AD39" s="89">
        <f t="shared" si="127"/>
        <v>13892.220009858487</v>
      </c>
      <c r="AE39" s="90">
        <f t="shared" si="127"/>
        <v>7635.8701986899105</v>
      </c>
      <c r="AF39" s="89">
        <f t="shared" si="127"/>
        <v>98305.48013877566</v>
      </c>
      <c r="AG39" s="90">
        <f t="shared" si="127"/>
        <v>30671.52989199906</v>
      </c>
      <c r="AH39" s="89">
        <f t="shared" si="127"/>
        <v>473092.72803079523</v>
      </c>
      <c r="AI39" s="90">
        <f t="shared" si="127"/>
        <v>1854.6900015878855</v>
      </c>
      <c r="AJ39" s="89">
        <f t="shared" si="127"/>
        <v>58409.920404321863</v>
      </c>
      <c r="AK39" s="90">
        <f t="shared" si="127"/>
        <v>2723.6049863829321</v>
      </c>
      <c r="AL39" s="89">
        <f t="shared" si="67"/>
        <v>224396.90068632737</v>
      </c>
      <c r="AM39" s="90">
        <f t="shared" si="67"/>
        <v>76480.486242177198</v>
      </c>
      <c r="AN39" s="91">
        <f t="shared" si="67"/>
        <v>234406.03330343496</v>
      </c>
      <c r="AO39" s="90">
        <f t="shared" si="67"/>
        <v>38955.269978504162</v>
      </c>
      <c r="AP39" s="89">
        <f t="shared" si="57"/>
        <v>148698.81069017714</v>
      </c>
      <c r="AQ39" s="88">
        <f t="shared" si="57"/>
        <v>0</v>
      </c>
      <c r="AR39" s="89">
        <f t="shared" si="57"/>
        <v>364089.44202855136</v>
      </c>
      <c r="AS39" s="88">
        <f t="shared" si="57"/>
        <v>718570.1184044797</v>
      </c>
      <c r="AT39" s="89">
        <f t="shared" si="57"/>
        <v>7889.0895146451367</v>
      </c>
      <c r="AU39" s="88">
        <f t="shared" si="58"/>
        <v>0</v>
      </c>
      <c r="AV39" s="89">
        <f t="shared" si="58"/>
        <v>253919.67663806863</v>
      </c>
      <c r="AW39" s="88">
        <f t="shared" ref="AW39:AX39" si="128">+AW23-AW56</f>
        <v>327746.49601843022</v>
      </c>
      <c r="AX39" s="89">
        <f t="shared" si="128"/>
        <v>249.96430624647473</v>
      </c>
      <c r="AY39" s="88">
        <f t="shared" ref="AY39:BB39" si="129">+AY23-AY56</f>
        <v>0</v>
      </c>
      <c r="AZ39" s="89">
        <f t="shared" si="129"/>
        <v>0</v>
      </c>
      <c r="BA39" s="88">
        <f t="shared" si="129"/>
        <v>0</v>
      </c>
      <c r="BB39" s="89">
        <f t="shared" si="129"/>
        <v>0</v>
      </c>
      <c r="BC39" s="88">
        <f t="shared" ref="BC39" si="130">+BC23-BC56</f>
        <v>0</v>
      </c>
      <c r="BD39" s="412"/>
      <c r="BE39" s="83"/>
      <c r="BF39" s="83"/>
    </row>
    <row r="40" spans="2:58">
      <c r="B40" s="93"/>
      <c r="C40" s="558">
        <v>46357</v>
      </c>
      <c r="D40" s="118">
        <f t="shared" ref="D40:M40" si="131">+D24-D57</f>
        <v>56978898.900979608</v>
      </c>
      <c r="E40" s="117">
        <f t="shared" si="131"/>
        <v>38587228.232227407</v>
      </c>
      <c r="F40" s="118">
        <f t="shared" si="131"/>
        <v>45122836.296949059</v>
      </c>
      <c r="G40" s="117">
        <f t="shared" si="131"/>
        <v>4607210.1879216498</v>
      </c>
      <c r="H40" s="118">
        <f t="shared" si="131"/>
        <v>412640.09770640102</v>
      </c>
      <c r="I40" s="117">
        <f t="shared" si="131"/>
        <v>541906.06511729374</v>
      </c>
      <c r="J40" s="118">
        <f t="shared" si="131"/>
        <v>-340209.83000013488</v>
      </c>
      <c r="K40" s="117">
        <f t="shared" si="131"/>
        <v>-94868.859963525378</v>
      </c>
      <c r="L40" s="118">
        <f t="shared" si="131"/>
        <v>5712318.6824981272</v>
      </c>
      <c r="M40" s="117">
        <f t="shared" si="131"/>
        <v>50742725.612034142</v>
      </c>
      <c r="N40" s="127">
        <f t="shared" ref="N40:W40" si="132">+N24-N57</f>
        <v>5651175.1663863212</v>
      </c>
      <c r="O40" s="117">
        <f t="shared" si="132"/>
        <v>8260718.7787518501</v>
      </c>
      <c r="P40" s="118">
        <f t="shared" si="132"/>
        <v>50757812.333650291</v>
      </c>
      <c r="Q40" s="126">
        <f t="shared" si="132"/>
        <v>1592054.2826084094</v>
      </c>
      <c r="R40" s="118">
        <f t="shared" si="132"/>
        <v>2760912.0012016483</v>
      </c>
      <c r="S40" s="126">
        <f t="shared" si="132"/>
        <v>1783949.0137015041</v>
      </c>
      <c r="T40" s="118">
        <f t="shared" si="132"/>
        <v>1323213.0899185147</v>
      </c>
      <c r="U40" s="126">
        <f t="shared" si="55"/>
        <v>396623.67967930809</v>
      </c>
      <c r="V40" s="118">
        <f t="shared" si="132"/>
        <v>33337.38999327537</v>
      </c>
      <c r="W40" s="126">
        <f t="shared" si="132"/>
        <v>8008.6699654520926</v>
      </c>
      <c r="X40" s="118">
        <f>+X24-X57</f>
        <v>827278.96206231881</v>
      </c>
      <c r="Y40" s="126">
        <f t="shared" si="65"/>
        <v>150259.57473942055</v>
      </c>
      <c r="Z40" s="89">
        <f t="shared" si="127"/>
        <v>204470.66384846251</v>
      </c>
      <c r="AA40" s="88">
        <f t="shared" si="66"/>
        <v>339083.76249446766</v>
      </c>
      <c r="AB40" s="118">
        <f t="shared" si="66"/>
        <v>445357.45075831842</v>
      </c>
      <c r="AC40" s="88">
        <f t="shared" si="127"/>
        <v>5072.225015877877</v>
      </c>
      <c r="AD40" s="118">
        <f t="shared" si="127"/>
        <v>14271.570010438387</v>
      </c>
      <c r="AE40" s="117">
        <f t="shared" si="127"/>
        <v>7886.2863868481509</v>
      </c>
      <c r="AF40" s="118">
        <f t="shared" si="127"/>
        <v>102579.64720576257</v>
      </c>
      <c r="AG40" s="117">
        <f t="shared" si="127"/>
        <v>31334.649885646068</v>
      </c>
      <c r="AH40" s="118">
        <f t="shared" si="127"/>
        <v>483966.51291496027</v>
      </c>
      <c r="AI40" s="117">
        <f t="shared" si="127"/>
        <v>1906.6750016812912</v>
      </c>
      <c r="AJ40" s="118">
        <f t="shared" si="127"/>
        <v>60292.800428105518</v>
      </c>
      <c r="AK40" s="117">
        <f t="shared" si="127"/>
        <v>2808.0549855819263</v>
      </c>
      <c r="AL40" s="118">
        <f t="shared" si="67"/>
        <v>231620.51013846369</v>
      </c>
      <c r="AM40" s="117">
        <f t="shared" si="67"/>
        <v>80039.796609364217</v>
      </c>
      <c r="AN40" s="127">
        <f t="shared" si="67"/>
        <v>241555.80320363678</v>
      </c>
      <c r="AO40" s="117">
        <f t="shared" si="67"/>
        <v>40141.779977239727</v>
      </c>
      <c r="AP40" s="118">
        <f t="shared" si="57"/>
        <v>155454.21073077573</v>
      </c>
      <c r="AQ40" s="126">
        <f t="shared" si="57"/>
        <v>0</v>
      </c>
      <c r="AR40" s="118">
        <f t="shared" si="57"/>
        <v>382295.64008905459</v>
      </c>
      <c r="AS40" s="126">
        <f t="shared" si="57"/>
        <v>754498.63184003718</v>
      </c>
      <c r="AT40" s="118">
        <f t="shared" si="57"/>
        <v>8256.9633096242615</v>
      </c>
      <c r="AU40" s="126">
        <f t="shared" si="58"/>
        <v>0</v>
      </c>
      <c r="AV40" s="118">
        <f t="shared" si="58"/>
        <v>261641.04173442582</v>
      </c>
      <c r="AW40" s="126">
        <f t="shared" ref="AW40:AX40" si="133">+AW24-AW57</f>
        <v>337657.2510783379</v>
      </c>
      <c r="AX40" s="118">
        <f t="shared" si="133"/>
        <v>499.92861249293492</v>
      </c>
      <c r="AY40" s="126">
        <f t="shared" ref="AY40:BB40" si="134">+AY24-AY57</f>
        <v>0</v>
      </c>
      <c r="AZ40" s="118">
        <f t="shared" si="134"/>
        <v>0</v>
      </c>
      <c r="BA40" s="126">
        <f t="shared" si="134"/>
        <v>0</v>
      </c>
      <c r="BB40" s="118">
        <f t="shared" si="134"/>
        <v>0</v>
      </c>
      <c r="BC40" s="126">
        <f t="shared" ref="BC40" si="135">+BC24-BC57</f>
        <v>0</v>
      </c>
      <c r="BD40" s="412"/>
      <c r="BE40" s="83"/>
      <c r="BF40" s="83"/>
    </row>
    <row r="41" spans="2:58">
      <c r="B41" s="104"/>
      <c r="C41" s="115" t="s">
        <v>546</v>
      </c>
      <c r="D41" s="84">
        <f t="shared" ref="D41:M41" si="136">AVERAGE(D28:D40)</f>
        <v>55322497.647319742</v>
      </c>
      <c r="E41" s="84">
        <f t="shared" si="136"/>
        <v>37555025.234818272</v>
      </c>
      <c r="F41" s="84">
        <f t="shared" si="136"/>
        <v>43566166.384632714</v>
      </c>
      <c r="G41" s="84">
        <f t="shared" si="136"/>
        <v>4479426.8386144331</v>
      </c>
      <c r="H41" s="84">
        <f t="shared" si="136"/>
        <v>396395.47513760068</v>
      </c>
      <c r="I41" s="84">
        <f t="shared" si="136"/>
        <v>515216.50507819565</v>
      </c>
      <c r="J41" s="84">
        <f t="shared" si="136"/>
        <v>-340572.92000008991</v>
      </c>
      <c r="K41" s="84">
        <f t="shared" si="136"/>
        <v>-99300.12997568358</v>
      </c>
      <c r="L41" s="84">
        <f t="shared" si="136"/>
        <v>5508373.9416654175</v>
      </c>
      <c r="M41" s="84">
        <f t="shared" si="136"/>
        <v>48600709.768022761</v>
      </c>
      <c r="N41" s="84">
        <f t="shared" ref="N41:W41" si="137">AVERAGE(N28:N40)</f>
        <v>5322160.3642575452</v>
      </c>
      <c r="O41" s="84">
        <f t="shared" si="137"/>
        <v>7889866.6325012334</v>
      </c>
      <c r="P41" s="84">
        <f t="shared" si="137"/>
        <v>48015293.492433548</v>
      </c>
      <c r="Q41" s="84">
        <f t="shared" si="137"/>
        <v>1495498.1434056063</v>
      </c>
      <c r="R41" s="84">
        <f t="shared" si="137"/>
        <v>2505039.7808010988</v>
      </c>
      <c r="S41" s="84">
        <f t="shared" si="137"/>
        <v>1664903.3741343354</v>
      </c>
      <c r="T41" s="84">
        <f t="shared" si="137"/>
        <v>1230944.6399456766</v>
      </c>
      <c r="U41" s="84">
        <f>AVERAGE(U28:U40)</f>
        <v>358535.34978620551</v>
      </c>
      <c r="V41" s="84">
        <f t="shared" si="137"/>
        <v>29828.349995516903</v>
      </c>
      <c r="W41" s="84">
        <f t="shared" si="137"/>
        <v>7161.1099769680604</v>
      </c>
      <c r="X41" s="84">
        <f t="shared" ref="X41:AN41" si="138">AVERAGE(X28:X40)</f>
        <v>725014.87304154609</v>
      </c>
      <c r="Y41" s="84">
        <f>AVERAGE(Y28:Y40)</f>
        <v>141227.74482628034</v>
      </c>
      <c r="Z41" s="84">
        <f t="shared" si="138"/>
        <v>171716.5142323084</v>
      </c>
      <c r="AA41" s="84">
        <f>AVERAGE(AA28:AA40)</f>
        <v>293875.80166297837</v>
      </c>
      <c r="AB41" s="84">
        <f>AVERAGE(AB28:AB40)</f>
        <v>359845.44383887912</v>
      </c>
      <c r="AC41" s="84">
        <f t="shared" si="138"/>
        <v>4146.5150105852517</v>
      </c>
      <c r="AD41" s="84">
        <f t="shared" si="138"/>
        <v>11995.470006958927</v>
      </c>
      <c r="AE41" s="84">
        <f t="shared" si="138"/>
        <v>6383.7892578987648</v>
      </c>
      <c r="AF41" s="84">
        <f t="shared" si="138"/>
        <v>76934.6448038417</v>
      </c>
      <c r="AG41" s="84">
        <f t="shared" si="138"/>
        <v>27355.929923764044</v>
      </c>
      <c r="AH41" s="84">
        <f t="shared" si="138"/>
        <v>418723.80360997334</v>
      </c>
      <c r="AI41" s="84">
        <f t="shared" si="138"/>
        <v>1594.7650011208602</v>
      </c>
      <c r="AJ41" s="84">
        <f t="shared" si="138"/>
        <v>48995.520285403691</v>
      </c>
      <c r="AK41" s="84">
        <f t="shared" si="138"/>
        <v>2301.3549903879498</v>
      </c>
      <c r="AL41" s="84">
        <f t="shared" si="138"/>
        <v>188278.85342564268</v>
      </c>
      <c r="AM41" s="84">
        <f t="shared" si="138"/>
        <v>58683.934406242799</v>
      </c>
      <c r="AN41" s="84">
        <f t="shared" si="138"/>
        <v>198657.18380242458</v>
      </c>
      <c r="AO41" s="84">
        <f t="shared" ref="AO41:AU41" si="139">AVERAGE(AO28:AO40)</f>
        <v>33022.719984826472</v>
      </c>
      <c r="AP41" s="84">
        <f t="shared" si="139"/>
        <v>114921.81048718392</v>
      </c>
      <c r="AQ41" s="84">
        <f t="shared" si="139"/>
        <v>0</v>
      </c>
      <c r="AR41" s="84">
        <f t="shared" si="139"/>
        <v>273058.45172603638</v>
      </c>
      <c r="AS41" s="84">
        <f t="shared" si="139"/>
        <v>538927.55122669111</v>
      </c>
      <c r="AT41" s="84">
        <f t="shared" si="139"/>
        <v>6049.7205397495127</v>
      </c>
      <c r="AU41" s="84">
        <f t="shared" si="139"/>
        <v>0</v>
      </c>
      <c r="AV41" s="84">
        <f t="shared" ref="AV41:AW41" si="140">AVERAGE(AV28:AV40)</f>
        <v>215312.85115628378</v>
      </c>
      <c r="AW41" s="84">
        <f t="shared" si="140"/>
        <v>278192.72071889183</v>
      </c>
      <c r="AX41" s="84">
        <f t="shared" ref="AX41:BA41" si="141">AVERAGE(AX28:AX40)</f>
        <v>57.68407067226228</v>
      </c>
      <c r="AY41" s="84">
        <f t="shared" si="141"/>
        <v>0</v>
      </c>
      <c r="AZ41" s="84">
        <f t="shared" si="141"/>
        <v>0</v>
      </c>
      <c r="BA41" s="84">
        <f t="shared" si="141"/>
        <v>0</v>
      </c>
      <c r="BB41" s="84">
        <f t="shared" ref="BB41:BC41" si="142">AVERAGE(BB28:BB40)</f>
        <v>0</v>
      </c>
      <c r="BC41" s="84">
        <f t="shared" si="142"/>
        <v>0</v>
      </c>
      <c r="BD41" s="197"/>
      <c r="BE41" s="83"/>
      <c r="BF41" s="83"/>
    </row>
    <row r="42" spans="2:58">
      <c r="B42" s="112"/>
      <c r="C42" s="86"/>
      <c r="D42" s="106"/>
      <c r="E42" s="106"/>
      <c r="F42" s="106"/>
      <c r="G42" s="106"/>
      <c r="H42" s="106"/>
      <c r="I42" s="107"/>
      <c r="J42" s="107"/>
      <c r="K42" s="107"/>
      <c r="L42" s="106"/>
      <c r="M42" s="108"/>
      <c r="N42" s="108"/>
      <c r="O42" s="107"/>
      <c r="P42" s="106"/>
      <c r="Q42" s="107"/>
      <c r="R42" s="106"/>
      <c r="S42" s="107"/>
      <c r="T42" s="106"/>
      <c r="U42" s="107"/>
      <c r="V42" s="106"/>
      <c r="W42" s="107"/>
      <c r="X42" s="106"/>
      <c r="Y42" s="107"/>
      <c r="Z42" s="106"/>
      <c r="AA42" s="107"/>
      <c r="AB42" s="106"/>
      <c r="AC42" s="107"/>
      <c r="AD42" s="106"/>
      <c r="AE42" s="106"/>
      <c r="AF42" s="106"/>
      <c r="AG42" s="106"/>
      <c r="AH42" s="106"/>
      <c r="AI42" s="107"/>
      <c r="AJ42" s="107"/>
      <c r="AK42" s="107"/>
      <c r="AL42" s="106"/>
      <c r="AM42" s="108"/>
      <c r="AN42" s="108"/>
      <c r="AO42" s="107"/>
      <c r="AP42" s="106"/>
      <c r="AQ42" s="107"/>
      <c r="AR42" s="106"/>
      <c r="AS42" s="107"/>
      <c r="AT42" s="106"/>
      <c r="AU42" s="107"/>
      <c r="AV42" s="106"/>
      <c r="AW42" s="107"/>
      <c r="AX42" s="106"/>
      <c r="AY42" s="107"/>
      <c r="AZ42" s="106"/>
      <c r="BA42" s="107"/>
      <c r="BB42" s="106"/>
      <c r="BC42" s="107"/>
      <c r="BD42" s="204"/>
      <c r="BE42" s="83"/>
      <c r="BF42" s="83"/>
    </row>
    <row r="43" spans="2:58">
      <c r="B43" s="104"/>
      <c r="C43" s="125"/>
      <c r="D43" s="124"/>
      <c r="E43" s="124"/>
      <c r="F43" s="124"/>
      <c r="G43" s="124"/>
      <c r="H43" s="124"/>
      <c r="I43" s="124"/>
      <c r="J43" s="124"/>
      <c r="K43" s="124"/>
      <c r="L43" s="124"/>
      <c r="M43" s="108"/>
      <c r="N43" s="108"/>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08"/>
      <c r="AN43" s="108"/>
      <c r="AO43" s="124"/>
      <c r="AP43" s="124"/>
      <c r="AQ43" s="124"/>
      <c r="AR43" s="124"/>
      <c r="AS43" s="124"/>
      <c r="AT43" s="124"/>
      <c r="AU43" s="124"/>
      <c r="AV43" s="124"/>
      <c r="AW43" s="124"/>
      <c r="AX43" s="124"/>
      <c r="AY43" s="124"/>
      <c r="AZ43" s="124"/>
      <c r="BA43" s="124"/>
      <c r="BB43" s="124"/>
      <c r="BC43" s="124"/>
      <c r="BD43" s="202"/>
      <c r="BE43" s="83"/>
      <c r="BF43" s="83"/>
    </row>
    <row r="44" spans="2:58">
      <c r="B44" s="123"/>
      <c r="C44" s="122"/>
      <c r="D44" s="121"/>
      <c r="E44" s="120"/>
      <c r="F44" s="120"/>
      <c r="G44" s="120"/>
      <c r="H44" s="120"/>
      <c r="I44" s="120"/>
      <c r="J44" s="120"/>
      <c r="K44" s="120"/>
      <c r="L44" s="120"/>
      <c r="M44" s="102"/>
      <c r="N44" s="102"/>
      <c r="O44" s="120"/>
      <c r="P44" s="120"/>
      <c r="Q44" s="120"/>
      <c r="R44" s="120"/>
      <c r="S44" s="120"/>
      <c r="T44" s="120"/>
      <c r="U44" s="120"/>
      <c r="V44" s="120"/>
      <c r="W44" s="120"/>
      <c r="X44" s="120"/>
      <c r="Y44" s="120"/>
      <c r="Z44" s="120"/>
      <c r="AA44" s="120"/>
      <c r="AB44" s="120"/>
      <c r="AC44" s="120"/>
      <c r="AD44" s="121"/>
      <c r="AE44" s="120"/>
      <c r="AF44" s="120"/>
      <c r="AG44" s="120"/>
      <c r="AH44" s="120"/>
      <c r="AI44" s="120"/>
      <c r="AJ44" s="120"/>
      <c r="AK44" s="120"/>
      <c r="AL44" s="120"/>
      <c r="AM44" s="102"/>
      <c r="AN44" s="102"/>
      <c r="AO44" s="120"/>
      <c r="AP44" s="120"/>
      <c r="AQ44" s="120"/>
      <c r="AR44" s="120"/>
      <c r="AS44" s="120"/>
      <c r="AT44" s="120"/>
      <c r="AU44" s="120"/>
      <c r="AV44" s="120"/>
      <c r="AW44" s="120"/>
      <c r="AX44" s="120"/>
      <c r="AY44" s="120"/>
      <c r="AZ44" s="120"/>
      <c r="BA44" s="120"/>
      <c r="BB44" s="120"/>
      <c r="BC44" s="120"/>
      <c r="BD44" s="413"/>
      <c r="BE44" s="83"/>
      <c r="BF44" s="83"/>
    </row>
    <row r="45" spans="2:58">
      <c r="B45" s="119" t="s">
        <v>548</v>
      </c>
      <c r="C45" s="512">
        <v>45992</v>
      </c>
      <c r="D45" s="95">
        <f t="shared" ref="D45:Z45" si="143">D76+D106</f>
        <v>87823526.10634014</v>
      </c>
      <c r="E45" s="96">
        <f t="shared" si="143"/>
        <v>51662829.242590867</v>
      </c>
      <c r="F45" s="95">
        <f t="shared" si="143"/>
        <v>98821568.737683624</v>
      </c>
      <c r="G45" s="96">
        <f t="shared" si="143"/>
        <v>4392979.8806927847</v>
      </c>
      <c r="H45" s="95">
        <f t="shared" si="143"/>
        <v>878941.8424311995</v>
      </c>
      <c r="I45" s="96">
        <f t="shared" si="143"/>
        <v>1476079.8149609021</v>
      </c>
      <c r="J45" s="95">
        <f t="shared" si="143"/>
        <v>355340.66500004497</v>
      </c>
      <c r="K45" s="96">
        <f t="shared" si="143"/>
        <v>417377.06498784182</v>
      </c>
      <c r="L45" s="95">
        <f t="shared" si="143"/>
        <v>9176560.4391672909</v>
      </c>
      <c r="M45" s="96">
        <f t="shared" si="143"/>
        <v>73694161.815988615</v>
      </c>
      <c r="N45" s="97">
        <f t="shared" si="143"/>
        <v>20754064.297871225</v>
      </c>
      <c r="O45" s="96">
        <f t="shared" si="143"/>
        <v>18761942.393749386</v>
      </c>
      <c r="P45" s="95">
        <f t="shared" si="143"/>
        <v>181309718.71878323</v>
      </c>
      <c r="Q45" s="94">
        <f t="shared" si="143"/>
        <v>6046061.050797197</v>
      </c>
      <c r="R45" s="95">
        <f t="shared" si="143"/>
        <v>17552099.49459945</v>
      </c>
      <c r="S45" s="94">
        <f t="shared" si="143"/>
        <v>6834766.7604328319</v>
      </c>
      <c r="T45" s="95">
        <f t="shared" si="143"/>
        <v>5481267.6800271617</v>
      </c>
      <c r="U45" s="94">
        <f t="shared" si="143"/>
        <v>2344512.1901068971</v>
      </c>
      <c r="V45" s="95">
        <f t="shared" si="143"/>
        <v>189788.33500224154</v>
      </c>
      <c r="W45" s="94">
        <f t="shared" si="143"/>
        <v>45884.135011515966</v>
      </c>
      <c r="X45" s="95">
        <f t="shared" si="143"/>
        <v>6653690.0459792269</v>
      </c>
      <c r="Y45" s="94">
        <f t="shared" si="143"/>
        <v>407735.6300868598</v>
      </c>
      <c r="Z45" s="95">
        <f t="shared" si="143"/>
        <v>2298294.2003838457</v>
      </c>
      <c r="AA45" s="94">
        <f t="shared" ref="AA45:AB55" si="144">AA76+AA106</f>
        <v>3118680.334168511</v>
      </c>
      <c r="AB45" s="95">
        <f t="shared" si="144"/>
        <v>6044869.7130805608</v>
      </c>
      <c r="AC45" s="94">
        <f t="shared" ref="AC45:AC57" si="145">AC76+AC106</f>
        <v>63375.479994707377</v>
      </c>
      <c r="AD45" s="95">
        <f t="shared" ref="AD45:AT55" si="146">AD76+AD106</f>
        <v>173013.91999652053</v>
      </c>
      <c r="AE45" s="96">
        <f t="shared" si="146"/>
        <v>103227.7878710506</v>
      </c>
      <c r="AF45" s="95">
        <f t="shared" si="146"/>
        <v>1561547.9525980793</v>
      </c>
      <c r="AG45" s="96">
        <f t="shared" si="146"/>
        <v>214512.05503811798</v>
      </c>
      <c r="AH45" s="95">
        <f t="shared" si="146"/>
        <v>4187019.2306950134</v>
      </c>
      <c r="AI45" s="96">
        <f t="shared" si="146"/>
        <v>21156.71499943957</v>
      </c>
      <c r="AJ45" s="95">
        <f t="shared" si="146"/>
        <v>600155.65985729813</v>
      </c>
      <c r="AK45" s="96">
        <f t="shared" si="146"/>
        <v>40963.855004806028</v>
      </c>
      <c r="AL45" s="95">
        <f t="shared" si="146"/>
        <v>2805612.6482871789</v>
      </c>
      <c r="AM45" s="96">
        <f t="shared" si="146"/>
        <v>1215681.5727968786</v>
      </c>
      <c r="AN45" s="97">
        <f t="shared" si="146"/>
        <v>3121532.6405987879</v>
      </c>
      <c r="AO45" s="96">
        <f t="shared" si="146"/>
        <v>476351.92000758677</v>
      </c>
      <c r="AP45" s="95">
        <f t="shared" si="146"/>
        <v>2732570.8047564086</v>
      </c>
      <c r="AQ45" s="94">
        <f t="shared" si="146"/>
        <v>0</v>
      </c>
      <c r="AR45" s="95">
        <f t="shared" si="146"/>
        <v>7327022.2016369822</v>
      </c>
      <c r="AS45" s="94">
        <f t="shared" si="146"/>
        <v>16169068.169386655</v>
      </c>
      <c r="AT45" s="95">
        <f t="shared" si="146"/>
        <v>148837.33723012524</v>
      </c>
      <c r="AU45" s="94">
        <f t="shared" ref="AU45:AV57" si="147">AU76+AU106</f>
        <v>0</v>
      </c>
      <c r="AV45" s="95">
        <f t="shared" si="147"/>
        <v>3201709.9794218577</v>
      </c>
      <c r="AW45" s="94">
        <f t="shared" ref="AW45:AX45" si="148">AW76+AW106</f>
        <v>4192332.3696405538</v>
      </c>
      <c r="AX45" s="95">
        <f t="shared" si="148"/>
        <v>0</v>
      </c>
      <c r="AY45" s="94">
        <f t="shared" ref="AY45:BB45" si="149">AY76+AY106</f>
        <v>0</v>
      </c>
      <c r="AZ45" s="95">
        <f t="shared" si="149"/>
        <v>0</v>
      </c>
      <c r="BA45" s="94">
        <f t="shared" si="149"/>
        <v>0</v>
      </c>
      <c r="BB45" s="95">
        <f t="shared" si="149"/>
        <v>0</v>
      </c>
      <c r="BC45" s="94">
        <f t="shared" ref="BC45" si="150">BC76+BC106</f>
        <v>0</v>
      </c>
      <c r="BD45" s="412"/>
      <c r="BE45" s="83"/>
      <c r="BF45" s="83"/>
    </row>
    <row r="46" spans="2:58">
      <c r="B46" s="119" t="s">
        <v>547</v>
      </c>
      <c r="C46" s="512">
        <v>46023</v>
      </c>
      <c r="D46" s="89">
        <f t="shared" ref="D46:Z46" si="151">D77+D107</f>
        <v>87547459.230730146</v>
      </c>
      <c r="E46" s="90">
        <f t="shared" si="151"/>
        <v>51490795.409689344</v>
      </c>
      <c r="F46" s="89">
        <f t="shared" si="151"/>
        <v>98562123.75229755</v>
      </c>
      <c r="G46" s="90">
        <f t="shared" si="151"/>
        <v>4371682.6558082486</v>
      </c>
      <c r="H46" s="89">
        <f t="shared" si="151"/>
        <v>876234.40533639945</v>
      </c>
      <c r="I46" s="90">
        <f t="shared" si="151"/>
        <v>1471631.5549543859</v>
      </c>
      <c r="J46" s="89">
        <f t="shared" si="151"/>
        <v>355280.15000005241</v>
      </c>
      <c r="K46" s="90">
        <f t="shared" si="151"/>
        <v>416638.51998581545</v>
      </c>
      <c r="L46" s="89">
        <f t="shared" si="151"/>
        <v>9142569.6490285061</v>
      </c>
      <c r="M46" s="90">
        <f t="shared" si="151"/>
        <v>73337159.175320059</v>
      </c>
      <c r="N46" s="91">
        <f t="shared" si="151"/>
        <v>20699228.497516431</v>
      </c>
      <c r="O46" s="90">
        <f t="shared" si="151"/>
        <v>18700133.702707618</v>
      </c>
      <c r="P46" s="89">
        <f t="shared" si="151"/>
        <v>180852632.2452471</v>
      </c>
      <c r="Q46" s="88">
        <f t="shared" si="151"/>
        <v>6029968.3609300628</v>
      </c>
      <c r="R46" s="89">
        <f t="shared" si="151"/>
        <v>17509454.124532692</v>
      </c>
      <c r="S46" s="88">
        <f t="shared" si="151"/>
        <v>6814925.8205049708</v>
      </c>
      <c r="T46" s="89">
        <f t="shared" si="151"/>
        <v>5465889.6050316887</v>
      </c>
      <c r="U46" s="88">
        <f t="shared" si="151"/>
        <v>2338164.1351247132</v>
      </c>
      <c r="V46" s="89">
        <f t="shared" si="151"/>
        <v>189203.49500261512</v>
      </c>
      <c r="W46" s="88">
        <f t="shared" si="151"/>
        <v>45742.875013435296</v>
      </c>
      <c r="X46" s="89">
        <f t="shared" si="151"/>
        <v>6636646.0311424313</v>
      </c>
      <c r="Y46" s="88">
        <f t="shared" si="151"/>
        <v>406230.32510133641</v>
      </c>
      <c r="Z46" s="89">
        <f t="shared" si="151"/>
        <v>2292835.1754478202</v>
      </c>
      <c r="AA46" s="88">
        <f t="shared" si="144"/>
        <v>3111145.6740299296</v>
      </c>
      <c r="AB46" s="89">
        <f t="shared" si="144"/>
        <v>6030617.7119273208</v>
      </c>
      <c r="AC46" s="88">
        <f t="shared" si="145"/>
        <v>63221.194993825273</v>
      </c>
      <c r="AD46" s="89">
        <f t="shared" ref="AD46:AJ46" si="152">AD77+AD107</f>
        <v>172634.56999594063</v>
      </c>
      <c r="AE46" s="90">
        <f t="shared" si="152"/>
        <v>102977.37168289238</v>
      </c>
      <c r="AF46" s="89">
        <f t="shared" si="152"/>
        <v>1557273.7855310924</v>
      </c>
      <c r="AG46" s="90">
        <f t="shared" si="152"/>
        <v>213848.935044471</v>
      </c>
      <c r="AH46" s="89">
        <f t="shared" si="152"/>
        <v>4176145.4458108493</v>
      </c>
      <c r="AI46" s="90">
        <f t="shared" si="152"/>
        <v>21104.729999346164</v>
      </c>
      <c r="AJ46" s="89">
        <f t="shared" si="152"/>
        <v>598272.77983351448</v>
      </c>
      <c r="AK46" s="90">
        <f t="shared" si="146"/>
        <v>40879.405005607034</v>
      </c>
      <c r="AL46" s="89">
        <f t="shared" si="146"/>
        <v>2798389.0388350417</v>
      </c>
      <c r="AM46" s="90">
        <f t="shared" si="146"/>
        <v>1212122.2624296916</v>
      </c>
      <c r="AN46" s="91">
        <f t="shared" si="146"/>
        <v>3114382.8706985856</v>
      </c>
      <c r="AO46" s="90">
        <f t="shared" si="146"/>
        <v>475165.41000885126</v>
      </c>
      <c r="AP46" s="89">
        <f t="shared" si="146"/>
        <v>2725815.4047158095</v>
      </c>
      <c r="AQ46" s="88">
        <f t="shared" si="146"/>
        <v>0</v>
      </c>
      <c r="AR46" s="89">
        <f t="shared" si="146"/>
        <v>7308816.003576478</v>
      </c>
      <c r="AS46" s="88">
        <f t="shared" si="146"/>
        <v>16133139.655951098</v>
      </c>
      <c r="AT46" s="89">
        <f t="shared" si="146"/>
        <v>148469.46343514611</v>
      </c>
      <c r="AU46" s="88">
        <f t="shared" si="147"/>
        <v>0</v>
      </c>
      <c r="AV46" s="89">
        <f t="shared" si="147"/>
        <v>3193988.614325501</v>
      </c>
      <c r="AW46" s="88">
        <f t="shared" ref="AW46:AX46" si="153">AW77+AW107</f>
        <v>4182421.6145806462</v>
      </c>
      <c r="AX46" s="89">
        <f t="shared" si="153"/>
        <v>0</v>
      </c>
      <c r="AY46" s="88">
        <f t="shared" ref="AY46:BB46" si="154">AY77+AY107</f>
        <v>0</v>
      </c>
      <c r="AZ46" s="89">
        <f t="shared" si="154"/>
        <v>0</v>
      </c>
      <c r="BA46" s="88">
        <f t="shared" si="154"/>
        <v>0</v>
      </c>
      <c r="BB46" s="89">
        <f t="shared" si="154"/>
        <v>0</v>
      </c>
      <c r="BC46" s="88">
        <f t="shared" ref="BC46" si="155">BC77+BC107</f>
        <v>0</v>
      </c>
      <c r="BD46" s="412"/>
      <c r="BE46" s="83"/>
      <c r="BF46" s="83"/>
    </row>
    <row r="47" spans="2:58">
      <c r="B47" s="119"/>
      <c r="C47" s="513">
        <v>46054</v>
      </c>
      <c r="D47" s="89">
        <f t="shared" ref="D47:Z47" si="156">D78+D108</f>
        <v>87271392.355120182</v>
      </c>
      <c r="E47" s="90">
        <f t="shared" si="156"/>
        <v>51318761.576787822</v>
      </c>
      <c r="F47" s="89">
        <f t="shared" si="156"/>
        <v>98302678.766911507</v>
      </c>
      <c r="G47" s="90">
        <f t="shared" si="156"/>
        <v>4350385.4309237124</v>
      </c>
      <c r="H47" s="89">
        <f t="shared" si="156"/>
        <v>873526.96824159939</v>
      </c>
      <c r="I47" s="90">
        <f t="shared" si="156"/>
        <v>1467183.2949478696</v>
      </c>
      <c r="J47" s="89">
        <f t="shared" si="156"/>
        <v>355219.63500005996</v>
      </c>
      <c r="K47" s="90">
        <f t="shared" si="156"/>
        <v>415899.97498378908</v>
      </c>
      <c r="L47" s="89">
        <f t="shared" si="156"/>
        <v>9108578.8588897213</v>
      </c>
      <c r="M47" s="90">
        <f t="shared" si="156"/>
        <v>72980156.534651488</v>
      </c>
      <c r="N47" s="91">
        <f t="shared" si="156"/>
        <v>20644392.697161637</v>
      </c>
      <c r="O47" s="90">
        <f t="shared" si="156"/>
        <v>18638325.011665847</v>
      </c>
      <c r="P47" s="89">
        <f t="shared" si="156"/>
        <v>180395545.77171096</v>
      </c>
      <c r="Q47" s="88">
        <f t="shared" si="156"/>
        <v>6013875.6710629286</v>
      </c>
      <c r="R47" s="89">
        <f t="shared" si="156"/>
        <v>17466808.754465934</v>
      </c>
      <c r="S47" s="88">
        <f t="shared" si="156"/>
        <v>6795084.8805771098</v>
      </c>
      <c r="T47" s="89">
        <f t="shared" si="156"/>
        <v>5450511.5300362157</v>
      </c>
      <c r="U47" s="88">
        <f t="shared" si="156"/>
        <v>2331816.0801425297</v>
      </c>
      <c r="V47" s="89">
        <f t="shared" si="156"/>
        <v>188618.65500298873</v>
      </c>
      <c r="W47" s="88">
        <f t="shared" si="156"/>
        <v>45601.615015354626</v>
      </c>
      <c r="X47" s="89">
        <f t="shared" si="156"/>
        <v>6619602.0163056357</v>
      </c>
      <c r="Y47" s="88">
        <f t="shared" si="156"/>
        <v>404725.02011581301</v>
      </c>
      <c r="Z47" s="89">
        <f t="shared" si="156"/>
        <v>2287376.1505117943</v>
      </c>
      <c r="AA47" s="88">
        <f t="shared" si="144"/>
        <v>3103611.0138913481</v>
      </c>
      <c r="AB47" s="89">
        <f t="shared" si="144"/>
        <v>6016365.7107740808</v>
      </c>
      <c r="AC47" s="88">
        <f t="shared" si="145"/>
        <v>63066.909992943169</v>
      </c>
      <c r="AD47" s="89">
        <f t="shared" si="146"/>
        <v>172255.21999536073</v>
      </c>
      <c r="AE47" s="90">
        <f t="shared" si="146"/>
        <v>102726.95549473414</v>
      </c>
      <c r="AF47" s="89">
        <f t="shared" si="146"/>
        <v>1552999.6184641058</v>
      </c>
      <c r="AG47" s="90">
        <f t="shared" si="146"/>
        <v>213185.81505082399</v>
      </c>
      <c r="AH47" s="89">
        <f t="shared" si="146"/>
        <v>4165271.6609266847</v>
      </c>
      <c r="AI47" s="90">
        <f t="shared" si="146"/>
        <v>21052.744999252758</v>
      </c>
      <c r="AJ47" s="89">
        <f t="shared" si="146"/>
        <v>596389.89980973094</v>
      </c>
      <c r="AK47" s="90">
        <f t="shared" si="146"/>
        <v>40794.955006408039</v>
      </c>
      <c r="AL47" s="89">
        <f t="shared" si="146"/>
        <v>2791165.4293829054</v>
      </c>
      <c r="AM47" s="90">
        <f t="shared" si="146"/>
        <v>1208562.9520625048</v>
      </c>
      <c r="AN47" s="91">
        <f t="shared" si="146"/>
        <v>3107233.1007983838</v>
      </c>
      <c r="AO47" s="90">
        <f t="shared" si="146"/>
        <v>473978.9000101157</v>
      </c>
      <c r="AP47" s="89">
        <f t="shared" si="146"/>
        <v>2719060.0046752109</v>
      </c>
      <c r="AQ47" s="88">
        <f t="shared" si="146"/>
        <v>0</v>
      </c>
      <c r="AR47" s="89">
        <f t="shared" si="146"/>
        <v>7290609.8055159757</v>
      </c>
      <c r="AS47" s="88">
        <f t="shared" si="146"/>
        <v>16097211.14251554</v>
      </c>
      <c r="AT47" s="89">
        <f t="shared" si="146"/>
        <v>148101.58964016699</v>
      </c>
      <c r="AU47" s="88">
        <f t="shared" si="147"/>
        <v>0</v>
      </c>
      <c r="AV47" s="89">
        <f t="shared" si="147"/>
        <v>3186267.2492291438</v>
      </c>
      <c r="AW47" s="88">
        <f t="shared" ref="AW47:AX47" si="157">AW78+AW108</f>
        <v>4172510.8595207385</v>
      </c>
      <c r="AX47" s="89">
        <f t="shared" si="157"/>
        <v>0</v>
      </c>
      <c r="AY47" s="88">
        <f t="shared" ref="AY47:BB47" si="158">AY78+AY108</f>
        <v>0</v>
      </c>
      <c r="AZ47" s="89">
        <f t="shared" si="158"/>
        <v>0</v>
      </c>
      <c r="BA47" s="88">
        <f t="shared" si="158"/>
        <v>0</v>
      </c>
      <c r="BB47" s="89">
        <f t="shared" si="158"/>
        <v>0</v>
      </c>
      <c r="BC47" s="88">
        <f t="shared" ref="BC47" si="159">BC78+BC108</f>
        <v>0</v>
      </c>
      <c r="BD47" s="412"/>
      <c r="BE47" s="83"/>
      <c r="BF47" s="83"/>
    </row>
    <row r="48" spans="2:58">
      <c r="B48" s="119"/>
      <c r="C48" s="513">
        <v>46082</v>
      </c>
      <c r="D48" s="89">
        <f t="shared" ref="D48:Z48" si="160">D79+D109</f>
        <v>86995325.479510188</v>
      </c>
      <c r="E48" s="90">
        <f t="shared" si="160"/>
        <v>51146727.743886299</v>
      </c>
      <c r="F48" s="89">
        <f t="shared" si="160"/>
        <v>98043233.781525433</v>
      </c>
      <c r="G48" s="90">
        <f t="shared" si="160"/>
        <v>4329088.2060391763</v>
      </c>
      <c r="H48" s="89">
        <f t="shared" si="160"/>
        <v>870819.53114679933</v>
      </c>
      <c r="I48" s="90">
        <f t="shared" si="160"/>
        <v>1462735.0349413534</v>
      </c>
      <c r="J48" s="89">
        <f t="shared" si="160"/>
        <v>355159.1200000674</v>
      </c>
      <c r="K48" s="90">
        <f t="shared" si="160"/>
        <v>415161.42998176272</v>
      </c>
      <c r="L48" s="89">
        <f t="shared" si="160"/>
        <v>9074588.0687509365</v>
      </c>
      <c r="M48" s="90">
        <f t="shared" si="160"/>
        <v>72623153.893982917</v>
      </c>
      <c r="N48" s="91">
        <f t="shared" si="160"/>
        <v>20589556.89680684</v>
      </c>
      <c r="O48" s="90">
        <f t="shared" si="160"/>
        <v>18576516.320624076</v>
      </c>
      <c r="P48" s="89">
        <f t="shared" si="160"/>
        <v>179938459.29817486</v>
      </c>
      <c r="Q48" s="88">
        <f t="shared" si="160"/>
        <v>5997782.9811957944</v>
      </c>
      <c r="R48" s="89">
        <f t="shared" si="160"/>
        <v>17424163.384399176</v>
      </c>
      <c r="S48" s="88">
        <f t="shared" si="160"/>
        <v>6775243.9406492487</v>
      </c>
      <c r="T48" s="89">
        <f t="shared" si="160"/>
        <v>5435133.4550407426</v>
      </c>
      <c r="U48" s="88">
        <f t="shared" si="160"/>
        <v>2325468.0251603457</v>
      </c>
      <c r="V48" s="89">
        <f t="shared" si="160"/>
        <v>188033.81500336231</v>
      </c>
      <c r="W48" s="88">
        <f t="shared" si="160"/>
        <v>45460.355017273949</v>
      </c>
      <c r="X48" s="89">
        <f t="shared" si="160"/>
        <v>6602558.001468841</v>
      </c>
      <c r="Y48" s="88">
        <f t="shared" si="160"/>
        <v>403219.71513028967</v>
      </c>
      <c r="Z48" s="89">
        <f t="shared" si="160"/>
        <v>2281917.1255757688</v>
      </c>
      <c r="AA48" s="88">
        <f t="shared" si="144"/>
        <v>3096076.3537527667</v>
      </c>
      <c r="AB48" s="89">
        <f t="shared" si="144"/>
        <v>6002113.7096208408</v>
      </c>
      <c r="AC48" s="88">
        <f t="shared" si="145"/>
        <v>62912.624992061064</v>
      </c>
      <c r="AD48" s="89">
        <f t="shared" si="146"/>
        <v>171875.86999478081</v>
      </c>
      <c r="AE48" s="90">
        <f t="shared" si="146"/>
        <v>102476.53930657591</v>
      </c>
      <c r="AF48" s="89">
        <f t="shared" si="146"/>
        <v>1548725.4513971189</v>
      </c>
      <c r="AG48" s="90">
        <f t="shared" si="146"/>
        <v>212522.69505717698</v>
      </c>
      <c r="AH48" s="89">
        <f t="shared" si="146"/>
        <v>4154397.8760425202</v>
      </c>
      <c r="AI48" s="90">
        <f t="shared" si="146"/>
        <v>21000.759999159356</v>
      </c>
      <c r="AJ48" s="89">
        <f t="shared" si="146"/>
        <v>594507.01978594728</v>
      </c>
      <c r="AK48" s="90">
        <f t="shared" si="146"/>
        <v>40710.505007209038</v>
      </c>
      <c r="AL48" s="89">
        <f t="shared" si="146"/>
        <v>2783941.8199307681</v>
      </c>
      <c r="AM48" s="90">
        <f t="shared" si="146"/>
        <v>1205003.641695318</v>
      </c>
      <c r="AN48" s="91">
        <f t="shared" si="146"/>
        <v>3100083.3308981815</v>
      </c>
      <c r="AO48" s="90">
        <f t="shared" si="146"/>
        <v>472792.39001138019</v>
      </c>
      <c r="AP48" s="89">
        <f t="shared" si="146"/>
        <v>2712304.6046346123</v>
      </c>
      <c r="AQ48" s="88">
        <f t="shared" si="146"/>
        <v>0</v>
      </c>
      <c r="AR48" s="89">
        <f t="shared" si="146"/>
        <v>7272403.6074554725</v>
      </c>
      <c r="AS48" s="88">
        <f t="shared" si="146"/>
        <v>16061282.629079983</v>
      </c>
      <c r="AT48" s="89">
        <f t="shared" si="146"/>
        <v>147733.71584518786</v>
      </c>
      <c r="AU48" s="88">
        <f t="shared" si="147"/>
        <v>0</v>
      </c>
      <c r="AV48" s="89">
        <f t="shared" si="147"/>
        <v>3178545.8841327867</v>
      </c>
      <c r="AW48" s="88">
        <f t="shared" ref="AW48:AX48" si="161">AW79+AW109</f>
        <v>4162600.1044608308</v>
      </c>
      <c r="AX48" s="89">
        <f t="shared" si="161"/>
        <v>0</v>
      </c>
      <c r="AY48" s="88">
        <f t="shared" ref="AY48:BB48" si="162">AY79+AY109</f>
        <v>0</v>
      </c>
      <c r="AZ48" s="89">
        <f t="shared" si="162"/>
        <v>0</v>
      </c>
      <c r="BA48" s="88">
        <f t="shared" si="162"/>
        <v>0</v>
      </c>
      <c r="BB48" s="89">
        <f t="shared" si="162"/>
        <v>0</v>
      </c>
      <c r="BC48" s="88">
        <f t="shared" ref="BC48" si="163">BC79+BC109</f>
        <v>0</v>
      </c>
      <c r="BD48" s="412"/>
      <c r="BE48" s="83"/>
      <c r="BF48" s="83"/>
    </row>
    <row r="49" spans="2:58">
      <c r="B49" s="119"/>
      <c r="C49" s="513">
        <v>46113</v>
      </c>
      <c r="D49" s="89">
        <f t="shared" ref="D49:Z49" si="164">D80+D110</f>
        <v>86719258.603900224</v>
      </c>
      <c r="E49" s="90">
        <f t="shared" si="164"/>
        <v>50974693.910984777</v>
      </c>
      <c r="F49" s="89">
        <f t="shared" si="164"/>
        <v>97783788.796139389</v>
      </c>
      <c r="G49" s="90">
        <f t="shared" si="164"/>
        <v>4307790.9811546402</v>
      </c>
      <c r="H49" s="89">
        <f t="shared" si="164"/>
        <v>868112.09405199927</v>
      </c>
      <c r="I49" s="90">
        <f t="shared" si="164"/>
        <v>1458286.7749348371</v>
      </c>
      <c r="J49" s="89">
        <f t="shared" si="164"/>
        <v>355098.60500007495</v>
      </c>
      <c r="K49" s="90">
        <f t="shared" si="164"/>
        <v>414422.88497973635</v>
      </c>
      <c r="L49" s="89">
        <f t="shared" si="164"/>
        <v>9040597.2786121517</v>
      </c>
      <c r="M49" s="90">
        <f t="shared" si="164"/>
        <v>72266151.253314361</v>
      </c>
      <c r="N49" s="91">
        <f t="shared" si="164"/>
        <v>20534721.096452042</v>
      </c>
      <c r="O49" s="90">
        <f t="shared" si="164"/>
        <v>18514707.629582308</v>
      </c>
      <c r="P49" s="89">
        <f t="shared" si="164"/>
        <v>179481372.82463872</v>
      </c>
      <c r="Q49" s="88">
        <f t="shared" si="164"/>
        <v>5981690.2913286611</v>
      </c>
      <c r="R49" s="89">
        <f t="shared" si="164"/>
        <v>17381518.014332417</v>
      </c>
      <c r="S49" s="88">
        <f t="shared" si="164"/>
        <v>6755403.0007213866</v>
      </c>
      <c r="T49" s="89">
        <f t="shared" si="164"/>
        <v>5419755.3800452696</v>
      </c>
      <c r="U49" s="88">
        <f t="shared" si="164"/>
        <v>2319119.9701781622</v>
      </c>
      <c r="V49" s="89">
        <f t="shared" si="164"/>
        <v>187448.97500373589</v>
      </c>
      <c r="W49" s="88">
        <f t="shared" si="164"/>
        <v>45319.095019193279</v>
      </c>
      <c r="X49" s="89">
        <f t="shared" si="164"/>
        <v>6585513.9866320454</v>
      </c>
      <c r="Y49" s="88">
        <f t="shared" si="164"/>
        <v>401714.41014476633</v>
      </c>
      <c r="Z49" s="89">
        <f t="shared" si="164"/>
        <v>2276458.1006397428</v>
      </c>
      <c r="AA49" s="88">
        <f t="shared" si="144"/>
        <v>3088541.6936141849</v>
      </c>
      <c r="AB49" s="89">
        <f t="shared" si="144"/>
        <v>5987861.7084676009</v>
      </c>
      <c r="AC49" s="88">
        <f t="shared" si="145"/>
        <v>62758.33999117896</v>
      </c>
      <c r="AD49" s="89">
        <f t="shared" si="146"/>
        <v>171496.51999420091</v>
      </c>
      <c r="AE49" s="90">
        <f t="shared" si="146"/>
        <v>102226.12311841769</v>
      </c>
      <c r="AF49" s="89">
        <f t="shared" si="146"/>
        <v>1544451.2843301322</v>
      </c>
      <c r="AG49" s="90">
        <f t="shared" si="146"/>
        <v>211859.57506352998</v>
      </c>
      <c r="AH49" s="89">
        <f t="shared" si="146"/>
        <v>4143524.0911583556</v>
      </c>
      <c r="AI49" s="90">
        <f t="shared" si="146"/>
        <v>20948.77499906595</v>
      </c>
      <c r="AJ49" s="89">
        <f t="shared" si="146"/>
        <v>592624.13976216363</v>
      </c>
      <c r="AK49" s="90">
        <f t="shared" si="146"/>
        <v>40626.055008010044</v>
      </c>
      <c r="AL49" s="89">
        <f t="shared" si="146"/>
        <v>2776718.2104786308</v>
      </c>
      <c r="AM49" s="90">
        <f t="shared" si="146"/>
        <v>1201444.331328131</v>
      </c>
      <c r="AN49" s="91">
        <f t="shared" si="146"/>
        <v>3092933.5609979797</v>
      </c>
      <c r="AO49" s="90">
        <f t="shared" si="146"/>
        <v>471605.88001264463</v>
      </c>
      <c r="AP49" s="89">
        <f t="shared" si="146"/>
        <v>2705549.2045940137</v>
      </c>
      <c r="AQ49" s="88">
        <f t="shared" si="146"/>
        <v>0</v>
      </c>
      <c r="AR49" s="89">
        <f t="shared" si="146"/>
        <v>7254197.4093949702</v>
      </c>
      <c r="AS49" s="88">
        <f t="shared" si="146"/>
        <v>16025354.115644425</v>
      </c>
      <c r="AT49" s="89">
        <f t="shared" si="146"/>
        <v>147365.84205020874</v>
      </c>
      <c r="AU49" s="88">
        <f t="shared" si="147"/>
        <v>0</v>
      </c>
      <c r="AV49" s="89">
        <f t="shared" si="147"/>
        <v>3170824.5190364299</v>
      </c>
      <c r="AW49" s="88">
        <f t="shared" ref="AW49:AX49" si="165">AW80+AW110</f>
        <v>4152689.3494009231</v>
      </c>
      <c r="AX49" s="89">
        <f t="shared" si="165"/>
        <v>0</v>
      </c>
      <c r="AY49" s="88">
        <f t="shared" ref="AY49:BB49" si="166">AY80+AY110</f>
        <v>0</v>
      </c>
      <c r="AZ49" s="89">
        <f t="shared" si="166"/>
        <v>0</v>
      </c>
      <c r="BA49" s="88">
        <f t="shared" si="166"/>
        <v>0</v>
      </c>
      <c r="BB49" s="89">
        <f t="shared" si="166"/>
        <v>0</v>
      </c>
      <c r="BC49" s="88">
        <f t="shared" ref="BC49" si="167">BC80+BC110</f>
        <v>0</v>
      </c>
      <c r="BD49" s="412"/>
      <c r="BE49" s="83"/>
      <c r="BF49" s="83"/>
    </row>
    <row r="50" spans="2:58">
      <c r="B50" s="119"/>
      <c r="C50" s="513">
        <v>46143</v>
      </c>
      <c r="D50" s="89">
        <f t="shared" ref="D50:Z50" si="168">D81+D111</f>
        <v>86443191.72829023</v>
      </c>
      <c r="E50" s="90">
        <f t="shared" si="168"/>
        <v>50802660.078083254</v>
      </c>
      <c r="F50" s="89">
        <f t="shared" si="168"/>
        <v>97524343.810753316</v>
      </c>
      <c r="G50" s="90">
        <f t="shared" si="168"/>
        <v>4286493.7562701041</v>
      </c>
      <c r="H50" s="89">
        <f t="shared" si="168"/>
        <v>865404.65695719921</v>
      </c>
      <c r="I50" s="90">
        <f t="shared" si="168"/>
        <v>1453838.5149283207</v>
      </c>
      <c r="J50" s="89">
        <f t="shared" si="168"/>
        <v>355038.09000008239</v>
      </c>
      <c r="K50" s="90">
        <f t="shared" si="168"/>
        <v>413684.33997770998</v>
      </c>
      <c r="L50" s="89">
        <f t="shared" si="168"/>
        <v>9006606.4884733669</v>
      </c>
      <c r="M50" s="90">
        <f t="shared" si="168"/>
        <v>71909148.612645805</v>
      </c>
      <c r="N50" s="91">
        <f t="shared" si="168"/>
        <v>20479885.296097249</v>
      </c>
      <c r="O50" s="90">
        <f t="shared" si="168"/>
        <v>18452898.938540541</v>
      </c>
      <c r="P50" s="89">
        <f t="shared" si="168"/>
        <v>179024286.35110259</v>
      </c>
      <c r="Q50" s="88">
        <f t="shared" si="168"/>
        <v>5965597.6014615279</v>
      </c>
      <c r="R50" s="89">
        <f t="shared" si="168"/>
        <v>17338872.644265659</v>
      </c>
      <c r="S50" s="88">
        <f t="shared" si="168"/>
        <v>6735562.0607935255</v>
      </c>
      <c r="T50" s="89">
        <f t="shared" si="168"/>
        <v>5404377.3050497966</v>
      </c>
      <c r="U50" s="88">
        <f t="shared" si="168"/>
        <v>2312771.9151959782</v>
      </c>
      <c r="V50" s="89">
        <f t="shared" si="168"/>
        <v>186864.1350041095</v>
      </c>
      <c r="W50" s="88">
        <f t="shared" si="168"/>
        <v>45177.835021112609</v>
      </c>
      <c r="X50" s="89">
        <f t="shared" si="168"/>
        <v>6568469.9717952497</v>
      </c>
      <c r="Y50" s="88">
        <f t="shared" si="168"/>
        <v>400209.10515924293</v>
      </c>
      <c r="Z50" s="89">
        <f t="shared" si="168"/>
        <v>2270999.0757037173</v>
      </c>
      <c r="AA50" s="88">
        <f t="shared" si="144"/>
        <v>3081007.0334756034</v>
      </c>
      <c r="AB50" s="89">
        <f t="shared" si="144"/>
        <v>5973609.7073143609</v>
      </c>
      <c r="AC50" s="88">
        <f t="shared" si="145"/>
        <v>62604.054990296856</v>
      </c>
      <c r="AD50" s="89">
        <f t="shared" si="146"/>
        <v>171117.16999362101</v>
      </c>
      <c r="AE50" s="90">
        <f t="shared" si="146"/>
        <v>101975.70693025945</v>
      </c>
      <c r="AF50" s="89">
        <f t="shared" si="146"/>
        <v>1540177.1172631453</v>
      </c>
      <c r="AG50" s="90">
        <f t="shared" si="146"/>
        <v>211196.45506988297</v>
      </c>
      <c r="AH50" s="89">
        <f t="shared" si="146"/>
        <v>4132650.3062741915</v>
      </c>
      <c r="AI50" s="90">
        <f t="shared" si="146"/>
        <v>20896.789998972545</v>
      </c>
      <c r="AJ50" s="89">
        <f t="shared" si="146"/>
        <v>590741.25973837997</v>
      </c>
      <c r="AK50" s="90">
        <f t="shared" si="146"/>
        <v>40541.60500881105</v>
      </c>
      <c r="AL50" s="89">
        <f t="shared" si="146"/>
        <v>2769494.6010264945</v>
      </c>
      <c r="AM50" s="90">
        <f t="shared" si="146"/>
        <v>1197885.020960944</v>
      </c>
      <c r="AN50" s="91">
        <f t="shared" si="146"/>
        <v>3085783.7910977774</v>
      </c>
      <c r="AO50" s="90">
        <f t="shared" si="146"/>
        <v>470419.37001390907</v>
      </c>
      <c r="AP50" s="89">
        <f t="shared" si="146"/>
        <v>2698793.8045534152</v>
      </c>
      <c r="AQ50" s="88">
        <f t="shared" si="146"/>
        <v>0</v>
      </c>
      <c r="AR50" s="89">
        <f t="shared" si="146"/>
        <v>7235991.211334466</v>
      </c>
      <c r="AS50" s="88">
        <f t="shared" si="146"/>
        <v>15989425.602208868</v>
      </c>
      <c r="AT50" s="89">
        <f t="shared" si="146"/>
        <v>146997.96825522961</v>
      </c>
      <c r="AU50" s="88">
        <f t="shared" si="147"/>
        <v>0</v>
      </c>
      <c r="AV50" s="89">
        <f t="shared" si="147"/>
        <v>3163103.1539400727</v>
      </c>
      <c r="AW50" s="88">
        <f t="shared" ref="AW50:AX50" si="169">AW81+AW111</f>
        <v>4142778.5943410154</v>
      </c>
      <c r="AX50" s="89">
        <f t="shared" si="169"/>
        <v>0</v>
      </c>
      <c r="AY50" s="88">
        <f t="shared" ref="AY50:BB50" si="170">AY81+AY111</f>
        <v>0</v>
      </c>
      <c r="AZ50" s="89">
        <f t="shared" si="170"/>
        <v>0</v>
      </c>
      <c r="BA50" s="88">
        <f t="shared" si="170"/>
        <v>0</v>
      </c>
      <c r="BB50" s="89">
        <f t="shared" si="170"/>
        <v>0</v>
      </c>
      <c r="BC50" s="88">
        <f t="shared" ref="BC50" si="171">BC81+BC111</f>
        <v>0</v>
      </c>
      <c r="BD50" s="412"/>
      <c r="BE50" s="83"/>
      <c r="BF50" s="83"/>
    </row>
    <row r="51" spans="2:58">
      <c r="B51" s="119"/>
      <c r="C51" s="513">
        <v>46174</v>
      </c>
      <c r="D51" s="89">
        <f t="shared" ref="D51:Z51" si="172">D82+D112</f>
        <v>86167124.852680266</v>
      </c>
      <c r="E51" s="90">
        <f t="shared" si="172"/>
        <v>50630626.245181732</v>
      </c>
      <c r="F51" s="89">
        <f t="shared" si="172"/>
        <v>97264898.825367272</v>
      </c>
      <c r="G51" s="90">
        <f t="shared" si="172"/>
        <v>4265196.531385568</v>
      </c>
      <c r="H51" s="89">
        <f t="shared" si="172"/>
        <v>862697.21986239916</v>
      </c>
      <c r="I51" s="90">
        <f t="shared" si="172"/>
        <v>1449390.2549218044</v>
      </c>
      <c r="J51" s="89">
        <f t="shared" si="172"/>
        <v>354977.57500008994</v>
      </c>
      <c r="K51" s="90">
        <f t="shared" si="172"/>
        <v>412945.79497568362</v>
      </c>
      <c r="L51" s="89">
        <f t="shared" si="172"/>
        <v>8972615.6983345821</v>
      </c>
      <c r="M51" s="90">
        <f t="shared" si="172"/>
        <v>71552145.971977234</v>
      </c>
      <c r="N51" s="91">
        <f t="shared" si="172"/>
        <v>20425049.495742455</v>
      </c>
      <c r="O51" s="90">
        <f t="shared" si="172"/>
        <v>18391090.247498769</v>
      </c>
      <c r="P51" s="89">
        <f t="shared" si="172"/>
        <v>178567199.87756646</v>
      </c>
      <c r="Q51" s="88">
        <f t="shared" si="172"/>
        <v>5949504.9115943927</v>
      </c>
      <c r="R51" s="89">
        <f t="shared" si="172"/>
        <v>17296227.274198901</v>
      </c>
      <c r="S51" s="88">
        <f t="shared" si="172"/>
        <v>6715721.1208656644</v>
      </c>
      <c r="T51" s="89">
        <f t="shared" si="172"/>
        <v>5388999.2300543236</v>
      </c>
      <c r="U51" s="88">
        <f t="shared" si="172"/>
        <v>2306423.8602137943</v>
      </c>
      <c r="V51" s="89">
        <f t="shared" si="172"/>
        <v>186279.29500448308</v>
      </c>
      <c r="W51" s="88">
        <f t="shared" si="172"/>
        <v>45036.575023031939</v>
      </c>
      <c r="X51" s="89">
        <f t="shared" si="172"/>
        <v>6551425.9569584541</v>
      </c>
      <c r="Y51" s="88">
        <f t="shared" si="172"/>
        <v>398703.80017371953</v>
      </c>
      <c r="Z51" s="89">
        <f t="shared" si="172"/>
        <v>2265540.0507676913</v>
      </c>
      <c r="AA51" s="88">
        <f t="shared" si="144"/>
        <v>3073472.373337022</v>
      </c>
      <c r="AB51" s="89">
        <f t="shared" si="144"/>
        <v>5959357.7061611218</v>
      </c>
      <c r="AC51" s="88">
        <f t="shared" si="145"/>
        <v>62449.769989414752</v>
      </c>
      <c r="AD51" s="89">
        <f t="shared" si="146"/>
        <v>170737.81999304108</v>
      </c>
      <c r="AE51" s="90">
        <f t="shared" si="146"/>
        <v>101725.29074210122</v>
      </c>
      <c r="AF51" s="89">
        <f t="shared" si="146"/>
        <v>1535902.9501961586</v>
      </c>
      <c r="AG51" s="90">
        <f t="shared" si="146"/>
        <v>210533.33507623596</v>
      </c>
      <c r="AH51" s="89">
        <f t="shared" si="146"/>
        <v>4121776.5213900264</v>
      </c>
      <c r="AI51" s="90">
        <f t="shared" si="146"/>
        <v>20844.804998879139</v>
      </c>
      <c r="AJ51" s="89">
        <f t="shared" si="146"/>
        <v>588858.37971459632</v>
      </c>
      <c r="AK51" s="90">
        <f t="shared" si="146"/>
        <v>40457.155009612048</v>
      </c>
      <c r="AL51" s="89">
        <f t="shared" si="146"/>
        <v>2762270.9915743573</v>
      </c>
      <c r="AM51" s="90">
        <f t="shared" si="146"/>
        <v>1194325.7105937572</v>
      </c>
      <c r="AN51" s="91">
        <f t="shared" si="146"/>
        <v>3078634.0211975756</v>
      </c>
      <c r="AO51" s="90">
        <f t="shared" si="146"/>
        <v>469232.86001517356</v>
      </c>
      <c r="AP51" s="89">
        <f t="shared" si="146"/>
        <v>2692038.4045128166</v>
      </c>
      <c r="AQ51" s="88">
        <f t="shared" si="146"/>
        <v>0</v>
      </c>
      <c r="AR51" s="89">
        <f t="shared" si="146"/>
        <v>7217785.0132739637</v>
      </c>
      <c r="AS51" s="88">
        <f t="shared" si="146"/>
        <v>15953497.08877331</v>
      </c>
      <c r="AT51" s="89">
        <f t="shared" si="146"/>
        <v>146630.09446025049</v>
      </c>
      <c r="AU51" s="88">
        <f t="shared" si="147"/>
        <v>0</v>
      </c>
      <c r="AV51" s="89">
        <f t="shared" si="147"/>
        <v>3155381.788843716</v>
      </c>
      <c r="AW51" s="88">
        <f t="shared" ref="AW51:AX51" si="173">AW82+AW112</f>
        <v>4132867.8392811078</v>
      </c>
      <c r="AX51" s="89">
        <f t="shared" si="173"/>
        <v>0</v>
      </c>
      <c r="AY51" s="88">
        <f t="shared" ref="AY51:BB51" si="174">AY82+AY112</f>
        <v>0</v>
      </c>
      <c r="AZ51" s="89">
        <f t="shared" si="174"/>
        <v>0</v>
      </c>
      <c r="BA51" s="88">
        <f t="shared" si="174"/>
        <v>0</v>
      </c>
      <c r="BB51" s="89">
        <f t="shared" si="174"/>
        <v>0</v>
      </c>
      <c r="BC51" s="88">
        <f t="shared" ref="BC51" si="175">BC82+BC112</f>
        <v>0</v>
      </c>
      <c r="BD51" s="412"/>
      <c r="BE51" s="83"/>
      <c r="BF51" s="83"/>
    </row>
    <row r="52" spans="2:58">
      <c r="B52" s="119"/>
      <c r="C52" s="513">
        <v>46204</v>
      </c>
      <c r="D52" s="89">
        <f t="shared" ref="D52:Z52" si="176">D83+D113</f>
        <v>85891057.977070272</v>
      </c>
      <c r="E52" s="90">
        <f t="shared" si="176"/>
        <v>50458592.412280209</v>
      </c>
      <c r="F52" s="89">
        <f t="shared" si="176"/>
        <v>97005453.839981198</v>
      </c>
      <c r="G52" s="90">
        <f t="shared" si="176"/>
        <v>4243899.3065010319</v>
      </c>
      <c r="H52" s="89">
        <f t="shared" si="176"/>
        <v>859989.7827675991</v>
      </c>
      <c r="I52" s="90">
        <f t="shared" si="176"/>
        <v>1444941.9949152882</v>
      </c>
      <c r="J52" s="89">
        <f t="shared" si="176"/>
        <v>354917.06000009738</v>
      </c>
      <c r="K52" s="90">
        <f t="shared" si="176"/>
        <v>412207.24997365725</v>
      </c>
      <c r="L52" s="89">
        <f t="shared" si="176"/>
        <v>8938624.9081957974</v>
      </c>
      <c r="M52" s="90">
        <f t="shared" si="176"/>
        <v>71195143.331308663</v>
      </c>
      <c r="N52" s="91">
        <f t="shared" si="176"/>
        <v>20370213.695387658</v>
      </c>
      <c r="O52" s="90">
        <f t="shared" si="176"/>
        <v>18329281.556456998</v>
      </c>
      <c r="P52" s="89">
        <f t="shared" si="176"/>
        <v>178110113.40403035</v>
      </c>
      <c r="Q52" s="88">
        <f t="shared" si="176"/>
        <v>5933412.2217272595</v>
      </c>
      <c r="R52" s="89">
        <f t="shared" si="176"/>
        <v>17253581.904132143</v>
      </c>
      <c r="S52" s="88">
        <f t="shared" si="176"/>
        <v>6695880.1809378024</v>
      </c>
      <c r="T52" s="89">
        <f t="shared" si="176"/>
        <v>5373621.1550588505</v>
      </c>
      <c r="U52" s="88">
        <f t="shared" si="176"/>
        <v>2300075.8052316108</v>
      </c>
      <c r="V52" s="89">
        <f t="shared" si="176"/>
        <v>185694.45500485669</v>
      </c>
      <c r="W52" s="88">
        <f t="shared" si="176"/>
        <v>44895.315024951269</v>
      </c>
      <c r="X52" s="89">
        <f t="shared" si="176"/>
        <v>6534381.9421216585</v>
      </c>
      <c r="Y52" s="88">
        <f t="shared" si="176"/>
        <v>397198.49518819619</v>
      </c>
      <c r="Z52" s="89">
        <f t="shared" si="176"/>
        <v>2260081.0258316658</v>
      </c>
      <c r="AA52" s="88">
        <f t="shared" si="144"/>
        <v>3065937.7131984401</v>
      </c>
      <c r="AB52" s="89">
        <f t="shared" si="144"/>
        <v>5945105.7050078809</v>
      </c>
      <c r="AC52" s="88">
        <f t="shared" si="145"/>
        <v>62295.484988532648</v>
      </c>
      <c r="AD52" s="89">
        <f t="shared" si="146"/>
        <v>170358.46999246118</v>
      </c>
      <c r="AE52" s="90">
        <f t="shared" si="146"/>
        <v>101474.87455394299</v>
      </c>
      <c r="AF52" s="89">
        <f t="shared" si="146"/>
        <v>1531628.7831291717</v>
      </c>
      <c r="AG52" s="90">
        <f t="shared" si="146"/>
        <v>209870.21508258895</v>
      </c>
      <c r="AH52" s="89">
        <f t="shared" si="146"/>
        <v>4110902.7365058623</v>
      </c>
      <c r="AI52" s="90">
        <f t="shared" si="146"/>
        <v>20792.819998785733</v>
      </c>
      <c r="AJ52" s="89">
        <f t="shared" si="146"/>
        <v>586975.49969081266</v>
      </c>
      <c r="AK52" s="90">
        <f t="shared" si="146"/>
        <v>40372.705010413054</v>
      </c>
      <c r="AL52" s="89">
        <f t="shared" si="146"/>
        <v>2755047.3821222209</v>
      </c>
      <c r="AM52" s="90">
        <f t="shared" si="146"/>
        <v>1190766.4002265704</v>
      </c>
      <c r="AN52" s="91">
        <f t="shared" si="146"/>
        <v>3071484.2512973733</v>
      </c>
      <c r="AO52" s="90">
        <f t="shared" si="146"/>
        <v>468046.35001643799</v>
      </c>
      <c r="AP52" s="89">
        <f t="shared" si="146"/>
        <v>2685283.0044722175</v>
      </c>
      <c r="AQ52" s="88">
        <f t="shared" si="146"/>
        <v>0</v>
      </c>
      <c r="AR52" s="89">
        <f t="shared" si="146"/>
        <v>7199578.8152134605</v>
      </c>
      <c r="AS52" s="88">
        <f t="shared" si="146"/>
        <v>15917568.575337753</v>
      </c>
      <c r="AT52" s="89">
        <f t="shared" si="146"/>
        <v>146262.22066527136</v>
      </c>
      <c r="AU52" s="88">
        <f t="shared" si="147"/>
        <v>0</v>
      </c>
      <c r="AV52" s="89">
        <f t="shared" si="147"/>
        <v>3147660.4237473588</v>
      </c>
      <c r="AW52" s="88">
        <f t="shared" ref="AW52:AX52" si="177">AW83+AW113</f>
        <v>4122957.0842212001</v>
      </c>
      <c r="AX52" s="89">
        <f t="shared" si="177"/>
        <v>0</v>
      </c>
      <c r="AY52" s="88">
        <f t="shared" ref="AY52:BB52" si="178">AY83+AY113</f>
        <v>0</v>
      </c>
      <c r="AZ52" s="89">
        <f t="shared" si="178"/>
        <v>0</v>
      </c>
      <c r="BA52" s="88">
        <f t="shared" si="178"/>
        <v>0</v>
      </c>
      <c r="BB52" s="89">
        <f t="shared" si="178"/>
        <v>0</v>
      </c>
      <c r="BC52" s="88">
        <f t="shared" ref="BC52" si="179">BC83+BC113</f>
        <v>0</v>
      </c>
      <c r="BD52" s="412"/>
      <c r="BE52" s="83"/>
      <c r="BF52" s="83"/>
    </row>
    <row r="53" spans="2:58">
      <c r="B53" s="119"/>
      <c r="C53" s="513">
        <v>46235</v>
      </c>
      <c r="D53" s="89">
        <f t="shared" ref="D53:Z53" si="180">D84+D114</f>
        <v>85614991.101460308</v>
      </c>
      <c r="E53" s="90">
        <f t="shared" si="180"/>
        <v>50286558.579378687</v>
      </c>
      <c r="F53" s="89">
        <f t="shared" si="180"/>
        <v>96746008.854595155</v>
      </c>
      <c r="G53" s="90">
        <f t="shared" si="180"/>
        <v>4222602.0816164957</v>
      </c>
      <c r="H53" s="89">
        <f t="shared" si="180"/>
        <v>857282.34567279904</v>
      </c>
      <c r="I53" s="90">
        <f t="shared" si="180"/>
        <v>1440493.7349087717</v>
      </c>
      <c r="J53" s="89">
        <f t="shared" si="180"/>
        <v>354856.54500010493</v>
      </c>
      <c r="K53" s="90">
        <f t="shared" si="180"/>
        <v>411468.70497163088</v>
      </c>
      <c r="L53" s="89">
        <f t="shared" si="180"/>
        <v>8904634.1180570126</v>
      </c>
      <c r="M53" s="90">
        <f t="shared" si="180"/>
        <v>70838140.690640107</v>
      </c>
      <c r="N53" s="91">
        <f t="shared" si="180"/>
        <v>20315377.89503286</v>
      </c>
      <c r="O53" s="90">
        <f t="shared" si="180"/>
        <v>18267472.86541523</v>
      </c>
      <c r="P53" s="89">
        <f t="shared" si="180"/>
        <v>177653026.93049422</v>
      </c>
      <c r="Q53" s="88">
        <f t="shared" si="180"/>
        <v>5917319.5318601262</v>
      </c>
      <c r="R53" s="89">
        <f t="shared" si="180"/>
        <v>17210936.534065384</v>
      </c>
      <c r="S53" s="88">
        <f t="shared" si="180"/>
        <v>6676039.2410099413</v>
      </c>
      <c r="T53" s="89">
        <f t="shared" si="180"/>
        <v>5358243.0800633775</v>
      </c>
      <c r="U53" s="88">
        <f t="shared" si="180"/>
        <v>2293727.7502494268</v>
      </c>
      <c r="V53" s="89">
        <f t="shared" si="180"/>
        <v>185109.61500523027</v>
      </c>
      <c r="W53" s="88">
        <f t="shared" si="180"/>
        <v>44754.055026870592</v>
      </c>
      <c r="X53" s="89">
        <f t="shared" si="180"/>
        <v>6517337.9272848628</v>
      </c>
      <c r="Y53" s="88">
        <f t="shared" si="180"/>
        <v>395693.19020267285</v>
      </c>
      <c r="Z53" s="89">
        <f t="shared" si="180"/>
        <v>2254622.0008956403</v>
      </c>
      <c r="AA53" s="88">
        <f t="shared" si="144"/>
        <v>3058403.0530598587</v>
      </c>
      <c r="AB53" s="89">
        <f t="shared" si="144"/>
        <v>5930853.7038546419</v>
      </c>
      <c r="AC53" s="88">
        <f t="shared" si="145"/>
        <v>62141.199987650543</v>
      </c>
      <c r="AD53" s="89">
        <f t="shared" si="146"/>
        <v>169979.11999188125</v>
      </c>
      <c r="AE53" s="90">
        <f t="shared" si="146"/>
        <v>101224.45836578477</v>
      </c>
      <c r="AF53" s="89">
        <f t="shared" si="146"/>
        <v>1527354.6160621848</v>
      </c>
      <c r="AG53" s="90">
        <f t="shared" si="146"/>
        <v>209207.09508894195</v>
      </c>
      <c r="AH53" s="89">
        <f t="shared" si="146"/>
        <v>4100028.9516216977</v>
      </c>
      <c r="AI53" s="90">
        <f t="shared" si="146"/>
        <v>20740.834998692331</v>
      </c>
      <c r="AJ53" s="89">
        <f t="shared" si="146"/>
        <v>585092.61966702901</v>
      </c>
      <c r="AK53" s="90">
        <f t="shared" si="146"/>
        <v>40288.25501121406</v>
      </c>
      <c r="AL53" s="89">
        <f t="shared" si="146"/>
        <v>2747823.7726700837</v>
      </c>
      <c r="AM53" s="90">
        <f t="shared" si="146"/>
        <v>1187207.0898593834</v>
      </c>
      <c r="AN53" s="91">
        <f t="shared" si="146"/>
        <v>3064334.4813971715</v>
      </c>
      <c r="AO53" s="90">
        <f t="shared" si="146"/>
        <v>466859.84001770249</v>
      </c>
      <c r="AP53" s="89">
        <f t="shared" si="146"/>
        <v>2678527.6044316189</v>
      </c>
      <c r="AQ53" s="88">
        <f t="shared" si="146"/>
        <v>0</v>
      </c>
      <c r="AR53" s="89">
        <f t="shared" si="146"/>
        <v>7181372.6171529572</v>
      </c>
      <c r="AS53" s="88">
        <f t="shared" si="146"/>
        <v>15881640.061902193</v>
      </c>
      <c r="AT53" s="89">
        <f t="shared" si="146"/>
        <v>145894.34687029224</v>
      </c>
      <c r="AU53" s="88">
        <f t="shared" si="147"/>
        <v>0</v>
      </c>
      <c r="AV53" s="89">
        <f t="shared" si="147"/>
        <v>3139939.0586510021</v>
      </c>
      <c r="AW53" s="88">
        <f t="shared" ref="AW53:AX53" si="181">AW84+AW114</f>
        <v>4113046.3291612924</v>
      </c>
      <c r="AX53" s="89">
        <f t="shared" si="181"/>
        <v>0</v>
      </c>
      <c r="AY53" s="88">
        <f t="shared" ref="AY53:BB53" si="182">AY84+AY114</f>
        <v>0</v>
      </c>
      <c r="AZ53" s="89">
        <f t="shared" si="182"/>
        <v>0</v>
      </c>
      <c r="BA53" s="88">
        <f t="shared" si="182"/>
        <v>0</v>
      </c>
      <c r="BB53" s="89">
        <f t="shared" si="182"/>
        <v>0</v>
      </c>
      <c r="BC53" s="88">
        <f t="shared" ref="BC53" si="183">BC84+BC114</f>
        <v>0</v>
      </c>
      <c r="BD53" s="412"/>
      <c r="BE53" s="83"/>
      <c r="BF53" s="83"/>
    </row>
    <row r="54" spans="2:58">
      <c r="B54" s="119"/>
      <c r="C54" s="513">
        <v>46266</v>
      </c>
      <c r="D54" s="89">
        <f t="shared" ref="D54:Z54" si="184">D85+D115</f>
        <v>85338924.225850314</v>
      </c>
      <c r="E54" s="90">
        <f t="shared" si="184"/>
        <v>50114524.746477164</v>
      </c>
      <c r="F54" s="89">
        <f t="shared" si="184"/>
        <v>96486563.869209081</v>
      </c>
      <c r="G54" s="90">
        <f t="shared" si="184"/>
        <v>4201304.8567319596</v>
      </c>
      <c r="H54" s="89">
        <f t="shared" si="184"/>
        <v>854574.90857799898</v>
      </c>
      <c r="I54" s="90">
        <f t="shared" si="184"/>
        <v>1436045.4749022555</v>
      </c>
      <c r="J54" s="89">
        <f t="shared" si="184"/>
        <v>354796.03000011237</v>
      </c>
      <c r="K54" s="90">
        <f t="shared" si="184"/>
        <v>410730.15996960452</v>
      </c>
      <c r="L54" s="89">
        <f t="shared" si="184"/>
        <v>8870643.3279182278</v>
      </c>
      <c r="M54" s="90">
        <f t="shared" si="184"/>
        <v>70481138.049971551</v>
      </c>
      <c r="N54" s="91">
        <f t="shared" si="184"/>
        <v>20260542.094678067</v>
      </c>
      <c r="O54" s="90">
        <f t="shared" si="184"/>
        <v>18205664.174373463</v>
      </c>
      <c r="P54" s="89">
        <f t="shared" si="184"/>
        <v>177195940.45695809</v>
      </c>
      <c r="Q54" s="88">
        <f t="shared" si="184"/>
        <v>5901226.841992992</v>
      </c>
      <c r="R54" s="89">
        <f t="shared" si="184"/>
        <v>17168291.163998626</v>
      </c>
      <c r="S54" s="88">
        <f t="shared" si="184"/>
        <v>6656198.3010820802</v>
      </c>
      <c r="T54" s="89">
        <f t="shared" si="184"/>
        <v>5342865.0050679045</v>
      </c>
      <c r="U54" s="88">
        <f t="shared" si="184"/>
        <v>2287379.6952672433</v>
      </c>
      <c r="V54" s="89">
        <f t="shared" si="184"/>
        <v>184524.77500560385</v>
      </c>
      <c r="W54" s="88">
        <f t="shared" si="184"/>
        <v>44612.795028789922</v>
      </c>
      <c r="X54" s="89">
        <f t="shared" si="184"/>
        <v>6500293.9124480672</v>
      </c>
      <c r="Y54" s="88">
        <f t="shared" si="184"/>
        <v>394187.88521714945</v>
      </c>
      <c r="Z54" s="89">
        <f t="shared" si="184"/>
        <v>2249162.9759596144</v>
      </c>
      <c r="AA54" s="88">
        <f t="shared" si="144"/>
        <v>3050868.3929212773</v>
      </c>
      <c r="AB54" s="89">
        <f t="shared" si="144"/>
        <v>5916601.702701401</v>
      </c>
      <c r="AC54" s="88">
        <f t="shared" si="145"/>
        <v>61986.914986768439</v>
      </c>
      <c r="AD54" s="89">
        <f t="shared" si="146"/>
        <v>169599.76999130135</v>
      </c>
      <c r="AE54" s="90">
        <f t="shared" si="146"/>
        <v>100974.04217762653</v>
      </c>
      <c r="AF54" s="89">
        <f t="shared" si="146"/>
        <v>1523080.4489951981</v>
      </c>
      <c r="AG54" s="90">
        <f t="shared" si="146"/>
        <v>208543.97509529494</v>
      </c>
      <c r="AH54" s="89">
        <f t="shared" si="146"/>
        <v>4089155.1667375336</v>
      </c>
      <c r="AI54" s="90">
        <f t="shared" si="146"/>
        <v>20688.849998598926</v>
      </c>
      <c r="AJ54" s="89">
        <f t="shared" si="146"/>
        <v>583209.73964324547</v>
      </c>
      <c r="AK54" s="90">
        <f t="shared" si="146"/>
        <v>40203.805012015066</v>
      </c>
      <c r="AL54" s="89">
        <f t="shared" si="146"/>
        <v>2740600.1632179469</v>
      </c>
      <c r="AM54" s="90">
        <f t="shared" si="146"/>
        <v>1183647.7794921964</v>
      </c>
      <c r="AN54" s="91">
        <f t="shared" si="146"/>
        <v>3057184.7114969692</v>
      </c>
      <c r="AO54" s="90">
        <f t="shared" si="146"/>
        <v>465673.33001896692</v>
      </c>
      <c r="AP54" s="89">
        <f t="shared" si="146"/>
        <v>2671772.2043910204</v>
      </c>
      <c r="AQ54" s="88">
        <f t="shared" si="146"/>
        <v>0</v>
      </c>
      <c r="AR54" s="89">
        <f t="shared" si="146"/>
        <v>7163166.4190924549</v>
      </c>
      <c r="AS54" s="88">
        <f t="shared" si="146"/>
        <v>15845711.548466636</v>
      </c>
      <c r="AT54" s="89">
        <f t="shared" si="146"/>
        <v>145526.47307531312</v>
      </c>
      <c r="AU54" s="88">
        <f t="shared" si="147"/>
        <v>0</v>
      </c>
      <c r="AV54" s="89">
        <f t="shared" si="147"/>
        <v>3132217.6935546449</v>
      </c>
      <c r="AW54" s="88">
        <f t="shared" ref="AW54:AX54" si="185">AW85+AW115</f>
        <v>4103135.5741013847</v>
      </c>
      <c r="AX54" s="89">
        <f t="shared" si="185"/>
        <v>0</v>
      </c>
      <c r="AY54" s="88">
        <f t="shared" ref="AY54:BB54" si="186">AY85+AY115</f>
        <v>0</v>
      </c>
      <c r="AZ54" s="89">
        <f t="shared" si="186"/>
        <v>0</v>
      </c>
      <c r="BA54" s="88">
        <f t="shared" si="186"/>
        <v>0</v>
      </c>
      <c r="BB54" s="89">
        <f t="shared" si="186"/>
        <v>0</v>
      </c>
      <c r="BC54" s="88">
        <f t="shared" ref="BC54" si="187">BC85+BC115</f>
        <v>0</v>
      </c>
      <c r="BD54" s="412"/>
      <c r="BE54" s="83"/>
      <c r="BF54" s="83"/>
    </row>
    <row r="55" spans="2:58">
      <c r="B55" s="119"/>
      <c r="C55" s="513">
        <v>46296</v>
      </c>
      <c r="D55" s="89">
        <f t="shared" ref="D55:Z55" si="188">D86+D116</f>
        <v>85062857.35024035</v>
      </c>
      <c r="E55" s="90">
        <f t="shared" si="188"/>
        <v>49942490.913575642</v>
      </c>
      <c r="F55" s="89">
        <f t="shared" si="188"/>
        <v>96227118.883823037</v>
      </c>
      <c r="G55" s="90">
        <f t="shared" si="188"/>
        <v>4180007.6318474235</v>
      </c>
      <c r="H55" s="89">
        <f t="shared" si="188"/>
        <v>851867.47148319893</v>
      </c>
      <c r="I55" s="90">
        <f t="shared" si="188"/>
        <v>1431597.2148957392</v>
      </c>
      <c r="J55" s="89">
        <f t="shared" si="188"/>
        <v>354735.51500011992</v>
      </c>
      <c r="K55" s="90">
        <f t="shared" si="188"/>
        <v>409991.61496757815</v>
      </c>
      <c r="L55" s="89">
        <f t="shared" si="188"/>
        <v>8836652.537779443</v>
      </c>
      <c r="M55" s="90">
        <f t="shared" si="188"/>
        <v>70124135.40930298</v>
      </c>
      <c r="N55" s="91">
        <f t="shared" si="188"/>
        <v>20205706.294323273</v>
      </c>
      <c r="O55" s="90">
        <f t="shared" si="188"/>
        <v>18143855.483331691</v>
      </c>
      <c r="P55" s="89">
        <f t="shared" si="188"/>
        <v>176738853.98342195</v>
      </c>
      <c r="Q55" s="88">
        <f t="shared" si="188"/>
        <v>5885134.1521258578</v>
      </c>
      <c r="R55" s="89">
        <f t="shared" si="188"/>
        <v>17125645.793931868</v>
      </c>
      <c r="S55" s="88">
        <f t="shared" si="188"/>
        <v>6636357.3611542191</v>
      </c>
      <c r="T55" s="89">
        <f t="shared" si="188"/>
        <v>5327486.9300724315</v>
      </c>
      <c r="U55" s="88">
        <f t="shared" si="188"/>
        <v>2281031.6402850593</v>
      </c>
      <c r="V55" s="89">
        <f t="shared" si="188"/>
        <v>183939.93500597746</v>
      </c>
      <c r="W55" s="88">
        <f t="shared" si="188"/>
        <v>44471.535030709252</v>
      </c>
      <c r="X55" s="89">
        <f t="shared" si="188"/>
        <v>6483249.8976112716</v>
      </c>
      <c r="Y55" s="88">
        <f t="shared" si="188"/>
        <v>392682.58023162605</v>
      </c>
      <c r="Z55" s="89">
        <f t="shared" si="188"/>
        <v>2243703.9510235889</v>
      </c>
      <c r="AA55" s="88">
        <f t="shared" si="144"/>
        <v>3043333.7327826959</v>
      </c>
      <c r="AB55" s="89">
        <f t="shared" si="144"/>
        <v>5902349.7015481619</v>
      </c>
      <c r="AC55" s="88">
        <f t="shared" si="145"/>
        <v>61832.629985886335</v>
      </c>
      <c r="AD55" s="89">
        <f t="shared" si="146"/>
        <v>169220.41999072145</v>
      </c>
      <c r="AE55" s="90">
        <f t="shared" si="146"/>
        <v>100723.6259894683</v>
      </c>
      <c r="AF55" s="89">
        <f t="shared" si="146"/>
        <v>1518806.2819282112</v>
      </c>
      <c r="AG55" s="90">
        <f t="shared" si="146"/>
        <v>207880.85510164796</v>
      </c>
      <c r="AH55" s="89">
        <f t="shared" si="146"/>
        <v>4078281.3818533691</v>
      </c>
      <c r="AI55" s="90">
        <f t="shared" si="146"/>
        <v>20636.86499850552</v>
      </c>
      <c r="AJ55" s="89">
        <f t="shared" si="146"/>
        <v>581326.85961946181</v>
      </c>
      <c r="AK55" s="90">
        <f t="shared" si="146"/>
        <v>40119.355012816071</v>
      </c>
      <c r="AL55" s="89">
        <f t="shared" si="146"/>
        <v>2733376.5537658101</v>
      </c>
      <c r="AM55" s="90">
        <f t="shared" si="146"/>
        <v>1180088.4691250096</v>
      </c>
      <c r="AN55" s="91">
        <f t="shared" si="146"/>
        <v>3050034.9415967674</v>
      </c>
      <c r="AO55" s="90">
        <f t="shared" si="146"/>
        <v>464486.82002023136</v>
      </c>
      <c r="AP55" s="89">
        <f t="shared" si="146"/>
        <v>2665016.8043504218</v>
      </c>
      <c r="AQ55" s="88">
        <f t="shared" si="146"/>
        <v>0</v>
      </c>
      <c r="AR55" s="89">
        <f t="shared" si="146"/>
        <v>7144960.2210319508</v>
      </c>
      <c r="AS55" s="88">
        <f t="shared" si="146"/>
        <v>15809783.035031078</v>
      </c>
      <c r="AT55" s="89">
        <f t="shared" si="146"/>
        <v>145158.59928033399</v>
      </c>
      <c r="AU55" s="88">
        <f t="shared" si="147"/>
        <v>0</v>
      </c>
      <c r="AV55" s="89">
        <f t="shared" si="147"/>
        <v>3124496.3284582878</v>
      </c>
      <c r="AW55" s="88">
        <f t="shared" ref="AW55:AX55" si="189">AW86+AW116</f>
        <v>4093224.8190414771</v>
      </c>
      <c r="AX55" s="89">
        <f t="shared" si="189"/>
        <v>0</v>
      </c>
      <c r="AY55" s="88">
        <f t="shared" ref="AY55:BB55" si="190">AY86+AY116</f>
        <v>0</v>
      </c>
      <c r="AZ55" s="89">
        <f t="shared" si="190"/>
        <v>0</v>
      </c>
      <c r="BA55" s="88">
        <f t="shared" si="190"/>
        <v>0</v>
      </c>
      <c r="BB55" s="89">
        <f t="shared" si="190"/>
        <v>0</v>
      </c>
      <c r="BC55" s="88">
        <f t="shared" ref="BC55" si="191">BC86+BC116</f>
        <v>0</v>
      </c>
      <c r="BD55" s="412"/>
      <c r="BE55" s="83"/>
      <c r="BF55" s="83"/>
    </row>
    <row r="56" spans="2:58">
      <c r="B56" s="119"/>
      <c r="C56" s="513">
        <v>46327</v>
      </c>
      <c r="D56" s="89">
        <f t="shared" ref="D56:Z56" si="192">D87+D117</f>
        <v>84786790.474630356</v>
      </c>
      <c r="E56" s="90">
        <f t="shared" si="192"/>
        <v>49770457.080674119</v>
      </c>
      <c r="F56" s="89">
        <f t="shared" si="192"/>
        <v>95967673.898436964</v>
      </c>
      <c r="G56" s="90">
        <f t="shared" si="192"/>
        <v>4158710.4069628874</v>
      </c>
      <c r="H56" s="89">
        <f t="shared" si="192"/>
        <v>849160.03438839887</v>
      </c>
      <c r="I56" s="90">
        <f t="shared" si="192"/>
        <v>1427148.9548892227</v>
      </c>
      <c r="J56" s="89">
        <f t="shared" si="192"/>
        <v>354675.00000012736</v>
      </c>
      <c r="K56" s="90">
        <f t="shared" si="192"/>
        <v>409253.06996555178</v>
      </c>
      <c r="L56" s="89">
        <f t="shared" si="192"/>
        <v>8802661.7476406582</v>
      </c>
      <c r="M56" s="90">
        <f t="shared" si="192"/>
        <v>69767132.768634409</v>
      </c>
      <c r="N56" s="91">
        <f t="shared" si="192"/>
        <v>20150870.493968476</v>
      </c>
      <c r="O56" s="90">
        <f t="shared" si="192"/>
        <v>18082046.79228992</v>
      </c>
      <c r="P56" s="89">
        <f t="shared" si="192"/>
        <v>176281767.50988585</v>
      </c>
      <c r="Q56" s="88">
        <f t="shared" si="192"/>
        <v>5869041.4622587245</v>
      </c>
      <c r="R56" s="89">
        <f t="shared" si="192"/>
        <v>17083000.42386511</v>
      </c>
      <c r="S56" s="88">
        <f t="shared" si="192"/>
        <v>6616516.421226358</v>
      </c>
      <c r="T56" s="89">
        <f t="shared" si="192"/>
        <v>5312108.8550769584</v>
      </c>
      <c r="U56" s="88">
        <f t="shared" si="192"/>
        <v>2274683.5853028754</v>
      </c>
      <c r="V56" s="89">
        <f t="shared" si="192"/>
        <v>183355.09500635104</v>
      </c>
      <c r="W56" s="88">
        <f t="shared" si="192"/>
        <v>44330.275032628575</v>
      </c>
      <c r="X56" s="89">
        <f t="shared" si="192"/>
        <v>6466205.882774476</v>
      </c>
      <c r="Y56" s="88">
        <f t="shared" si="192"/>
        <v>391177.27524610271</v>
      </c>
      <c r="Z56" s="89">
        <f t="shared" si="192"/>
        <v>2238244.9260875629</v>
      </c>
      <c r="AA56" s="88">
        <f>AA87+AA117</f>
        <v>3035799.0726441145</v>
      </c>
      <c r="AB56" s="89">
        <f>AB87+AB117</f>
        <v>5888097.7003949219</v>
      </c>
      <c r="AC56" s="88">
        <f t="shared" si="145"/>
        <v>61678.344985004231</v>
      </c>
      <c r="AD56" s="89">
        <f t="shared" ref="AD56:AT56" si="193">AD87+AD117</f>
        <v>168841.06999014152</v>
      </c>
      <c r="AE56" s="90">
        <f t="shared" si="193"/>
        <v>100473.20980131008</v>
      </c>
      <c r="AF56" s="89">
        <f t="shared" si="193"/>
        <v>1514532.1148612245</v>
      </c>
      <c r="AG56" s="90">
        <f t="shared" si="193"/>
        <v>207217.73510800095</v>
      </c>
      <c r="AH56" s="89">
        <f t="shared" si="193"/>
        <v>4067407.596969205</v>
      </c>
      <c r="AI56" s="90">
        <f t="shared" si="193"/>
        <v>20584.879998412114</v>
      </c>
      <c r="AJ56" s="89">
        <f t="shared" si="193"/>
        <v>579443.97959567816</v>
      </c>
      <c r="AK56" s="90">
        <f t="shared" si="193"/>
        <v>40034.90501361707</v>
      </c>
      <c r="AL56" s="89">
        <f t="shared" si="193"/>
        <v>2726152.9443136728</v>
      </c>
      <c r="AM56" s="90">
        <f t="shared" si="193"/>
        <v>1176529.1587578228</v>
      </c>
      <c r="AN56" s="91">
        <f t="shared" si="193"/>
        <v>3042885.1716965651</v>
      </c>
      <c r="AO56" s="90">
        <f t="shared" si="193"/>
        <v>463300.31002149585</v>
      </c>
      <c r="AP56" s="89">
        <f t="shared" si="193"/>
        <v>2658261.4043098232</v>
      </c>
      <c r="AQ56" s="88">
        <f t="shared" si="193"/>
        <v>0</v>
      </c>
      <c r="AR56" s="89">
        <f t="shared" si="193"/>
        <v>7126754.0229714485</v>
      </c>
      <c r="AS56" s="88">
        <f t="shared" si="193"/>
        <v>15773854.521595521</v>
      </c>
      <c r="AT56" s="89">
        <f t="shared" si="193"/>
        <v>144790.72548535487</v>
      </c>
      <c r="AU56" s="88">
        <f t="shared" si="147"/>
        <v>0</v>
      </c>
      <c r="AV56" s="89">
        <f t="shared" si="147"/>
        <v>3116774.963361931</v>
      </c>
      <c r="AW56" s="88">
        <f t="shared" ref="AW56:AX56" si="194">AW87+AW117</f>
        <v>4083314.0639815694</v>
      </c>
      <c r="AX56" s="89">
        <f t="shared" si="194"/>
        <v>109223.45448782727</v>
      </c>
      <c r="AY56" s="88">
        <f t="shared" ref="AY56:BB56" si="195">AY87+AY117</f>
        <v>0</v>
      </c>
      <c r="AZ56" s="89">
        <f t="shared" si="195"/>
        <v>0</v>
      </c>
      <c r="BA56" s="88">
        <f t="shared" si="195"/>
        <v>0</v>
      </c>
      <c r="BB56" s="89">
        <f t="shared" si="195"/>
        <v>0</v>
      </c>
      <c r="BC56" s="88">
        <f t="shared" ref="BC56" si="196">BC87+BC117</f>
        <v>0</v>
      </c>
      <c r="BD56" s="412"/>
      <c r="BE56" s="83"/>
      <c r="BF56" s="83"/>
    </row>
    <row r="57" spans="2:58">
      <c r="B57" s="119"/>
      <c r="C57" s="512">
        <v>46357</v>
      </c>
      <c r="D57" s="118">
        <f t="shared" ref="D57:Z57" si="197">D88+D118</f>
        <v>84510723.599020392</v>
      </c>
      <c r="E57" s="117">
        <f t="shared" si="197"/>
        <v>49598423.247772597</v>
      </c>
      <c r="F57" s="118">
        <f t="shared" si="197"/>
        <v>95708228.91305092</v>
      </c>
      <c r="G57" s="117">
        <f t="shared" si="197"/>
        <v>4137413.1820783513</v>
      </c>
      <c r="H57" s="118">
        <f t="shared" si="197"/>
        <v>846452.59729359881</v>
      </c>
      <c r="I57" s="117">
        <f t="shared" si="197"/>
        <v>1422700.6948827063</v>
      </c>
      <c r="J57" s="118">
        <f t="shared" si="197"/>
        <v>354614.48500013491</v>
      </c>
      <c r="K57" s="117">
        <f t="shared" si="197"/>
        <v>408514.52496352541</v>
      </c>
      <c r="L57" s="118">
        <f t="shared" si="197"/>
        <v>8768670.9575018734</v>
      </c>
      <c r="M57" s="117">
        <f t="shared" si="197"/>
        <v>69410130.127965853</v>
      </c>
      <c r="N57" s="127">
        <f t="shared" si="197"/>
        <v>20096034.693613678</v>
      </c>
      <c r="O57" s="117">
        <f t="shared" si="197"/>
        <v>18020238.101248153</v>
      </c>
      <c r="P57" s="118">
        <f t="shared" si="197"/>
        <v>175824681.03634971</v>
      </c>
      <c r="Q57" s="126">
        <f t="shared" si="197"/>
        <v>5852948.7723915903</v>
      </c>
      <c r="R57" s="118">
        <f t="shared" si="197"/>
        <v>17040355.053798351</v>
      </c>
      <c r="S57" s="126">
        <f t="shared" si="197"/>
        <v>6596675.481298496</v>
      </c>
      <c r="T57" s="118">
        <f t="shared" si="197"/>
        <v>5296730.7800814854</v>
      </c>
      <c r="U57" s="126">
        <f t="shared" si="197"/>
        <v>2268335.5303206919</v>
      </c>
      <c r="V57" s="118">
        <f t="shared" si="197"/>
        <v>182770.25500672462</v>
      </c>
      <c r="W57" s="126">
        <f t="shared" si="197"/>
        <v>44189.015034547905</v>
      </c>
      <c r="X57" s="118">
        <f t="shared" si="197"/>
        <v>6449161.8679376813</v>
      </c>
      <c r="Y57" s="126">
        <f t="shared" si="197"/>
        <v>389671.97026057937</v>
      </c>
      <c r="Z57" s="89">
        <f t="shared" si="197"/>
        <v>2232785.9011515374</v>
      </c>
      <c r="AA57" s="88">
        <f>AA88+AA118</f>
        <v>3028264.4125055326</v>
      </c>
      <c r="AB57" s="118">
        <f>AB88+AB118</f>
        <v>5873845.699241682</v>
      </c>
      <c r="AC57" s="88">
        <f t="shared" si="145"/>
        <v>61524.059984122126</v>
      </c>
      <c r="AD57" s="118">
        <f t="shared" ref="AD57:AT57" si="198">AD88+AD118</f>
        <v>168461.71998956162</v>
      </c>
      <c r="AE57" s="117">
        <f t="shared" si="198"/>
        <v>100222.79361315184</v>
      </c>
      <c r="AF57" s="118">
        <f t="shared" si="198"/>
        <v>1510257.9477942376</v>
      </c>
      <c r="AG57" s="117">
        <f t="shared" si="198"/>
        <v>206554.61511435395</v>
      </c>
      <c r="AH57" s="118">
        <f t="shared" si="198"/>
        <v>4056533.8120850399</v>
      </c>
      <c r="AI57" s="117">
        <f t="shared" si="198"/>
        <v>20532.894998318709</v>
      </c>
      <c r="AJ57" s="118">
        <f t="shared" si="198"/>
        <v>577561.09957189451</v>
      </c>
      <c r="AK57" s="117">
        <f t="shared" si="198"/>
        <v>39950.455014418076</v>
      </c>
      <c r="AL57" s="118">
        <f t="shared" si="198"/>
        <v>2718929.3348615365</v>
      </c>
      <c r="AM57" s="117">
        <f t="shared" si="198"/>
        <v>1172969.8483906358</v>
      </c>
      <c r="AN57" s="127">
        <f t="shared" si="198"/>
        <v>3035735.4017963633</v>
      </c>
      <c r="AO57" s="117">
        <f t="shared" si="198"/>
        <v>462113.80002276029</v>
      </c>
      <c r="AP57" s="118">
        <f t="shared" si="198"/>
        <v>2651506.0042692246</v>
      </c>
      <c r="AQ57" s="126">
        <f t="shared" si="198"/>
        <v>0</v>
      </c>
      <c r="AR57" s="118">
        <f t="shared" si="198"/>
        <v>7108547.8249109453</v>
      </c>
      <c r="AS57" s="126">
        <f t="shared" si="198"/>
        <v>15737926.008159963</v>
      </c>
      <c r="AT57" s="118">
        <f t="shared" si="198"/>
        <v>144422.85169037574</v>
      </c>
      <c r="AU57" s="126">
        <f t="shared" si="147"/>
        <v>0</v>
      </c>
      <c r="AV57" s="118">
        <f t="shared" si="147"/>
        <v>3109053.5982655738</v>
      </c>
      <c r="AW57" s="126">
        <f t="shared" ref="AW57:AX57" si="199">AW88+AW118</f>
        <v>4073403.3089216617</v>
      </c>
      <c r="AX57" s="118">
        <f t="shared" si="199"/>
        <v>108973.49018158081</v>
      </c>
      <c r="AY57" s="126">
        <f t="shared" ref="AY57:BB57" si="200">AY88+AY118</f>
        <v>0</v>
      </c>
      <c r="AZ57" s="118">
        <f t="shared" si="200"/>
        <v>0</v>
      </c>
      <c r="BA57" s="126">
        <f t="shared" si="200"/>
        <v>0</v>
      </c>
      <c r="BB57" s="118">
        <f t="shared" si="200"/>
        <v>0</v>
      </c>
      <c r="BC57" s="126">
        <f t="shared" ref="BC57" si="201">BC88+BC118</f>
        <v>0</v>
      </c>
      <c r="BD57" s="412"/>
      <c r="BE57" s="83"/>
      <c r="BF57" s="83"/>
    </row>
    <row r="58" spans="2:58">
      <c r="B58" s="116"/>
      <c r="C58" s="115" t="s">
        <v>546</v>
      </c>
      <c r="D58" s="84">
        <f t="shared" ref="D58:M58" si="202">AVERAGE(D45:D57)</f>
        <v>86167124.852680281</v>
      </c>
      <c r="E58" s="84">
        <f t="shared" si="202"/>
        <v>50630626.245181732</v>
      </c>
      <c r="F58" s="84">
        <f t="shared" si="202"/>
        <v>97264898.825367272</v>
      </c>
      <c r="G58" s="84">
        <f t="shared" si="202"/>
        <v>4265196.5313855689</v>
      </c>
      <c r="H58" s="84">
        <f t="shared" si="202"/>
        <v>862697.21986239916</v>
      </c>
      <c r="I58" s="84">
        <f t="shared" si="202"/>
        <v>1449390.2549218042</v>
      </c>
      <c r="J58" s="84">
        <f t="shared" si="202"/>
        <v>354977.57500008994</v>
      </c>
      <c r="K58" s="84">
        <f t="shared" si="202"/>
        <v>412945.79497568362</v>
      </c>
      <c r="L58" s="84">
        <f t="shared" si="202"/>
        <v>8972615.6983345821</v>
      </c>
      <c r="M58" s="84">
        <f t="shared" si="202"/>
        <v>71552145.971977234</v>
      </c>
      <c r="N58" s="84">
        <f t="shared" ref="N58:W58" si="203">AVERAGE(N45:N57)</f>
        <v>20425049.495742455</v>
      </c>
      <c r="O58" s="84">
        <f t="shared" si="203"/>
        <v>18391090.247498769</v>
      </c>
      <c r="P58" s="84">
        <f t="shared" si="203"/>
        <v>178567199.87756649</v>
      </c>
      <c r="Q58" s="84">
        <f t="shared" si="203"/>
        <v>5949504.9115943927</v>
      </c>
      <c r="R58" s="84">
        <f t="shared" si="203"/>
        <v>17296227.274198905</v>
      </c>
      <c r="S58" s="84">
        <f t="shared" si="203"/>
        <v>6715721.1208656635</v>
      </c>
      <c r="T58" s="84">
        <f t="shared" si="203"/>
        <v>5388999.2300543245</v>
      </c>
      <c r="U58" s="84">
        <f>AVERAGE(U45:U57)</f>
        <v>2306423.8602137947</v>
      </c>
      <c r="V58" s="84">
        <f t="shared" si="203"/>
        <v>186279.29500448311</v>
      </c>
      <c r="W58" s="84">
        <f t="shared" si="203"/>
        <v>45036.575023031925</v>
      </c>
      <c r="X58" s="84">
        <f t="shared" ref="X58:AN58" si="204">AVERAGE(X45:X57)</f>
        <v>6551425.9569584541</v>
      </c>
      <c r="Y58" s="84">
        <f>AVERAGE(Y45:Y57)</f>
        <v>398703.80017371947</v>
      </c>
      <c r="Z58" s="84">
        <f t="shared" si="204"/>
        <v>2265540.0507676918</v>
      </c>
      <c r="AA58" s="84">
        <f>AVERAGE(AA45:AA57)</f>
        <v>3073472.373337022</v>
      </c>
      <c r="AB58" s="84">
        <f>AVERAGE(AB45:AB57)</f>
        <v>5959357.7061611218</v>
      </c>
      <c r="AC58" s="84">
        <f t="shared" si="204"/>
        <v>62449.769989414752</v>
      </c>
      <c r="AD58" s="84">
        <f t="shared" si="204"/>
        <v>170737.81999304105</v>
      </c>
      <c r="AE58" s="84">
        <f t="shared" si="204"/>
        <v>101725.29074210122</v>
      </c>
      <c r="AF58" s="84">
        <f t="shared" si="204"/>
        <v>1535902.9501961584</v>
      </c>
      <c r="AG58" s="84">
        <f t="shared" si="204"/>
        <v>210533.33507623599</v>
      </c>
      <c r="AH58" s="84">
        <f t="shared" si="204"/>
        <v>4121776.5213900274</v>
      </c>
      <c r="AI58" s="84">
        <f t="shared" si="204"/>
        <v>20844.804998879139</v>
      </c>
      <c r="AJ58" s="84">
        <f t="shared" si="204"/>
        <v>588858.37971459632</v>
      </c>
      <c r="AK58" s="84">
        <f t="shared" si="204"/>
        <v>40457.155009612055</v>
      </c>
      <c r="AL58" s="84">
        <f t="shared" si="204"/>
        <v>2762270.9915743573</v>
      </c>
      <c r="AM58" s="84">
        <f t="shared" si="204"/>
        <v>1194325.7105937572</v>
      </c>
      <c r="AN58" s="84">
        <f t="shared" si="204"/>
        <v>3078634.0211975751</v>
      </c>
      <c r="AO58" s="84">
        <f t="shared" ref="AO58:AU58" si="205">AVERAGE(AO45:AO57)</f>
        <v>469232.86001517356</v>
      </c>
      <c r="AP58" s="84">
        <f t="shared" si="205"/>
        <v>2692038.404512817</v>
      </c>
      <c r="AQ58" s="84">
        <f t="shared" si="205"/>
        <v>0</v>
      </c>
      <c r="AR58" s="84">
        <f t="shared" si="205"/>
        <v>7217785.0132739637</v>
      </c>
      <c r="AS58" s="84">
        <f t="shared" si="205"/>
        <v>15953497.088773308</v>
      </c>
      <c r="AT58" s="84">
        <f t="shared" si="205"/>
        <v>146630.09446025049</v>
      </c>
      <c r="AU58" s="84">
        <f t="shared" si="205"/>
        <v>0</v>
      </c>
      <c r="AV58" s="84">
        <f t="shared" ref="AV58:AW58" si="206">AVERAGE(AV45:AV57)</f>
        <v>3155381.7888437165</v>
      </c>
      <c r="AW58" s="84">
        <f t="shared" si="206"/>
        <v>4132867.8392811078</v>
      </c>
      <c r="AX58" s="84">
        <f t="shared" ref="AX58:BA58" si="207">AVERAGE(AX45:AX57)</f>
        <v>16784.380359185237</v>
      </c>
      <c r="AY58" s="84">
        <f t="shared" si="207"/>
        <v>0</v>
      </c>
      <c r="AZ58" s="84">
        <f t="shared" si="207"/>
        <v>0</v>
      </c>
      <c r="BA58" s="84">
        <f t="shared" si="207"/>
        <v>0</v>
      </c>
      <c r="BB58" s="84">
        <f t="shared" ref="BB58:BC58" si="208">AVERAGE(BB45:BB57)</f>
        <v>0</v>
      </c>
      <c r="BC58" s="84">
        <f t="shared" si="208"/>
        <v>0</v>
      </c>
      <c r="BD58" s="197"/>
      <c r="BE58" s="985">
        <f>ROUND(SUM(D58:BD58)-SUM('ATC Att GG ER21-2601'!H127),0)</f>
        <v>0</v>
      </c>
      <c r="BF58" s="83"/>
    </row>
    <row r="59" spans="2:58">
      <c r="B59" s="104"/>
      <c r="C59" s="110"/>
      <c r="D59" s="109"/>
      <c r="E59" s="109"/>
      <c r="F59" s="109"/>
      <c r="G59" s="109"/>
      <c r="H59" s="109"/>
      <c r="I59" s="105"/>
      <c r="J59" s="105"/>
      <c r="K59" s="107"/>
      <c r="L59" s="106"/>
      <c r="M59" s="108"/>
      <c r="N59" s="108"/>
      <c r="O59" s="107"/>
      <c r="P59" s="106"/>
      <c r="Q59" s="105"/>
      <c r="R59" s="106"/>
      <c r="S59" s="105"/>
      <c r="T59" s="106"/>
      <c r="U59" s="105"/>
      <c r="V59" s="106"/>
      <c r="W59" s="105"/>
      <c r="X59" s="106"/>
      <c r="Y59" s="105"/>
      <c r="Z59" s="106"/>
      <c r="AA59" s="105"/>
      <c r="AB59" s="106"/>
      <c r="AC59" s="105"/>
      <c r="AD59" s="109"/>
      <c r="AE59" s="109"/>
      <c r="AF59" s="109"/>
      <c r="AG59" s="109"/>
      <c r="AH59" s="109"/>
      <c r="AI59" s="105"/>
      <c r="AJ59" s="105"/>
      <c r="AK59" s="107"/>
      <c r="AL59" s="106"/>
      <c r="AM59" s="108"/>
      <c r="AN59" s="108"/>
      <c r="AO59" s="107"/>
      <c r="AP59" s="106"/>
      <c r="AQ59" s="105"/>
      <c r="AR59" s="106"/>
      <c r="AS59" s="105"/>
      <c r="AT59" s="106"/>
      <c r="AU59" s="105"/>
      <c r="AV59" s="106"/>
      <c r="AW59" s="105"/>
      <c r="AX59" s="106"/>
      <c r="AY59" s="105"/>
      <c r="AZ59" s="106"/>
      <c r="BA59" s="105"/>
      <c r="BB59" s="106"/>
      <c r="BC59" s="105"/>
      <c r="BD59" s="204"/>
      <c r="BE59" s="83"/>
      <c r="BF59" s="83"/>
    </row>
    <row r="60" spans="2:58">
      <c r="B60" s="104"/>
      <c r="C60" s="103"/>
      <c r="D60" s="100"/>
      <c r="E60" s="100"/>
      <c r="F60" s="100"/>
      <c r="G60" s="100"/>
      <c r="H60" s="100"/>
      <c r="I60" s="100"/>
      <c r="J60" s="100"/>
      <c r="K60" s="101"/>
      <c r="L60" s="101"/>
      <c r="M60" s="102"/>
      <c r="N60" s="102"/>
      <c r="O60" s="101"/>
      <c r="P60" s="101"/>
      <c r="Q60" s="100"/>
      <c r="R60" s="101"/>
      <c r="S60" s="100"/>
      <c r="T60" s="101"/>
      <c r="U60" s="100"/>
      <c r="V60" s="101"/>
      <c r="W60" s="100"/>
      <c r="X60" s="101"/>
      <c r="Y60" s="100"/>
      <c r="Z60" s="101"/>
      <c r="AA60" s="100"/>
      <c r="AB60" s="101"/>
      <c r="AC60" s="100"/>
      <c r="AD60" s="100"/>
      <c r="AE60" s="100"/>
      <c r="AF60" s="100"/>
      <c r="AG60" s="100"/>
      <c r="AH60" s="100"/>
      <c r="AI60" s="100"/>
      <c r="AJ60" s="100"/>
      <c r="AK60" s="101"/>
      <c r="AL60" s="101"/>
      <c r="AM60" s="102"/>
      <c r="AN60" s="102"/>
      <c r="AO60" s="101"/>
      <c r="AP60" s="101"/>
      <c r="AQ60" s="100"/>
      <c r="AR60" s="101"/>
      <c r="AS60" s="100"/>
      <c r="AT60" s="101"/>
      <c r="AU60" s="100"/>
      <c r="AV60" s="101"/>
      <c r="AW60" s="100"/>
      <c r="AX60" s="101"/>
      <c r="AY60" s="100"/>
      <c r="AZ60" s="101"/>
      <c r="BA60" s="100"/>
      <c r="BB60" s="101"/>
      <c r="BC60" s="100"/>
      <c r="BD60" s="414"/>
      <c r="BE60" s="83"/>
      <c r="BF60" s="83"/>
    </row>
    <row r="61" spans="2:58">
      <c r="B61" s="99" t="s">
        <v>545</v>
      </c>
      <c r="C61" s="98" t="s">
        <v>477</v>
      </c>
      <c r="D61" s="95">
        <f>D72</f>
        <v>3312802.5073197535</v>
      </c>
      <c r="E61" s="96">
        <f>E72</f>
        <v>2064405.9948182621</v>
      </c>
      <c r="F61" s="95">
        <f t="shared" ref="F61:AU61" si="209">F72</f>
        <v>3113339.8246326656</v>
      </c>
      <c r="G61" s="96">
        <f t="shared" si="209"/>
        <v>255566.69861442794</v>
      </c>
      <c r="H61" s="95">
        <f t="shared" si="209"/>
        <v>32489.245137600708</v>
      </c>
      <c r="I61" s="96">
        <f t="shared" si="209"/>
        <v>53379.12007819584</v>
      </c>
      <c r="J61" s="95">
        <f t="shared" si="209"/>
        <v>726.17999990984981</v>
      </c>
      <c r="K61" s="96">
        <f t="shared" si="209"/>
        <v>8862.5400243164386</v>
      </c>
      <c r="L61" s="95">
        <f t="shared" si="209"/>
        <v>407889.48166541423</v>
      </c>
      <c r="M61" s="96">
        <f t="shared" si="209"/>
        <v>4284031.6880227728</v>
      </c>
      <c r="N61" s="95">
        <f t="shared" si="209"/>
        <v>658029.60425754567</v>
      </c>
      <c r="O61" s="96">
        <f t="shared" si="209"/>
        <v>741704.29250122886</v>
      </c>
      <c r="P61" s="95">
        <f t="shared" si="209"/>
        <v>5485037.6824335437</v>
      </c>
      <c r="Q61" s="96">
        <f t="shared" si="209"/>
        <v>193112.27840560727</v>
      </c>
      <c r="R61" s="95">
        <f t="shared" si="209"/>
        <v>511744.44080109632</v>
      </c>
      <c r="S61" s="96">
        <f t="shared" si="209"/>
        <v>238091.27913433631</v>
      </c>
      <c r="T61" s="95">
        <f t="shared" si="209"/>
        <v>184536.89994567691</v>
      </c>
      <c r="U61" s="96">
        <f t="shared" si="209"/>
        <v>76176.659786205506</v>
      </c>
      <c r="V61" s="95">
        <f t="shared" si="209"/>
        <v>7018.0799955169159</v>
      </c>
      <c r="W61" s="96">
        <f t="shared" si="209"/>
        <v>1695.1199769680552</v>
      </c>
      <c r="X61" s="95">
        <f t="shared" si="209"/>
        <v>204528.17804154576</v>
      </c>
      <c r="Y61" s="96">
        <f t="shared" si="209"/>
        <v>18063.659826280331</v>
      </c>
      <c r="Z61" s="95">
        <f t="shared" si="209"/>
        <v>65508.299232308484</v>
      </c>
      <c r="AA61" s="96">
        <f t="shared" si="209"/>
        <v>90415.921662978348</v>
      </c>
      <c r="AB61" s="95">
        <f t="shared" si="209"/>
        <v>171024.01383887875</v>
      </c>
      <c r="AC61" s="96">
        <f t="shared" si="209"/>
        <v>1851.4200105852503</v>
      </c>
      <c r="AD61" s="95">
        <f t="shared" si="209"/>
        <v>4552.2000069589303</v>
      </c>
      <c r="AE61" s="96">
        <f t="shared" si="209"/>
        <v>3004.9942578987598</v>
      </c>
      <c r="AF61" s="95">
        <f t="shared" si="209"/>
        <v>51290.004803841723</v>
      </c>
      <c r="AG61" s="96">
        <f t="shared" si="209"/>
        <v>7957.4399237640255</v>
      </c>
      <c r="AH61" s="95">
        <f t="shared" si="209"/>
        <v>130485.4186099731</v>
      </c>
      <c r="AI61" s="96">
        <f t="shared" si="209"/>
        <v>623.82000112085996</v>
      </c>
      <c r="AJ61" s="95">
        <f t="shared" si="209"/>
        <v>22594.560285403699</v>
      </c>
      <c r="AK61" s="96">
        <f t="shared" si="209"/>
        <v>1013.3999903879499</v>
      </c>
      <c r="AL61" s="95">
        <f t="shared" si="209"/>
        <v>86683.313425642671</v>
      </c>
      <c r="AM61" s="96">
        <f t="shared" si="209"/>
        <v>42711.724406242793</v>
      </c>
      <c r="AN61" s="95">
        <f t="shared" si="209"/>
        <v>85797.238802424617</v>
      </c>
      <c r="AO61" s="96">
        <f t="shared" si="209"/>
        <v>14238.119984826486</v>
      </c>
      <c r="AP61" s="95">
        <f t="shared" si="209"/>
        <v>81064.800487183893</v>
      </c>
      <c r="AQ61" s="96">
        <f t="shared" si="209"/>
        <v>0</v>
      </c>
      <c r="AR61" s="95">
        <f t="shared" si="209"/>
        <v>218474.37672603625</v>
      </c>
      <c r="AS61" s="96">
        <f t="shared" si="209"/>
        <v>431142.16122669121</v>
      </c>
      <c r="AT61" s="95">
        <f t="shared" si="209"/>
        <v>4414.4855397495094</v>
      </c>
      <c r="AU61" s="94">
        <f t="shared" si="209"/>
        <v>0</v>
      </c>
      <c r="AV61" s="95">
        <f t="shared" ref="AV61:AW61" si="210">AV72</f>
        <v>92656.381156283765</v>
      </c>
      <c r="AW61" s="94">
        <f t="shared" si="210"/>
        <v>118929.06071889192</v>
      </c>
      <c r="AX61" s="95">
        <f t="shared" ref="AX61:BA61" si="211">AX72</f>
        <v>499.92861249293679</v>
      </c>
      <c r="AY61" s="94">
        <f t="shared" si="211"/>
        <v>0</v>
      </c>
      <c r="AZ61" s="95">
        <f t="shared" si="211"/>
        <v>0</v>
      </c>
      <c r="BA61" s="94">
        <f t="shared" si="211"/>
        <v>0</v>
      </c>
      <c r="BB61" s="95">
        <f t="shared" ref="BB61:BC61" si="212">BB72</f>
        <v>0</v>
      </c>
      <c r="BC61" s="94">
        <f t="shared" si="212"/>
        <v>0</v>
      </c>
      <c r="BD61" s="412"/>
      <c r="BE61" s="83"/>
      <c r="BF61" s="83"/>
    </row>
    <row r="62" spans="2:58">
      <c r="B62" s="93" t="s">
        <v>544</v>
      </c>
      <c r="C62" s="92" t="s">
        <v>543</v>
      </c>
      <c r="D62" s="89">
        <v>0</v>
      </c>
      <c r="E62" s="90">
        <v>0</v>
      </c>
      <c r="F62" s="89">
        <v>0</v>
      </c>
      <c r="G62" s="90">
        <v>0</v>
      </c>
      <c r="H62" s="89">
        <v>0</v>
      </c>
      <c r="I62" s="90">
        <v>0</v>
      </c>
      <c r="J62" s="89">
        <v>0</v>
      </c>
      <c r="K62" s="90">
        <v>0</v>
      </c>
      <c r="L62" s="89">
        <v>0</v>
      </c>
      <c r="M62" s="90">
        <v>0</v>
      </c>
      <c r="N62" s="91">
        <v>0</v>
      </c>
      <c r="O62" s="90">
        <v>0</v>
      </c>
      <c r="P62" s="89">
        <v>0</v>
      </c>
      <c r="Q62" s="88">
        <v>0</v>
      </c>
      <c r="R62" s="91">
        <v>0</v>
      </c>
      <c r="S62" s="88">
        <v>0</v>
      </c>
      <c r="T62" s="89">
        <v>0</v>
      </c>
      <c r="U62" s="88">
        <v>0</v>
      </c>
      <c r="V62" s="89">
        <v>0</v>
      </c>
      <c r="W62" s="88">
        <v>0</v>
      </c>
      <c r="X62" s="89">
        <v>0</v>
      </c>
      <c r="Y62" s="88">
        <v>0</v>
      </c>
      <c r="Z62" s="89">
        <v>0</v>
      </c>
      <c r="AA62" s="88">
        <v>0</v>
      </c>
      <c r="AB62" s="89">
        <v>0</v>
      </c>
      <c r="AC62" s="88">
        <v>0</v>
      </c>
      <c r="AD62" s="89">
        <v>0</v>
      </c>
      <c r="AE62" s="90">
        <v>0</v>
      </c>
      <c r="AF62" s="89">
        <v>0</v>
      </c>
      <c r="AG62" s="90">
        <v>0</v>
      </c>
      <c r="AH62" s="89">
        <v>0</v>
      </c>
      <c r="AI62" s="90">
        <v>0</v>
      </c>
      <c r="AJ62" s="89">
        <v>0</v>
      </c>
      <c r="AK62" s="90">
        <v>0</v>
      </c>
      <c r="AL62" s="89">
        <v>0</v>
      </c>
      <c r="AM62" s="90">
        <v>0</v>
      </c>
      <c r="AN62" s="89">
        <v>0</v>
      </c>
      <c r="AO62" s="88">
        <v>0</v>
      </c>
      <c r="AP62" s="91">
        <v>0</v>
      </c>
      <c r="AQ62" s="90">
        <v>0</v>
      </c>
      <c r="AR62" s="91">
        <v>0</v>
      </c>
      <c r="AS62" s="90">
        <v>0</v>
      </c>
      <c r="AT62" s="91">
        <v>0</v>
      </c>
      <c r="AU62" s="88">
        <v>0</v>
      </c>
      <c r="AV62" s="91">
        <v>0</v>
      </c>
      <c r="AW62" s="88">
        <v>0</v>
      </c>
      <c r="AX62" s="91">
        <v>0</v>
      </c>
      <c r="AY62" s="88">
        <v>0</v>
      </c>
      <c r="AZ62" s="91">
        <v>0</v>
      </c>
      <c r="BA62" s="88">
        <v>0</v>
      </c>
      <c r="BB62" s="91">
        <v>0</v>
      </c>
      <c r="BC62" s="88">
        <v>0</v>
      </c>
      <c r="BD62" s="412"/>
      <c r="BE62" s="83"/>
      <c r="BF62" s="83"/>
    </row>
    <row r="63" spans="2:58">
      <c r="B63" s="112"/>
      <c r="C63" s="111" t="s">
        <v>542</v>
      </c>
      <c r="D63" s="84">
        <f t="shared" ref="D63:M63" si="213">SUM(D61:D62)</f>
        <v>3312802.5073197535</v>
      </c>
      <c r="E63" s="84">
        <f t="shared" si="213"/>
        <v>2064405.9948182621</v>
      </c>
      <c r="F63" s="84">
        <f t="shared" si="213"/>
        <v>3113339.8246326656</v>
      </c>
      <c r="G63" s="84">
        <f t="shared" si="213"/>
        <v>255566.69861442794</v>
      </c>
      <c r="H63" s="84">
        <f t="shared" si="213"/>
        <v>32489.245137600708</v>
      </c>
      <c r="I63" s="84">
        <f t="shared" si="213"/>
        <v>53379.12007819584</v>
      </c>
      <c r="J63" s="84">
        <f t="shared" si="213"/>
        <v>726.17999990984981</v>
      </c>
      <c r="K63" s="84">
        <f t="shared" si="213"/>
        <v>8862.5400243164386</v>
      </c>
      <c r="L63" s="84">
        <f t="shared" si="213"/>
        <v>407889.48166541423</v>
      </c>
      <c r="M63" s="84">
        <f t="shared" si="213"/>
        <v>4284031.6880227728</v>
      </c>
      <c r="N63" s="84">
        <f t="shared" ref="N63:S63" si="214">SUM(N61:N62)</f>
        <v>658029.60425754567</v>
      </c>
      <c r="O63" s="84">
        <f t="shared" si="214"/>
        <v>741704.29250122886</v>
      </c>
      <c r="P63" s="84">
        <f t="shared" si="214"/>
        <v>5485037.6824335437</v>
      </c>
      <c r="Q63" s="84">
        <f t="shared" si="214"/>
        <v>193112.27840560727</v>
      </c>
      <c r="R63" s="84">
        <f>SUM(R61:R62)</f>
        <v>511744.44080109632</v>
      </c>
      <c r="S63" s="84">
        <f t="shared" si="214"/>
        <v>238091.27913433631</v>
      </c>
      <c r="T63" s="84">
        <f>SUM(T61:T62)</f>
        <v>184536.89994567691</v>
      </c>
      <c r="U63" s="84">
        <f>SUM(U61:U62)</f>
        <v>76176.659786205506</v>
      </c>
      <c r="V63" s="84">
        <f>SUM(V61:V62)</f>
        <v>7018.0799955169159</v>
      </c>
      <c r="W63" s="84">
        <f>SUM(W61:W62)</f>
        <v>1695.1199769680552</v>
      </c>
      <c r="X63" s="84">
        <f t="shared" ref="X63:AT63" si="215">SUM(X61:X62)</f>
        <v>204528.17804154576</v>
      </c>
      <c r="Y63" s="84">
        <f>SUM(Y61:Y62)</f>
        <v>18063.659826280331</v>
      </c>
      <c r="Z63" s="84">
        <f t="shared" si="215"/>
        <v>65508.299232308484</v>
      </c>
      <c r="AA63" s="84">
        <f>SUM(AA61:AA62)</f>
        <v>90415.921662978348</v>
      </c>
      <c r="AB63" s="84">
        <f>SUM(AB61:AB62)</f>
        <v>171024.01383887875</v>
      </c>
      <c r="AC63" s="84">
        <f t="shared" si="215"/>
        <v>1851.4200105852503</v>
      </c>
      <c r="AD63" s="84">
        <f t="shared" si="215"/>
        <v>4552.2000069589303</v>
      </c>
      <c r="AE63" s="84">
        <f t="shared" si="215"/>
        <v>3004.9942578987598</v>
      </c>
      <c r="AF63" s="84">
        <f t="shared" si="215"/>
        <v>51290.004803841723</v>
      </c>
      <c r="AG63" s="84">
        <f t="shared" si="215"/>
        <v>7957.4399237640255</v>
      </c>
      <c r="AH63" s="84">
        <f t="shared" si="215"/>
        <v>130485.4186099731</v>
      </c>
      <c r="AI63" s="84">
        <f t="shared" si="215"/>
        <v>623.82000112085996</v>
      </c>
      <c r="AJ63" s="84">
        <f t="shared" si="215"/>
        <v>22594.560285403699</v>
      </c>
      <c r="AK63" s="84">
        <f t="shared" si="215"/>
        <v>1013.3999903879499</v>
      </c>
      <c r="AL63" s="84">
        <f t="shared" si="215"/>
        <v>86683.313425642671</v>
      </c>
      <c r="AM63" s="84">
        <f t="shared" si="215"/>
        <v>42711.724406242793</v>
      </c>
      <c r="AN63" s="84">
        <f t="shared" si="215"/>
        <v>85797.238802424617</v>
      </c>
      <c r="AO63" s="84">
        <f t="shared" si="215"/>
        <v>14238.119984826486</v>
      </c>
      <c r="AP63" s="84">
        <f t="shared" si="215"/>
        <v>81064.800487183893</v>
      </c>
      <c r="AQ63" s="84">
        <f t="shared" si="215"/>
        <v>0</v>
      </c>
      <c r="AR63" s="84">
        <f t="shared" si="215"/>
        <v>218474.37672603625</v>
      </c>
      <c r="AS63" s="84">
        <f t="shared" si="215"/>
        <v>431142.16122669121</v>
      </c>
      <c r="AT63" s="84">
        <f t="shared" si="215"/>
        <v>4414.4855397495094</v>
      </c>
      <c r="AU63" s="84">
        <f>SUM(AU61:AU62)</f>
        <v>0</v>
      </c>
      <c r="AV63" s="84">
        <f t="shared" ref="AV63:AX63" si="216">SUM(AV61:AV62)</f>
        <v>92656.381156283765</v>
      </c>
      <c r="AW63" s="84">
        <f>SUM(AW61:AW62)</f>
        <v>118929.06071889192</v>
      </c>
      <c r="AX63" s="84">
        <f t="shared" si="216"/>
        <v>499.92861249293679</v>
      </c>
      <c r="AY63" s="84">
        <f>SUM(AY61:AY62)</f>
        <v>0</v>
      </c>
      <c r="AZ63" s="84">
        <f t="shared" ref="AZ63" si="217">SUM(AZ61:AZ62)</f>
        <v>0</v>
      </c>
      <c r="BA63" s="84">
        <f>SUM(BA61:BA62)</f>
        <v>0</v>
      </c>
      <c r="BB63" s="84">
        <f t="shared" ref="BB63" si="218">SUM(BB61:BB62)</f>
        <v>0</v>
      </c>
      <c r="BC63" s="84">
        <f>SUM(BC61:BC62)</f>
        <v>0</v>
      </c>
      <c r="BD63" s="197"/>
      <c r="BE63" s="985">
        <f>ROUND(SUM(D63:BD63)-SUM('ATC Att GG ER21-2601'!K127),0)</f>
        <v>0</v>
      </c>
      <c r="BF63" s="83"/>
    </row>
    <row r="64" spans="2:58">
      <c r="B64" s="104"/>
      <c r="C64" s="110"/>
      <c r="D64" s="109"/>
      <c r="E64" s="109"/>
      <c r="F64" s="109"/>
      <c r="G64" s="109"/>
      <c r="H64" s="109"/>
      <c r="I64" s="105"/>
      <c r="J64" s="105"/>
      <c r="K64" s="105"/>
      <c r="L64" s="106"/>
      <c r="M64" s="108"/>
      <c r="N64" s="108"/>
      <c r="O64" s="107"/>
      <c r="P64" s="106"/>
      <c r="Q64" s="105"/>
      <c r="R64" s="108"/>
      <c r="S64" s="105"/>
      <c r="T64" s="106"/>
      <c r="U64" s="105"/>
      <c r="V64" s="106"/>
      <c r="W64" s="105"/>
      <c r="X64" s="106"/>
      <c r="Y64" s="105"/>
      <c r="Z64" s="106"/>
      <c r="AA64" s="105"/>
      <c r="AB64" s="106"/>
      <c r="AC64" s="105"/>
      <c r="AD64" s="109"/>
      <c r="AE64" s="109"/>
      <c r="AF64" s="109"/>
      <c r="AG64" s="109"/>
      <c r="AH64" s="106"/>
      <c r="AI64" s="105"/>
      <c r="AJ64" s="105"/>
      <c r="AK64" s="105"/>
      <c r="AL64" s="106"/>
      <c r="AM64" s="108"/>
      <c r="AN64" s="106"/>
      <c r="AO64" s="105"/>
      <c r="AP64" s="108"/>
      <c r="AQ64" s="109"/>
      <c r="AR64" s="108"/>
      <c r="AS64" s="109"/>
      <c r="AT64" s="108"/>
      <c r="AV64" s="108"/>
      <c r="AX64" s="108"/>
      <c r="AZ64" s="108"/>
      <c r="BB64" s="108"/>
      <c r="BD64" s="204"/>
      <c r="BE64" s="83"/>
      <c r="BF64" s="83"/>
    </row>
    <row r="65" spans="2:58">
      <c r="B65" s="104"/>
      <c r="C65" s="103"/>
      <c r="D65" s="100"/>
      <c r="E65" s="100"/>
      <c r="F65" s="100"/>
      <c r="G65" s="100"/>
      <c r="H65" s="100"/>
      <c r="I65" s="100"/>
      <c r="J65" s="100"/>
      <c r="K65" s="100"/>
      <c r="L65" s="101"/>
      <c r="M65" s="102"/>
      <c r="N65" s="102"/>
      <c r="O65" s="101"/>
      <c r="P65" s="101"/>
      <c r="Q65" s="100"/>
      <c r="R65" s="102"/>
      <c r="S65" s="100"/>
      <c r="T65" s="101"/>
      <c r="U65" s="100"/>
      <c r="V65" s="101"/>
      <c r="W65" s="100"/>
      <c r="X65" s="101"/>
      <c r="Y65" s="100"/>
      <c r="Z65" s="101"/>
      <c r="AA65" s="100"/>
      <c r="AB65" s="101"/>
      <c r="AC65" s="100"/>
      <c r="AD65" s="100"/>
      <c r="AE65" s="100"/>
      <c r="AF65" s="100"/>
      <c r="AG65" s="100"/>
      <c r="AH65" s="101"/>
      <c r="AI65" s="100"/>
      <c r="AJ65" s="100"/>
      <c r="AK65" s="100"/>
      <c r="AL65" s="101"/>
      <c r="AM65" s="102"/>
      <c r="AN65" s="101"/>
      <c r="AO65" s="100"/>
      <c r="AP65" s="102"/>
      <c r="AQ65" s="100"/>
      <c r="AR65" s="102"/>
      <c r="AS65" s="100"/>
      <c r="AT65" s="102"/>
      <c r="AU65" s="195"/>
      <c r="AV65" s="102"/>
      <c r="AW65" s="195"/>
      <c r="AX65" s="102"/>
      <c r="AY65" s="195"/>
      <c r="AZ65" s="102"/>
      <c r="BA65" s="195"/>
      <c r="BB65" s="102"/>
      <c r="BC65" s="195"/>
      <c r="BD65" s="414"/>
      <c r="BE65" s="83"/>
      <c r="BF65" s="83"/>
    </row>
    <row r="66" spans="2:58">
      <c r="B66" s="99" t="s">
        <v>541</v>
      </c>
      <c r="C66" s="98" t="s">
        <v>540</v>
      </c>
      <c r="D66" s="95">
        <f>D73</f>
        <v>0</v>
      </c>
      <c r="E66" s="96">
        <f>E73</f>
        <v>0</v>
      </c>
      <c r="F66" s="95">
        <f t="shared" ref="F66:AU66" si="219">F73</f>
        <v>0</v>
      </c>
      <c r="G66" s="96">
        <f t="shared" si="219"/>
        <v>0</v>
      </c>
      <c r="H66" s="95">
        <f t="shared" si="219"/>
        <v>0</v>
      </c>
      <c r="I66" s="96">
        <f t="shared" si="219"/>
        <v>0</v>
      </c>
      <c r="J66" s="95">
        <f t="shared" si="219"/>
        <v>0</v>
      </c>
      <c r="K66" s="96">
        <f t="shared" si="219"/>
        <v>0</v>
      </c>
      <c r="L66" s="95">
        <f t="shared" si="219"/>
        <v>0</v>
      </c>
      <c r="M66" s="96">
        <f t="shared" si="219"/>
        <v>0</v>
      </c>
      <c r="N66" s="95">
        <f t="shared" si="219"/>
        <v>0</v>
      </c>
      <c r="O66" s="96">
        <f t="shared" si="219"/>
        <v>0</v>
      </c>
      <c r="P66" s="95">
        <f t="shared" si="219"/>
        <v>0</v>
      </c>
      <c r="Q66" s="96">
        <f t="shared" si="219"/>
        <v>0</v>
      </c>
      <c r="R66" s="95">
        <f t="shared" si="219"/>
        <v>0</v>
      </c>
      <c r="S66" s="96">
        <f t="shared" si="219"/>
        <v>0</v>
      </c>
      <c r="T66" s="95">
        <f t="shared" si="219"/>
        <v>0</v>
      </c>
      <c r="U66" s="96">
        <f t="shared" si="219"/>
        <v>0</v>
      </c>
      <c r="V66" s="95">
        <f t="shared" si="219"/>
        <v>0</v>
      </c>
      <c r="W66" s="96">
        <f t="shared" si="219"/>
        <v>0</v>
      </c>
      <c r="X66" s="95">
        <f t="shared" si="219"/>
        <v>0</v>
      </c>
      <c r="Y66" s="96">
        <f t="shared" si="219"/>
        <v>0</v>
      </c>
      <c r="Z66" s="95">
        <f t="shared" si="219"/>
        <v>0</v>
      </c>
      <c r="AA66" s="96">
        <f t="shared" si="219"/>
        <v>0</v>
      </c>
      <c r="AB66" s="95">
        <f t="shared" si="219"/>
        <v>0</v>
      </c>
      <c r="AC66" s="96">
        <f t="shared" si="219"/>
        <v>0</v>
      </c>
      <c r="AD66" s="95">
        <f t="shared" si="219"/>
        <v>0</v>
      </c>
      <c r="AE66" s="96">
        <f t="shared" si="219"/>
        <v>0</v>
      </c>
      <c r="AF66" s="95">
        <f t="shared" si="219"/>
        <v>0</v>
      </c>
      <c r="AG66" s="96">
        <f t="shared" si="219"/>
        <v>0</v>
      </c>
      <c r="AH66" s="95">
        <f t="shared" si="219"/>
        <v>0</v>
      </c>
      <c r="AI66" s="96">
        <f t="shared" si="219"/>
        <v>0</v>
      </c>
      <c r="AJ66" s="95">
        <f t="shared" si="219"/>
        <v>0</v>
      </c>
      <c r="AK66" s="96">
        <f t="shared" si="219"/>
        <v>0</v>
      </c>
      <c r="AL66" s="95">
        <f t="shared" si="219"/>
        <v>0</v>
      </c>
      <c r="AM66" s="96">
        <f t="shared" si="219"/>
        <v>0</v>
      </c>
      <c r="AN66" s="95">
        <f t="shared" si="219"/>
        <v>0</v>
      </c>
      <c r="AO66" s="96">
        <f t="shared" si="219"/>
        <v>0</v>
      </c>
      <c r="AP66" s="95">
        <f t="shared" si="219"/>
        <v>0</v>
      </c>
      <c r="AQ66" s="96">
        <f t="shared" si="219"/>
        <v>0</v>
      </c>
      <c r="AR66" s="95">
        <f t="shared" si="219"/>
        <v>0</v>
      </c>
      <c r="AS66" s="96">
        <f t="shared" si="219"/>
        <v>0</v>
      </c>
      <c r="AT66" s="95">
        <f t="shared" si="219"/>
        <v>0</v>
      </c>
      <c r="AU66" s="94">
        <f t="shared" si="219"/>
        <v>0</v>
      </c>
      <c r="AV66" s="95">
        <f t="shared" ref="AV66:AW66" si="220">AV73</f>
        <v>0</v>
      </c>
      <c r="AW66" s="94">
        <f t="shared" si="220"/>
        <v>0</v>
      </c>
      <c r="AX66" s="95">
        <f t="shared" ref="AX66:BA66" si="221">AX73</f>
        <v>0</v>
      </c>
      <c r="AY66" s="94">
        <f t="shared" si="221"/>
        <v>0</v>
      </c>
      <c r="AZ66" s="95">
        <f t="shared" si="221"/>
        <v>0</v>
      </c>
      <c r="BA66" s="94">
        <f t="shared" si="221"/>
        <v>0</v>
      </c>
      <c r="BB66" s="95">
        <f t="shared" ref="BB66:BC66" si="222">BB73</f>
        <v>0</v>
      </c>
      <c r="BC66" s="94">
        <f t="shared" si="222"/>
        <v>0</v>
      </c>
      <c r="BD66" s="412"/>
      <c r="BE66" s="83"/>
      <c r="BF66" s="83"/>
    </row>
    <row r="67" spans="2:58">
      <c r="B67" s="93" t="s">
        <v>539</v>
      </c>
      <c r="C67" s="92"/>
      <c r="D67" s="89">
        <v>0</v>
      </c>
      <c r="E67" s="90"/>
      <c r="F67" s="89"/>
      <c r="G67" s="90"/>
      <c r="H67" s="89"/>
      <c r="I67" s="90"/>
      <c r="J67" s="89"/>
      <c r="K67" s="90"/>
      <c r="L67" s="89"/>
      <c r="M67" s="90"/>
      <c r="N67" s="91"/>
      <c r="O67" s="90"/>
      <c r="P67" s="89"/>
      <c r="Q67" s="88"/>
      <c r="R67" s="91"/>
      <c r="S67" s="88"/>
      <c r="T67" s="89"/>
      <c r="U67" s="88"/>
      <c r="V67" s="89"/>
      <c r="W67" s="88"/>
      <c r="X67" s="89"/>
      <c r="Y67" s="88"/>
      <c r="Z67" s="89"/>
      <c r="AA67" s="88"/>
      <c r="AB67" s="89"/>
      <c r="AC67" s="88"/>
      <c r="AD67" s="89"/>
      <c r="AE67" s="90"/>
      <c r="AF67" s="89"/>
      <c r="AG67" s="90"/>
      <c r="AH67" s="89"/>
      <c r="AI67" s="90"/>
      <c r="AJ67" s="89"/>
      <c r="AK67" s="90"/>
      <c r="AL67" s="89"/>
      <c r="AM67" s="90"/>
      <c r="AN67" s="89"/>
      <c r="AO67" s="88"/>
      <c r="AP67" s="91"/>
      <c r="AQ67" s="90"/>
      <c r="AR67" s="91"/>
      <c r="AS67" s="90"/>
      <c r="AT67" s="91"/>
      <c r="AU67" s="88"/>
      <c r="AV67" s="91"/>
      <c r="AW67" s="88"/>
      <c r="AX67" s="91"/>
      <c r="AY67" s="88"/>
      <c r="AZ67" s="91"/>
      <c r="BA67" s="88"/>
      <c r="BB67" s="91"/>
      <c r="BC67" s="88"/>
      <c r="BD67" s="412"/>
      <c r="BE67" s="83"/>
      <c r="BF67" s="83"/>
    </row>
    <row r="68" spans="2:58">
      <c r="B68" s="87"/>
      <c r="C68" s="86" t="s">
        <v>538</v>
      </c>
      <c r="D68" s="85">
        <f t="shared" ref="D68:M68" si="223">SUM(D66:D67)</f>
        <v>0</v>
      </c>
      <c r="E68" s="85">
        <f t="shared" si="223"/>
        <v>0</v>
      </c>
      <c r="F68" s="85">
        <f t="shared" si="223"/>
        <v>0</v>
      </c>
      <c r="G68" s="85">
        <f t="shared" si="223"/>
        <v>0</v>
      </c>
      <c r="H68" s="85">
        <f t="shared" si="223"/>
        <v>0</v>
      </c>
      <c r="I68" s="85">
        <f t="shared" si="223"/>
        <v>0</v>
      </c>
      <c r="J68" s="85">
        <f t="shared" si="223"/>
        <v>0</v>
      </c>
      <c r="K68" s="85">
        <f t="shared" si="223"/>
        <v>0</v>
      </c>
      <c r="L68" s="85">
        <f t="shared" si="223"/>
        <v>0</v>
      </c>
      <c r="M68" s="85">
        <f t="shared" si="223"/>
        <v>0</v>
      </c>
      <c r="N68" s="84">
        <f t="shared" ref="N68:W68" si="224">SUM(N66:N67)</f>
        <v>0</v>
      </c>
      <c r="O68" s="85">
        <f t="shared" si="224"/>
        <v>0</v>
      </c>
      <c r="P68" s="85">
        <f t="shared" si="224"/>
        <v>0</v>
      </c>
      <c r="Q68" s="84">
        <f t="shared" si="224"/>
        <v>0</v>
      </c>
      <c r="R68" s="84">
        <f>SUM(R66:R67)</f>
        <v>0</v>
      </c>
      <c r="S68" s="84">
        <f t="shared" si="224"/>
        <v>0</v>
      </c>
      <c r="T68" s="85">
        <f t="shared" si="224"/>
        <v>0</v>
      </c>
      <c r="U68" s="84">
        <f>SUM(U66:U67)</f>
        <v>0</v>
      </c>
      <c r="V68" s="85">
        <f t="shared" si="224"/>
        <v>0</v>
      </c>
      <c r="W68" s="84">
        <f t="shared" si="224"/>
        <v>0</v>
      </c>
      <c r="X68" s="85">
        <f t="shared" ref="X68:AT68" si="225">SUM(X66:X67)</f>
        <v>0</v>
      </c>
      <c r="Y68" s="84">
        <f>SUM(Y66:Y67)</f>
        <v>0</v>
      </c>
      <c r="Z68" s="85">
        <f t="shared" si="225"/>
        <v>0</v>
      </c>
      <c r="AA68" s="84">
        <f>SUM(AA66:AA67)</f>
        <v>0</v>
      </c>
      <c r="AB68" s="85">
        <f>SUM(AB66:AB67)</f>
        <v>0</v>
      </c>
      <c r="AC68" s="84">
        <f t="shared" si="225"/>
        <v>0</v>
      </c>
      <c r="AD68" s="85">
        <f t="shared" si="225"/>
        <v>0</v>
      </c>
      <c r="AE68" s="85">
        <f t="shared" si="225"/>
        <v>0</v>
      </c>
      <c r="AF68" s="85">
        <f t="shared" si="225"/>
        <v>0</v>
      </c>
      <c r="AG68" s="85">
        <f t="shared" si="225"/>
        <v>0</v>
      </c>
      <c r="AH68" s="85">
        <f t="shared" si="225"/>
        <v>0</v>
      </c>
      <c r="AI68" s="85">
        <f t="shared" si="225"/>
        <v>0</v>
      </c>
      <c r="AJ68" s="85">
        <f t="shared" si="225"/>
        <v>0</v>
      </c>
      <c r="AK68" s="85">
        <f t="shared" si="225"/>
        <v>0</v>
      </c>
      <c r="AL68" s="85">
        <f t="shared" si="225"/>
        <v>0</v>
      </c>
      <c r="AM68" s="85">
        <f t="shared" si="225"/>
        <v>0</v>
      </c>
      <c r="AN68" s="85">
        <f t="shared" si="225"/>
        <v>0</v>
      </c>
      <c r="AO68" s="85">
        <f t="shared" si="225"/>
        <v>0</v>
      </c>
      <c r="AP68" s="85">
        <f t="shared" si="225"/>
        <v>0</v>
      </c>
      <c r="AQ68" s="85">
        <f t="shared" si="225"/>
        <v>0</v>
      </c>
      <c r="AR68" s="85">
        <f t="shared" si="225"/>
        <v>0</v>
      </c>
      <c r="AS68" s="85">
        <f t="shared" si="225"/>
        <v>0</v>
      </c>
      <c r="AT68" s="85">
        <f t="shared" si="225"/>
        <v>0</v>
      </c>
      <c r="AU68" s="84">
        <f>SUM(AU66:AU67)</f>
        <v>0</v>
      </c>
      <c r="AV68" s="85">
        <f t="shared" ref="AV68:AX68" si="226">SUM(AV66:AV67)</f>
        <v>0</v>
      </c>
      <c r="AW68" s="84">
        <f>SUM(AW66:AW67)</f>
        <v>0</v>
      </c>
      <c r="AX68" s="85">
        <f t="shared" si="226"/>
        <v>0</v>
      </c>
      <c r="AY68" s="84">
        <f>SUM(AY66:AY67)</f>
        <v>0</v>
      </c>
      <c r="AZ68" s="85">
        <f t="shared" ref="AZ68" si="227">SUM(AZ66:AZ67)</f>
        <v>0</v>
      </c>
      <c r="BA68" s="84">
        <f>SUM(BA66:BA67)</f>
        <v>0</v>
      </c>
      <c r="BB68" s="85">
        <f t="shared" ref="BB68" si="228">SUM(BB66:BB67)</f>
        <v>0</v>
      </c>
      <c r="BC68" s="84">
        <f>SUM(BC66:BC67)</f>
        <v>0</v>
      </c>
      <c r="BD68" s="197"/>
      <c r="BE68" s="985">
        <f>ROUND(SUM(D68:BD68)-SUM('ATC Att GG ER21-2601'!L127),0)</f>
        <v>0</v>
      </c>
      <c r="BF68" s="83"/>
    </row>
    <row r="69" spans="2:58">
      <c r="BE69" s="83"/>
      <c r="BF69" s="83"/>
    </row>
    <row r="70" spans="2:58">
      <c r="BE70" s="83"/>
      <c r="BF70" s="83"/>
    </row>
    <row r="71" spans="2:58">
      <c r="BE71" s="83"/>
      <c r="BF71" s="83"/>
    </row>
    <row r="72" spans="2:58" s="227" customFormat="1">
      <c r="B72" s="559" t="s">
        <v>545</v>
      </c>
      <c r="C72" s="560">
        <v>46357</v>
      </c>
      <c r="D72" s="563">
        <v>3312802.5073197535</v>
      </c>
      <c r="E72" s="563">
        <v>2064405.9948182621</v>
      </c>
      <c r="F72" s="563">
        <v>3113339.8246326656</v>
      </c>
      <c r="G72" s="563">
        <v>255566.69861442794</v>
      </c>
      <c r="H72" s="563">
        <v>32489.245137600708</v>
      </c>
      <c r="I72" s="563">
        <v>53379.12007819584</v>
      </c>
      <c r="J72" s="563">
        <v>726.17999990984981</v>
      </c>
      <c r="K72" s="563">
        <v>8862.5400243164386</v>
      </c>
      <c r="L72" s="563">
        <v>407889.48166541423</v>
      </c>
      <c r="M72" s="563">
        <v>4284031.6880227728</v>
      </c>
      <c r="N72" s="563">
        <v>658029.60425754567</v>
      </c>
      <c r="O72" s="563">
        <v>741704.29250122886</v>
      </c>
      <c r="P72" s="563">
        <v>5485037.6824335437</v>
      </c>
      <c r="Q72" s="563">
        <v>193112.27840560727</v>
      </c>
      <c r="R72" s="563">
        <v>511744.44080109632</v>
      </c>
      <c r="S72" s="563">
        <v>238091.27913433631</v>
      </c>
      <c r="T72" s="563">
        <v>184536.89994567691</v>
      </c>
      <c r="U72" s="563">
        <v>76176.659786205506</v>
      </c>
      <c r="V72" s="563">
        <v>7018.0799955169159</v>
      </c>
      <c r="W72" s="563">
        <v>1695.1199769680552</v>
      </c>
      <c r="X72" s="563">
        <v>204528.17804154576</v>
      </c>
      <c r="Y72" s="563">
        <v>18063.659826280331</v>
      </c>
      <c r="Z72" s="563">
        <v>65508.299232308484</v>
      </c>
      <c r="AA72" s="563">
        <v>90415.921662978348</v>
      </c>
      <c r="AB72" s="563">
        <v>171024.01383887875</v>
      </c>
      <c r="AC72" s="563">
        <v>1851.4200105852503</v>
      </c>
      <c r="AD72" s="563">
        <v>4552.2000069589303</v>
      </c>
      <c r="AE72" s="563">
        <v>3004.9942578987598</v>
      </c>
      <c r="AF72" s="563">
        <v>51290.004803841723</v>
      </c>
      <c r="AG72" s="563">
        <v>7957.4399237640255</v>
      </c>
      <c r="AH72" s="563">
        <v>130485.4186099731</v>
      </c>
      <c r="AI72" s="563">
        <v>623.82000112085996</v>
      </c>
      <c r="AJ72" s="563">
        <v>22594.560285403699</v>
      </c>
      <c r="AK72" s="563">
        <v>1013.3999903879499</v>
      </c>
      <c r="AL72" s="563">
        <v>86683.313425642671</v>
      </c>
      <c r="AM72" s="563">
        <v>42711.724406242793</v>
      </c>
      <c r="AN72" s="563">
        <v>85797.238802424617</v>
      </c>
      <c r="AO72" s="563">
        <v>14238.119984826486</v>
      </c>
      <c r="AP72" s="563">
        <v>81064.800487183893</v>
      </c>
      <c r="AQ72" s="563">
        <v>0</v>
      </c>
      <c r="AR72" s="563">
        <v>218474.37672603625</v>
      </c>
      <c r="AS72" s="563">
        <v>431142.16122669121</v>
      </c>
      <c r="AT72" s="563">
        <v>4414.4855397495094</v>
      </c>
      <c r="AU72" s="563">
        <v>0</v>
      </c>
      <c r="AV72" s="563">
        <v>92656.381156283765</v>
      </c>
      <c r="AW72" s="563">
        <v>118929.06071889192</v>
      </c>
      <c r="AX72" s="563">
        <v>499.92861249293679</v>
      </c>
      <c r="AY72" s="581">
        <v>0</v>
      </c>
      <c r="AZ72" s="581">
        <v>0</v>
      </c>
      <c r="BA72" s="581">
        <v>0</v>
      </c>
      <c r="BB72" s="581">
        <v>0</v>
      </c>
      <c r="BC72" s="581">
        <v>0</v>
      </c>
    </row>
    <row r="73" spans="2:58" s="227" customFormat="1">
      <c r="B73" s="565" t="s">
        <v>540</v>
      </c>
      <c r="C73" s="566">
        <v>46357</v>
      </c>
      <c r="D73" s="569">
        <v>0</v>
      </c>
      <c r="E73" s="569">
        <v>0</v>
      </c>
      <c r="F73" s="569">
        <v>0</v>
      </c>
      <c r="G73" s="569">
        <v>0</v>
      </c>
      <c r="H73" s="569">
        <v>0</v>
      </c>
      <c r="I73" s="569">
        <v>0</v>
      </c>
      <c r="J73" s="569">
        <v>0</v>
      </c>
      <c r="K73" s="569">
        <v>0</v>
      </c>
      <c r="L73" s="569">
        <v>0</v>
      </c>
      <c r="M73" s="569">
        <v>0</v>
      </c>
      <c r="N73" s="569">
        <v>0</v>
      </c>
      <c r="O73" s="569">
        <v>0</v>
      </c>
      <c r="P73" s="569">
        <v>0</v>
      </c>
      <c r="Q73" s="569">
        <v>0</v>
      </c>
      <c r="R73" s="569">
        <v>0</v>
      </c>
      <c r="S73" s="569">
        <v>0</v>
      </c>
      <c r="T73" s="569">
        <v>0</v>
      </c>
      <c r="U73" s="569">
        <v>0</v>
      </c>
      <c r="V73" s="569">
        <v>0</v>
      </c>
      <c r="W73" s="569">
        <v>0</v>
      </c>
      <c r="X73" s="569">
        <v>0</v>
      </c>
      <c r="Y73" s="569">
        <v>0</v>
      </c>
      <c r="Z73" s="569">
        <v>0</v>
      </c>
      <c r="AA73" s="569">
        <v>0</v>
      </c>
      <c r="AB73" s="569">
        <v>0</v>
      </c>
      <c r="AC73" s="569">
        <v>0</v>
      </c>
      <c r="AD73" s="569">
        <v>0</v>
      </c>
      <c r="AE73" s="569">
        <v>0</v>
      </c>
      <c r="AF73" s="569">
        <v>0</v>
      </c>
      <c r="AG73" s="569">
        <v>0</v>
      </c>
      <c r="AH73" s="569">
        <v>0</v>
      </c>
      <c r="AI73" s="569">
        <v>0</v>
      </c>
      <c r="AJ73" s="569">
        <v>0</v>
      </c>
      <c r="AK73" s="569">
        <v>0</v>
      </c>
      <c r="AL73" s="569">
        <v>0</v>
      </c>
      <c r="AM73" s="569">
        <v>0</v>
      </c>
      <c r="AN73" s="569">
        <v>0</v>
      </c>
      <c r="AO73" s="569">
        <v>0</v>
      </c>
      <c r="AP73" s="569">
        <v>0</v>
      </c>
      <c r="AQ73" s="569">
        <v>0</v>
      </c>
      <c r="AR73" s="569">
        <v>0</v>
      </c>
      <c r="AS73" s="569">
        <v>0</v>
      </c>
      <c r="AT73" s="569">
        <v>0</v>
      </c>
      <c r="AU73" s="569">
        <v>0</v>
      </c>
      <c r="AV73" s="569">
        <v>0</v>
      </c>
      <c r="AW73" s="569">
        <v>0</v>
      </c>
      <c r="AX73" s="569">
        <v>0</v>
      </c>
      <c r="AY73" s="582">
        <v>0</v>
      </c>
      <c r="AZ73" s="582">
        <v>0</v>
      </c>
      <c r="BA73" s="582">
        <v>0</v>
      </c>
      <c r="BB73" s="582">
        <v>0</v>
      </c>
      <c r="BC73" s="582">
        <v>0</v>
      </c>
    </row>
    <row r="74" spans="2:58" s="227" customFormat="1">
      <c r="C74" s="583"/>
    </row>
    <row r="75" spans="2:58" s="227" customFormat="1">
      <c r="C75" s="583"/>
    </row>
    <row r="76" spans="2:58" s="227" customFormat="1" outlineLevel="1">
      <c r="B76" s="559" t="s">
        <v>1052</v>
      </c>
      <c r="C76" s="560">
        <v>45992</v>
      </c>
      <c r="D76" s="584">
        <v>0</v>
      </c>
      <c r="E76" s="584">
        <v>0</v>
      </c>
      <c r="F76" s="584">
        <v>0</v>
      </c>
      <c r="G76" s="584">
        <v>0</v>
      </c>
      <c r="H76" s="584">
        <v>0</v>
      </c>
      <c r="I76" s="584">
        <v>0</v>
      </c>
      <c r="J76" s="584">
        <v>0</v>
      </c>
      <c r="K76" s="584">
        <v>0</v>
      </c>
      <c r="L76" s="584">
        <v>0</v>
      </c>
      <c r="M76" s="584">
        <v>0</v>
      </c>
      <c r="N76" s="584">
        <v>0</v>
      </c>
      <c r="O76" s="584">
        <v>0</v>
      </c>
      <c r="P76" s="584">
        <v>0</v>
      </c>
      <c r="Q76" s="584">
        <v>0</v>
      </c>
      <c r="R76" s="584">
        <v>0</v>
      </c>
      <c r="S76" s="584">
        <v>0</v>
      </c>
      <c r="T76" s="584">
        <v>0</v>
      </c>
      <c r="U76" s="584">
        <v>0</v>
      </c>
      <c r="V76" s="584">
        <v>0</v>
      </c>
      <c r="W76" s="584">
        <v>0</v>
      </c>
      <c r="X76" s="584">
        <v>0</v>
      </c>
      <c r="Y76" s="584">
        <v>0</v>
      </c>
      <c r="Z76" s="584">
        <v>0</v>
      </c>
      <c r="AA76" s="584">
        <v>0</v>
      </c>
      <c r="AB76" s="584">
        <v>0</v>
      </c>
      <c r="AC76" s="584">
        <v>0</v>
      </c>
      <c r="AD76" s="584">
        <v>0</v>
      </c>
      <c r="AE76" s="584">
        <v>0</v>
      </c>
      <c r="AF76" s="584">
        <v>0</v>
      </c>
      <c r="AG76" s="584">
        <v>0</v>
      </c>
      <c r="AH76" s="584">
        <v>0</v>
      </c>
      <c r="AI76" s="584">
        <v>0</v>
      </c>
      <c r="AJ76" s="584">
        <v>0</v>
      </c>
      <c r="AK76" s="584">
        <v>0</v>
      </c>
      <c r="AL76" s="584">
        <v>0</v>
      </c>
      <c r="AM76" s="584">
        <v>0</v>
      </c>
      <c r="AN76" s="584">
        <v>0</v>
      </c>
      <c r="AO76" s="584">
        <v>0</v>
      </c>
      <c r="AP76" s="584">
        <v>0</v>
      </c>
      <c r="AQ76" s="584">
        <v>0</v>
      </c>
      <c r="AR76" s="584">
        <v>0</v>
      </c>
      <c r="AS76" s="584">
        <v>0</v>
      </c>
      <c r="AT76" s="584">
        <v>0</v>
      </c>
      <c r="AU76" s="584">
        <v>0</v>
      </c>
      <c r="AV76" s="584">
        <v>0</v>
      </c>
      <c r="AW76" s="584">
        <v>0</v>
      </c>
      <c r="AX76" s="584">
        <v>0</v>
      </c>
      <c r="AY76" s="584">
        <v>0</v>
      </c>
      <c r="AZ76" s="584">
        <v>0</v>
      </c>
      <c r="BA76" s="584">
        <v>0</v>
      </c>
      <c r="BB76" s="584">
        <v>0</v>
      </c>
      <c r="BC76" s="584">
        <v>0</v>
      </c>
      <c r="BE76" s="986">
        <f>SUM(D76:BD76)</f>
        <v>0</v>
      </c>
    </row>
    <row r="77" spans="2:58" s="227" customFormat="1" outlineLevel="1">
      <c r="B77" s="585"/>
      <c r="C77" s="572">
        <v>46023</v>
      </c>
      <c r="D77" s="586">
        <v>0</v>
      </c>
      <c r="E77" s="586">
        <v>0</v>
      </c>
      <c r="F77" s="586">
        <v>0</v>
      </c>
      <c r="G77" s="586">
        <v>0</v>
      </c>
      <c r="H77" s="586">
        <v>0</v>
      </c>
      <c r="I77" s="586">
        <v>0</v>
      </c>
      <c r="J77" s="586">
        <v>0</v>
      </c>
      <c r="K77" s="586">
        <v>0</v>
      </c>
      <c r="L77" s="586">
        <v>0</v>
      </c>
      <c r="M77" s="586">
        <v>0</v>
      </c>
      <c r="N77" s="586">
        <v>0</v>
      </c>
      <c r="O77" s="586">
        <v>0</v>
      </c>
      <c r="P77" s="586">
        <v>0</v>
      </c>
      <c r="Q77" s="586">
        <v>0</v>
      </c>
      <c r="R77" s="586">
        <v>0</v>
      </c>
      <c r="S77" s="586">
        <v>0</v>
      </c>
      <c r="T77" s="586">
        <v>0</v>
      </c>
      <c r="U77" s="586">
        <v>0</v>
      </c>
      <c r="V77" s="586">
        <v>0</v>
      </c>
      <c r="W77" s="586">
        <v>0</v>
      </c>
      <c r="X77" s="586">
        <v>0</v>
      </c>
      <c r="Y77" s="586">
        <v>0</v>
      </c>
      <c r="Z77" s="586">
        <v>0</v>
      </c>
      <c r="AA77" s="586">
        <v>0</v>
      </c>
      <c r="AB77" s="586">
        <v>0</v>
      </c>
      <c r="AC77" s="586">
        <v>0</v>
      </c>
      <c r="AD77" s="586">
        <v>0</v>
      </c>
      <c r="AE77" s="586">
        <v>0</v>
      </c>
      <c r="AF77" s="586">
        <v>0</v>
      </c>
      <c r="AG77" s="586">
        <v>0</v>
      </c>
      <c r="AH77" s="586">
        <v>0</v>
      </c>
      <c r="AI77" s="586">
        <v>0</v>
      </c>
      <c r="AJ77" s="586">
        <v>0</v>
      </c>
      <c r="AK77" s="586">
        <v>0</v>
      </c>
      <c r="AL77" s="586">
        <v>0</v>
      </c>
      <c r="AM77" s="586">
        <v>0</v>
      </c>
      <c r="AN77" s="586">
        <v>0</v>
      </c>
      <c r="AO77" s="586">
        <v>0</v>
      </c>
      <c r="AP77" s="586">
        <v>0</v>
      </c>
      <c r="AQ77" s="586">
        <v>0</v>
      </c>
      <c r="AR77" s="586">
        <v>0</v>
      </c>
      <c r="AS77" s="586">
        <v>0</v>
      </c>
      <c r="AT77" s="586">
        <v>0</v>
      </c>
      <c r="AU77" s="586">
        <v>0</v>
      </c>
      <c r="AV77" s="586">
        <v>0</v>
      </c>
      <c r="AW77" s="586">
        <v>0</v>
      </c>
      <c r="AX77" s="586">
        <v>0</v>
      </c>
      <c r="AY77" s="586">
        <v>0</v>
      </c>
      <c r="AZ77" s="586">
        <v>0</v>
      </c>
      <c r="BA77" s="586">
        <v>0</v>
      </c>
      <c r="BB77" s="586">
        <v>0</v>
      </c>
      <c r="BC77" s="586">
        <v>0</v>
      </c>
      <c r="BE77" s="987">
        <f t="shared" ref="BE77:BE88" si="229">SUM(D77:BD77)</f>
        <v>0</v>
      </c>
    </row>
    <row r="78" spans="2:58" s="227" customFormat="1" outlineLevel="1">
      <c r="B78" s="587"/>
      <c r="C78" s="574">
        <v>46054</v>
      </c>
      <c r="D78" s="586">
        <v>0</v>
      </c>
      <c r="E78" s="586">
        <v>0</v>
      </c>
      <c r="F78" s="586">
        <v>0</v>
      </c>
      <c r="G78" s="586">
        <v>0</v>
      </c>
      <c r="H78" s="586">
        <v>0</v>
      </c>
      <c r="I78" s="586">
        <v>0</v>
      </c>
      <c r="J78" s="586">
        <v>0</v>
      </c>
      <c r="K78" s="586">
        <v>0</v>
      </c>
      <c r="L78" s="586">
        <v>0</v>
      </c>
      <c r="M78" s="586">
        <v>0</v>
      </c>
      <c r="N78" s="586">
        <v>0</v>
      </c>
      <c r="O78" s="586">
        <v>0</v>
      </c>
      <c r="P78" s="586">
        <v>0</v>
      </c>
      <c r="Q78" s="586">
        <v>0</v>
      </c>
      <c r="R78" s="586">
        <v>0</v>
      </c>
      <c r="S78" s="586">
        <v>0</v>
      </c>
      <c r="T78" s="586">
        <v>0</v>
      </c>
      <c r="U78" s="586">
        <v>0</v>
      </c>
      <c r="V78" s="586">
        <v>0</v>
      </c>
      <c r="W78" s="586">
        <v>0</v>
      </c>
      <c r="X78" s="586">
        <v>0</v>
      </c>
      <c r="Y78" s="586">
        <v>0</v>
      </c>
      <c r="Z78" s="586">
        <v>0</v>
      </c>
      <c r="AA78" s="586">
        <v>0</v>
      </c>
      <c r="AB78" s="586">
        <v>0</v>
      </c>
      <c r="AC78" s="586">
        <v>0</v>
      </c>
      <c r="AD78" s="586">
        <v>0</v>
      </c>
      <c r="AE78" s="586">
        <v>0</v>
      </c>
      <c r="AF78" s="586">
        <v>0</v>
      </c>
      <c r="AG78" s="586">
        <v>0</v>
      </c>
      <c r="AH78" s="586">
        <v>0</v>
      </c>
      <c r="AI78" s="586">
        <v>0</v>
      </c>
      <c r="AJ78" s="586">
        <v>0</v>
      </c>
      <c r="AK78" s="586">
        <v>0</v>
      </c>
      <c r="AL78" s="586">
        <v>0</v>
      </c>
      <c r="AM78" s="586">
        <v>0</v>
      </c>
      <c r="AN78" s="586">
        <v>0</v>
      </c>
      <c r="AO78" s="586">
        <v>0</v>
      </c>
      <c r="AP78" s="586">
        <v>0</v>
      </c>
      <c r="AQ78" s="586">
        <v>0</v>
      </c>
      <c r="AR78" s="586">
        <v>0</v>
      </c>
      <c r="AS78" s="586">
        <v>0</v>
      </c>
      <c r="AT78" s="586">
        <v>0</v>
      </c>
      <c r="AU78" s="586">
        <v>0</v>
      </c>
      <c r="AV78" s="586">
        <v>0</v>
      </c>
      <c r="AW78" s="586">
        <v>0</v>
      </c>
      <c r="AX78" s="586">
        <v>0</v>
      </c>
      <c r="AY78" s="586">
        <v>0</v>
      </c>
      <c r="AZ78" s="586">
        <v>0</v>
      </c>
      <c r="BA78" s="586">
        <v>0</v>
      </c>
      <c r="BB78" s="586">
        <v>0</v>
      </c>
      <c r="BC78" s="586">
        <v>0</v>
      </c>
      <c r="BE78" s="987">
        <f t="shared" si="229"/>
        <v>0</v>
      </c>
    </row>
    <row r="79" spans="2:58" s="227" customFormat="1" outlineLevel="1">
      <c r="B79" s="587"/>
      <c r="C79" s="574">
        <v>46082</v>
      </c>
      <c r="D79" s="586">
        <v>0</v>
      </c>
      <c r="E79" s="586">
        <v>0</v>
      </c>
      <c r="F79" s="586">
        <v>0</v>
      </c>
      <c r="G79" s="586">
        <v>0</v>
      </c>
      <c r="H79" s="586">
        <v>0</v>
      </c>
      <c r="I79" s="586">
        <v>0</v>
      </c>
      <c r="J79" s="586">
        <v>0</v>
      </c>
      <c r="K79" s="586">
        <v>0</v>
      </c>
      <c r="L79" s="586">
        <v>0</v>
      </c>
      <c r="M79" s="586">
        <v>0</v>
      </c>
      <c r="N79" s="586">
        <v>0</v>
      </c>
      <c r="O79" s="586">
        <v>0</v>
      </c>
      <c r="P79" s="586">
        <v>0</v>
      </c>
      <c r="Q79" s="586">
        <v>0</v>
      </c>
      <c r="R79" s="586">
        <v>0</v>
      </c>
      <c r="S79" s="586">
        <v>0</v>
      </c>
      <c r="T79" s="586">
        <v>0</v>
      </c>
      <c r="U79" s="586">
        <v>0</v>
      </c>
      <c r="V79" s="586">
        <v>0</v>
      </c>
      <c r="W79" s="586">
        <v>0</v>
      </c>
      <c r="X79" s="586">
        <v>0</v>
      </c>
      <c r="Y79" s="586">
        <v>0</v>
      </c>
      <c r="Z79" s="586">
        <v>0</v>
      </c>
      <c r="AA79" s="586">
        <v>0</v>
      </c>
      <c r="AB79" s="586">
        <v>0</v>
      </c>
      <c r="AC79" s="586">
        <v>0</v>
      </c>
      <c r="AD79" s="586">
        <v>0</v>
      </c>
      <c r="AE79" s="586">
        <v>0</v>
      </c>
      <c r="AF79" s="586">
        <v>0</v>
      </c>
      <c r="AG79" s="586">
        <v>0</v>
      </c>
      <c r="AH79" s="586">
        <v>0</v>
      </c>
      <c r="AI79" s="586">
        <v>0</v>
      </c>
      <c r="AJ79" s="586">
        <v>0</v>
      </c>
      <c r="AK79" s="586">
        <v>0</v>
      </c>
      <c r="AL79" s="586">
        <v>0</v>
      </c>
      <c r="AM79" s="586">
        <v>0</v>
      </c>
      <c r="AN79" s="586">
        <v>0</v>
      </c>
      <c r="AO79" s="586">
        <v>0</v>
      </c>
      <c r="AP79" s="586">
        <v>0</v>
      </c>
      <c r="AQ79" s="586">
        <v>0</v>
      </c>
      <c r="AR79" s="586">
        <v>0</v>
      </c>
      <c r="AS79" s="586">
        <v>0</v>
      </c>
      <c r="AT79" s="586">
        <v>0</v>
      </c>
      <c r="AU79" s="586">
        <v>0</v>
      </c>
      <c r="AV79" s="586">
        <v>0</v>
      </c>
      <c r="AW79" s="586">
        <v>0</v>
      </c>
      <c r="AX79" s="586">
        <v>0</v>
      </c>
      <c r="AY79" s="586">
        <v>0</v>
      </c>
      <c r="AZ79" s="586">
        <v>0</v>
      </c>
      <c r="BA79" s="586">
        <v>0</v>
      </c>
      <c r="BB79" s="586">
        <v>0</v>
      </c>
      <c r="BC79" s="586">
        <v>0</v>
      </c>
      <c r="BE79" s="987">
        <f t="shared" si="229"/>
        <v>0</v>
      </c>
    </row>
    <row r="80" spans="2:58" s="227" customFormat="1" outlineLevel="1">
      <c r="B80" s="587"/>
      <c r="C80" s="574">
        <v>46113</v>
      </c>
      <c r="D80" s="586">
        <v>0</v>
      </c>
      <c r="E80" s="586">
        <v>0</v>
      </c>
      <c r="F80" s="586">
        <v>0</v>
      </c>
      <c r="G80" s="586">
        <v>0</v>
      </c>
      <c r="H80" s="586">
        <v>0</v>
      </c>
      <c r="I80" s="586">
        <v>0</v>
      </c>
      <c r="J80" s="586">
        <v>0</v>
      </c>
      <c r="K80" s="586">
        <v>0</v>
      </c>
      <c r="L80" s="586">
        <v>0</v>
      </c>
      <c r="M80" s="586">
        <v>0</v>
      </c>
      <c r="N80" s="586">
        <v>0</v>
      </c>
      <c r="O80" s="586">
        <v>0</v>
      </c>
      <c r="P80" s="586">
        <v>0</v>
      </c>
      <c r="Q80" s="586">
        <v>0</v>
      </c>
      <c r="R80" s="586">
        <v>0</v>
      </c>
      <c r="S80" s="586">
        <v>0</v>
      </c>
      <c r="T80" s="586">
        <v>0</v>
      </c>
      <c r="U80" s="586">
        <v>0</v>
      </c>
      <c r="V80" s="586">
        <v>0</v>
      </c>
      <c r="W80" s="586">
        <v>0</v>
      </c>
      <c r="X80" s="586">
        <v>0</v>
      </c>
      <c r="Y80" s="586">
        <v>0</v>
      </c>
      <c r="Z80" s="586">
        <v>0</v>
      </c>
      <c r="AA80" s="586">
        <v>0</v>
      </c>
      <c r="AB80" s="586">
        <v>0</v>
      </c>
      <c r="AC80" s="586">
        <v>0</v>
      </c>
      <c r="AD80" s="586">
        <v>0</v>
      </c>
      <c r="AE80" s="586">
        <v>0</v>
      </c>
      <c r="AF80" s="586">
        <v>0</v>
      </c>
      <c r="AG80" s="586">
        <v>0</v>
      </c>
      <c r="AH80" s="586">
        <v>0</v>
      </c>
      <c r="AI80" s="586">
        <v>0</v>
      </c>
      <c r="AJ80" s="586">
        <v>0</v>
      </c>
      <c r="AK80" s="586">
        <v>0</v>
      </c>
      <c r="AL80" s="586">
        <v>0</v>
      </c>
      <c r="AM80" s="586">
        <v>0</v>
      </c>
      <c r="AN80" s="586">
        <v>0</v>
      </c>
      <c r="AO80" s="586">
        <v>0</v>
      </c>
      <c r="AP80" s="586">
        <v>0</v>
      </c>
      <c r="AQ80" s="586">
        <v>0</v>
      </c>
      <c r="AR80" s="586">
        <v>0</v>
      </c>
      <c r="AS80" s="586">
        <v>0</v>
      </c>
      <c r="AT80" s="586">
        <v>0</v>
      </c>
      <c r="AU80" s="586">
        <v>0</v>
      </c>
      <c r="AV80" s="586">
        <v>0</v>
      </c>
      <c r="AW80" s="586">
        <v>0</v>
      </c>
      <c r="AX80" s="586">
        <v>0</v>
      </c>
      <c r="AY80" s="586">
        <v>0</v>
      </c>
      <c r="AZ80" s="586">
        <v>0</v>
      </c>
      <c r="BA80" s="586">
        <v>0</v>
      </c>
      <c r="BB80" s="586">
        <v>0</v>
      </c>
      <c r="BC80" s="586">
        <v>0</v>
      </c>
      <c r="BE80" s="987">
        <f t="shared" si="229"/>
        <v>0</v>
      </c>
    </row>
    <row r="81" spans="2:57" s="227" customFormat="1" outlineLevel="1">
      <c r="B81" s="587"/>
      <c r="C81" s="574">
        <v>46143</v>
      </c>
      <c r="D81" s="586">
        <v>0</v>
      </c>
      <c r="E81" s="586">
        <v>0</v>
      </c>
      <c r="F81" s="586">
        <v>0</v>
      </c>
      <c r="G81" s="586">
        <v>0</v>
      </c>
      <c r="H81" s="586">
        <v>0</v>
      </c>
      <c r="I81" s="586">
        <v>0</v>
      </c>
      <c r="J81" s="586">
        <v>0</v>
      </c>
      <c r="K81" s="586">
        <v>0</v>
      </c>
      <c r="L81" s="586">
        <v>0</v>
      </c>
      <c r="M81" s="586">
        <v>0</v>
      </c>
      <c r="N81" s="586">
        <v>0</v>
      </c>
      <c r="O81" s="586">
        <v>0</v>
      </c>
      <c r="P81" s="586">
        <v>0</v>
      </c>
      <c r="Q81" s="586">
        <v>0</v>
      </c>
      <c r="R81" s="586">
        <v>0</v>
      </c>
      <c r="S81" s="586">
        <v>0</v>
      </c>
      <c r="T81" s="586">
        <v>0</v>
      </c>
      <c r="U81" s="586">
        <v>0</v>
      </c>
      <c r="V81" s="586">
        <v>0</v>
      </c>
      <c r="W81" s="586">
        <v>0</v>
      </c>
      <c r="X81" s="586">
        <v>0</v>
      </c>
      <c r="Y81" s="586">
        <v>0</v>
      </c>
      <c r="Z81" s="586">
        <v>0</v>
      </c>
      <c r="AA81" s="586">
        <v>0</v>
      </c>
      <c r="AB81" s="586">
        <v>0</v>
      </c>
      <c r="AC81" s="586">
        <v>0</v>
      </c>
      <c r="AD81" s="586">
        <v>0</v>
      </c>
      <c r="AE81" s="586">
        <v>0</v>
      </c>
      <c r="AF81" s="586">
        <v>0</v>
      </c>
      <c r="AG81" s="586">
        <v>0</v>
      </c>
      <c r="AH81" s="586">
        <v>0</v>
      </c>
      <c r="AI81" s="586">
        <v>0</v>
      </c>
      <c r="AJ81" s="586">
        <v>0</v>
      </c>
      <c r="AK81" s="586">
        <v>0</v>
      </c>
      <c r="AL81" s="586">
        <v>0</v>
      </c>
      <c r="AM81" s="586">
        <v>0</v>
      </c>
      <c r="AN81" s="586">
        <v>0</v>
      </c>
      <c r="AO81" s="586">
        <v>0</v>
      </c>
      <c r="AP81" s="586">
        <v>0</v>
      </c>
      <c r="AQ81" s="586">
        <v>0</v>
      </c>
      <c r="AR81" s="586">
        <v>0</v>
      </c>
      <c r="AS81" s="586">
        <v>0</v>
      </c>
      <c r="AT81" s="586">
        <v>0</v>
      </c>
      <c r="AU81" s="586">
        <v>0</v>
      </c>
      <c r="AV81" s="586">
        <v>0</v>
      </c>
      <c r="AW81" s="586">
        <v>0</v>
      </c>
      <c r="AX81" s="586">
        <v>0</v>
      </c>
      <c r="AY81" s="586">
        <v>0</v>
      </c>
      <c r="AZ81" s="586">
        <v>0</v>
      </c>
      <c r="BA81" s="586">
        <v>0</v>
      </c>
      <c r="BB81" s="586">
        <v>0</v>
      </c>
      <c r="BC81" s="586">
        <v>0</v>
      </c>
      <c r="BE81" s="987">
        <f t="shared" si="229"/>
        <v>0</v>
      </c>
    </row>
    <row r="82" spans="2:57" s="227" customFormat="1" outlineLevel="1">
      <c r="B82" s="587"/>
      <c r="C82" s="574">
        <v>46174</v>
      </c>
      <c r="D82" s="586">
        <v>0</v>
      </c>
      <c r="E82" s="586">
        <v>0</v>
      </c>
      <c r="F82" s="586">
        <v>0</v>
      </c>
      <c r="G82" s="586">
        <v>0</v>
      </c>
      <c r="H82" s="586">
        <v>0</v>
      </c>
      <c r="I82" s="586">
        <v>0</v>
      </c>
      <c r="J82" s="586">
        <v>0</v>
      </c>
      <c r="K82" s="586">
        <v>0</v>
      </c>
      <c r="L82" s="586">
        <v>0</v>
      </c>
      <c r="M82" s="586">
        <v>0</v>
      </c>
      <c r="N82" s="586">
        <v>0</v>
      </c>
      <c r="O82" s="586">
        <v>0</v>
      </c>
      <c r="P82" s="586">
        <v>0</v>
      </c>
      <c r="Q82" s="586">
        <v>0</v>
      </c>
      <c r="R82" s="586">
        <v>0</v>
      </c>
      <c r="S82" s="586">
        <v>0</v>
      </c>
      <c r="T82" s="586">
        <v>0</v>
      </c>
      <c r="U82" s="586">
        <v>0</v>
      </c>
      <c r="V82" s="586">
        <v>0</v>
      </c>
      <c r="W82" s="586">
        <v>0</v>
      </c>
      <c r="X82" s="586">
        <v>0</v>
      </c>
      <c r="Y82" s="586">
        <v>0</v>
      </c>
      <c r="Z82" s="586">
        <v>0</v>
      </c>
      <c r="AA82" s="586">
        <v>0</v>
      </c>
      <c r="AB82" s="586">
        <v>0</v>
      </c>
      <c r="AC82" s="586">
        <v>0</v>
      </c>
      <c r="AD82" s="586">
        <v>0</v>
      </c>
      <c r="AE82" s="586">
        <v>0</v>
      </c>
      <c r="AF82" s="586">
        <v>0</v>
      </c>
      <c r="AG82" s="586">
        <v>0</v>
      </c>
      <c r="AH82" s="586">
        <v>0</v>
      </c>
      <c r="AI82" s="586">
        <v>0</v>
      </c>
      <c r="AJ82" s="586">
        <v>0</v>
      </c>
      <c r="AK82" s="586">
        <v>0</v>
      </c>
      <c r="AL82" s="586">
        <v>0</v>
      </c>
      <c r="AM82" s="586">
        <v>0</v>
      </c>
      <c r="AN82" s="586">
        <v>0</v>
      </c>
      <c r="AO82" s="586">
        <v>0</v>
      </c>
      <c r="AP82" s="586">
        <v>0</v>
      </c>
      <c r="AQ82" s="586">
        <v>0</v>
      </c>
      <c r="AR82" s="586">
        <v>0</v>
      </c>
      <c r="AS82" s="586">
        <v>0</v>
      </c>
      <c r="AT82" s="586">
        <v>0</v>
      </c>
      <c r="AU82" s="586">
        <v>0</v>
      </c>
      <c r="AV82" s="586">
        <v>0</v>
      </c>
      <c r="AW82" s="586">
        <v>0</v>
      </c>
      <c r="AX82" s="586">
        <v>0</v>
      </c>
      <c r="AY82" s="586">
        <v>0</v>
      </c>
      <c r="AZ82" s="586">
        <v>0</v>
      </c>
      <c r="BA82" s="586">
        <v>0</v>
      </c>
      <c r="BB82" s="586">
        <v>0</v>
      </c>
      <c r="BC82" s="586">
        <v>0</v>
      </c>
      <c r="BE82" s="987">
        <f t="shared" si="229"/>
        <v>0</v>
      </c>
    </row>
    <row r="83" spans="2:57" s="227" customFormat="1" outlineLevel="1">
      <c r="B83" s="587"/>
      <c r="C83" s="574">
        <v>46204</v>
      </c>
      <c r="D83" s="586">
        <v>0</v>
      </c>
      <c r="E83" s="586">
        <v>0</v>
      </c>
      <c r="F83" s="586">
        <v>0</v>
      </c>
      <c r="G83" s="586">
        <v>0</v>
      </c>
      <c r="H83" s="586">
        <v>0</v>
      </c>
      <c r="I83" s="586">
        <v>0</v>
      </c>
      <c r="J83" s="586">
        <v>0</v>
      </c>
      <c r="K83" s="586">
        <v>0</v>
      </c>
      <c r="L83" s="586">
        <v>0</v>
      </c>
      <c r="M83" s="586">
        <v>0</v>
      </c>
      <c r="N83" s="586">
        <v>0</v>
      </c>
      <c r="O83" s="586">
        <v>0</v>
      </c>
      <c r="P83" s="586">
        <v>0</v>
      </c>
      <c r="Q83" s="586">
        <v>0</v>
      </c>
      <c r="R83" s="586">
        <v>0</v>
      </c>
      <c r="S83" s="586">
        <v>0</v>
      </c>
      <c r="T83" s="586">
        <v>0</v>
      </c>
      <c r="U83" s="586">
        <v>0</v>
      </c>
      <c r="V83" s="586">
        <v>0</v>
      </c>
      <c r="W83" s="586">
        <v>0</v>
      </c>
      <c r="X83" s="586">
        <v>0</v>
      </c>
      <c r="Y83" s="586">
        <v>0</v>
      </c>
      <c r="Z83" s="586">
        <v>0</v>
      </c>
      <c r="AA83" s="586">
        <v>0</v>
      </c>
      <c r="AB83" s="586">
        <v>0</v>
      </c>
      <c r="AC83" s="586">
        <v>0</v>
      </c>
      <c r="AD83" s="586">
        <v>0</v>
      </c>
      <c r="AE83" s="586">
        <v>0</v>
      </c>
      <c r="AF83" s="586">
        <v>0</v>
      </c>
      <c r="AG83" s="586">
        <v>0</v>
      </c>
      <c r="AH83" s="586">
        <v>0</v>
      </c>
      <c r="AI83" s="586">
        <v>0</v>
      </c>
      <c r="AJ83" s="586">
        <v>0</v>
      </c>
      <c r="AK83" s="586">
        <v>0</v>
      </c>
      <c r="AL83" s="586">
        <v>0</v>
      </c>
      <c r="AM83" s="586">
        <v>0</v>
      </c>
      <c r="AN83" s="586">
        <v>0</v>
      </c>
      <c r="AO83" s="586">
        <v>0</v>
      </c>
      <c r="AP83" s="586">
        <v>0</v>
      </c>
      <c r="AQ83" s="586">
        <v>0</v>
      </c>
      <c r="AR83" s="586">
        <v>0</v>
      </c>
      <c r="AS83" s="586">
        <v>0</v>
      </c>
      <c r="AT83" s="586">
        <v>0</v>
      </c>
      <c r="AU83" s="586">
        <v>0</v>
      </c>
      <c r="AV83" s="586">
        <v>0</v>
      </c>
      <c r="AW83" s="586">
        <v>0</v>
      </c>
      <c r="AX83" s="586">
        <v>0</v>
      </c>
      <c r="AY83" s="586">
        <v>0</v>
      </c>
      <c r="AZ83" s="586">
        <v>0</v>
      </c>
      <c r="BA83" s="586">
        <v>0</v>
      </c>
      <c r="BB83" s="586">
        <v>0</v>
      </c>
      <c r="BC83" s="586">
        <v>0</v>
      </c>
      <c r="BE83" s="987">
        <f t="shared" si="229"/>
        <v>0</v>
      </c>
    </row>
    <row r="84" spans="2:57" s="227" customFormat="1" outlineLevel="1">
      <c r="B84" s="587"/>
      <c r="C84" s="574">
        <v>46235</v>
      </c>
      <c r="D84" s="586">
        <v>0</v>
      </c>
      <c r="E84" s="586">
        <v>0</v>
      </c>
      <c r="F84" s="586">
        <v>0</v>
      </c>
      <c r="G84" s="586">
        <v>0</v>
      </c>
      <c r="H84" s="586">
        <v>0</v>
      </c>
      <c r="I84" s="586">
        <v>0</v>
      </c>
      <c r="J84" s="586">
        <v>0</v>
      </c>
      <c r="K84" s="586">
        <v>0</v>
      </c>
      <c r="L84" s="586">
        <v>0</v>
      </c>
      <c r="M84" s="586">
        <v>0</v>
      </c>
      <c r="N84" s="586">
        <v>0</v>
      </c>
      <c r="O84" s="586">
        <v>0</v>
      </c>
      <c r="P84" s="586">
        <v>0</v>
      </c>
      <c r="Q84" s="586">
        <v>0</v>
      </c>
      <c r="R84" s="586">
        <v>0</v>
      </c>
      <c r="S84" s="586">
        <v>0</v>
      </c>
      <c r="T84" s="586">
        <v>0</v>
      </c>
      <c r="U84" s="586">
        <v>0</v>
      </c>
      <c r="V84" s="586">
        <v>0</v>
      </c>
      <c r="W84" s="586">
        <v>0</v>
      </c>
      <c r="X84" s="586">
        <v>0</v>
      </c>
      <c r="Y84" s="586">
        <v>0</v>
      </c>
      <c r="Z84" s="586">
        <v>0</v>
      </c>
      <c r="AA84" s="586">
        <v>0</v>
      </c>
      <c r="AB84" s="586">
        <v>0</v>
      </c>
      <c r="AC84" s="586">
        <v>0</v>
      </c>
      <c r="AD84" s="586">
        <v>0</v>
      </c>
      <c r="AE84" s="586">
        <v>0</v>
      </c>
      <c r="AF84" s="586">
        <v>0</v>
      </c>
      <c r="AG84" s="586">
        <v>0</v>
      </c>
      <c r="AH84" s="586">
        <v>0</v>
      </c>
      <c r="AI84" s="586">
        <v>0</v>
      </c>
      <c r="AJ84" s="586">
        <v>0</v>
      </c>
      <c r="AK84" s="586">
        <v>0</v>
      </c>
      <c r="AL84" s="586">
        <v>0</v>
      </c>
      <c r="AM84" s="586">
        <v>0</v>
      </c>
      <c r="AN84" s="586">
        <v>0</v>
      </c>
      <c r="AO84" s="586">
        <v>0</v>
      </c>
      <c r="AP84" s="586">
        <v>0</v>
      </c>
      <c r="AQ84" s="586">
        <v>0</v>
      </c>
      <c r="AR84" s="586">
        <v>0</v>
      </c>
      <c r="AS84" s="586">
        <v>0</v>
      </c>
      <c r="AT84" s="586">
        <v>0</v>
      </c>
      <c r="AU84" s="586">
        <v>0</v>
      </c>
      <c r="AV84" s="586">
        <v>0</v>
      </c>
      <c r="AW84" s="586">
        <v>0</v>
      </c>
      <c r="AX84" s="586">
        <v>0</v>
      </c>
      <c r="AY84" s="586">
        <v>0</v>
      </c>
      <c r="AZ84" s="586">
        <v>0</v>
      </c>
      <c r="BA84" s="586">
        <v>0</v>
      </c>
      <c r="BB84" s="586">
        <v>0</v>
      </c>
      <c r="BC84" s="586">
        <v>0</v>
      </c>
      <c r="BE84" s="987">
        <f t="shared" si="229"/>
        <v>0</v>
      </c>
    </row>
    <row r="85" spans="2:57" s="227" customFormat="1" outlineLevel="1">
      <c r="B85" s="587"/>
      <c r="C85" s="574">
        <v>46266</v>
      </c>
      <c r="D85" s="586">
        <v>0</v>
      </c>
      <c r="E85" s="586">
        <v>0</v>
      </c>
      <c r="F85" s="586">
        <v>0</v>
      </c>
      <c r="G85" s="586">
        <v>0</v>
      </c>
      <c r="H85" s="586">
        <v>0</v>
      </c>
      <c r="I85" s="586">
        <v>0</v>
      </c>
      <c r="J85" s="586">
        <v>0</v>
      </c>
      <c r="K85" s="586">
        <v>0</v>
      </c>
      <c r="L85" s="586">
        <v>0</v>
      </c>
      <c r="M85" s="586">
        <v>0</v>
      </c>
      <c r="N85" s="586">
        <v>0</v>
      </c>
      <c r="O85" s="586">
        <v>0</v>
      </c>
      <c r="P85" s="586">
        <v>0</v>
      </c>
      <c r="Q85" s="586">
        <v>0</v>
      </c>
      <c r="R85" s="586">
        <v>0</v>
      </c>
      <c r="S85" s="586">
        <v>0</v>
      </c>
      <c r="T85" s="586">
        <v>0</v>
      </c>
      <c r="U85" s="586">
        <v>0</v>
      </c>
      <c r="V85" s="586">
        <v>0</v>
      </c>
      <c r="W85" s="586">
        <v>0</v>
      </c>
      <c r="X85" s="586">
        <v>0</v>
      </c>
      <c r="Y85" s="586">
        <v>0</v>
      </c>
      <c r="Z85" s="586">
        <v>0</v>
      </c>
      <c r="AA85" s="586">
        <v>0</v>
      </c>
      <c r="AB85" s="586">
        <v>0</v>
      </c>
      <c r="AC85" s="586">
        <v>0</v>
      </c>
      <c r="AD85" s="586">
        <v>0</v>
      </c>
      <c r="AE85" s="586">
        <v>0</v>
      </c>
      <c r="AF85" s="586">
        <v>0</v>
      </c>
      <c r="AG85" s="586">
        <v>0</v>
      </c>
      <c r="AH85" s="586">
        <v>0</v>
      </c>
      <c r="AI85" s="586">
        <v>0</v>
      </c>
      <c r="AJ85" s="586">
        <v>0</v>
      </c>
      <c r="AK85" s="586">
        <v>0</v>
      </c>
      <c r="AL85" s="586">
        <v>0</v>
      </c>
      <c r="AM85" s="586">
        <v>0</v>
      </c>
      <c r="AN85" s="586">
        <v>0</v>
      </c>
      <c r="AO85" s="586">
        <v>0</v>
      </c>
      <c r="AP85" s="586">
        <v>0</v>
      </c>
      <c r="AQ85" s="586">
        <v>0</v>
      </c>
      <c r="AR85" s="586">
        <v>0</v>
      </c>
      <c r="AS85" s="586">
        <v>0</v>
      </c>
      <c r="AT85" s="586">
        <v>0</v>
      </c>
      <c r="AU85" s="586">
        <v>0</v>
      </c>
      <c r="AV85" s="586">
        <v>0</v>
      </c>
      <c r="AW85" s="586">
        <v>0</v>
      </c>
      <c r="AX85" s="586">
        <v>0</v>
      </c>
      <c r="AY85" s="586">
        <v>0</v>
      </c>
      <c r="AZ85" s="586">
        <v>0</v>
      </c>
      <c r="BA85" s="586">
        <v>0</v>
      </c>
      <c r="BB85" s="586">
        <v>0</v>
      </c>
      <c r="BC85" s="586">
        <v>0</v>
      </c>
      <c r="BE85" s="987">
        <f t="shared" si="229"/>
        <v>0</v>
      </c>
    </row>
    <row r="86" spans="2:57" s="227" customFormat="1" outlineLevel="1">
      <c r="B86" s="587"/>
      <c r="C86" s="574">
        <v>46296</v>
      </c>
      <c r="D86" s="586">
        <v>0</v>
      </c>
      <c r="E86" s="586">
        <v>0</v>
      </c>
      <c r="F86" s="586">
        <v>0</v>
      </c>
      <c r="G86" s="586">
        <v>0</v>
      </c>
      <c r="H86" s="586">
        <v>0</v>
      </c>
      <c r="I86" s="586">
        <v>0</v>
      </c>
      <c r="J86" s="586">
        <v>0</v>
      </c>
      <c r="K86" s="586">
        <v>0</v>
      </c>
      <c r="L86" s="586">
        <v>0</v>
      </c>
      <c r="M86" s="586">
        <v>0</v>
      </c>
      <c r="N86" s="586">
        <v>0</v>
      </c>
      <c r="O86" s="586">
        <v>0</v>
      </c>
      <c r="P86" s="586">
        <v>0</v>
      </c>
      <c r="Q86" s="586">
        <v>0</v>
      </c>
      <c r="R86" s="586">
        <v>0</v>
      </c>
      <c r="S86" s="586">
        <v>0</v>
      </c>
      <c r="T86" s="586">
        <v>0</v>
      </c>
      <c r="U86" s="586">
        <v>0</v>
      </c>
      <c r="V86" s="586">
        <v>0</v>
      </c>
      <c r="W86" s="586">
        <v>0</v>
      </c>
      <c r="X86" s="586">
        <v>0</v>
      </c>
      <c r="Y86" s="586">
        <v>0</v>
      </c>
      <c r="Z86" s="586">
        <v>0</v>
      </c>
      <c r="AA86" s="586">
        <v>0</v>
      </c>
      <c r="AB86" s="586">
        <v>0</v>
      </c>
      <c r="AC86" s="586">
        <v>0</v>
      </c>
      <c r="AD86" s="586">
        <v>0</v>
      </c>
      <c r="AE86" s="586">
        <v>0</v>
      </c>
      <c r="AF86" s="586">
        <v>0</v>
      </c>
      <c r="AG86" s="586">
        <v>0</v>
      </c>
      <c r="AH86" s="586">
        <v>0</v>
      </c>
      <c r="AI86" s="586">
        <v>0</v>
      </c>
      <c r="AJ86" s="586">
        <v>0</v>
      </c>
      <c r="AK86" s="586">
        <v>0</v>
      </c>
      <c r="AL86" s="586">
        <v>0</v>
      </c>
      <c r="AM86" s="586">
        <v>0</v>
      </c>
      <c r="AN86" s="586">
        <v>0</v>
      </c>
      <c r="AO86" s="586">
        <v>0</v>
      </c>
      <c r="AP86" s="586">
        <v>0</v>
      </c>
      <c r="AQ86" s="586">
        <v>0</v>
      </c>
      <c r="AR86" s="586">
        <v>0</v>
      </c>
      <c r="AS86" s="586">
        <v>0</v>
      </c>
      <c r="AT86" s="586">
        <v>0</v>
      </c>
      <c r="AU86" s="586">
        <v>0</v>
      </c>
      <c r="AV86" s="586">
        <v>0</v>
      </c>
      <c r="AW86" s="586">
        <v>0</v>
      </c>
      <c r="AX86" s="586">
        <v>0</v>
      </c>
      <c r="AY86" s="586">
        <v>0</v>
      </c>
      <c r="AZ86" s="586">
        <v>0</v>
      </c>
      <c r="BA86" s="586">
        <v>0</v>
      </c>
      <c r="BB86" s="586">
        <v>0</v>
      </c>
      <c r="BC86" s="586">
        <v>0</v>
      </c>
      <c r="BE86" s="987">
        <f t="shared" si="229"/>
        <v>0</v>
      </c>
    </row>
    <row r="87" spans="2:57" s="227" customFormat="1" outlineLevel="1">
      <c r="B87" s="587"/>
      <c r="C87" s="574">
        <v>46327</v>
      </c>
      <c r="D87" s="586">
        <v>0</v>
      </c>
      <c r="E87" s="586">
        <v>0</v>
      </c>
      <c r="F87" s="586">
        <v>0</v>
      </c>
      <c r="G87" s="586">
        <v>0</v>
      </c>
      <c r="H87" s="586">
        <v>0</v>
      </c>
      <c r="I87" s="586">
        <v>0</v>
      </c>
      <c r="J87" s="586">
        <v>0</v>
      </c>
      <c r="K87" s="586">
        <v>0</v>
      </c>
      <c r="L87" s="586">
        <v>0</v>
      </c>
      <c r="M87" s="586">
        <v>0</v>
      </c>
      <c r="N87" s="586">
        <v>0</v>
      </c>
      <c r="O87" s="586">
        <v>0</v>
      </c>
      <c r="P87" s="586">
        <v>0</v>
      </c>
      <c r="Q87" s="586">
        <v>0</v>
      </c>
      <c r="R87" s="586">
        <v>0</v>
      </c>
      <c r="S87" s="586">
        <v>0</v>
      </c>
      <c r="T87" s="586">
        <v>0</v>
      </c>
      <c r="U87" s="586">
        <v>0</v>
      </c>
      <c r="V87" s="586">
        <v>0</v>
      </c>
      <c r="W87" s="586">
        <v>0</v>
      </c>
      <c r="X87" s="586">
        <v>0</v>
      </c>
      <c r="Y87" s="586">
        <v>0</v>
      </c>
      <c r="Z87" s="586">
        <v>0</v>
      </c>
      <c r="AA87" s="586">
        <v>0</v>
      </c>
      <c r="AB87" s="586">
        <v>0</v>
      </c>
      <c r="AC87" s="586">
        <v>0</v>
      </c>
      <c r="AD87" s="586">
        <v>0</v>
      </c>
      <c r="AE87" s="586">
        <v>0</v>
      </c>
      <c r="AF87" s="586">
        <v>0</v>
      </c>
      <c r="AG87" s="586">
        <v>0</v>
      </c>
      <c r="AH87" s="586">
        <v>0</v>
      </c>
      <c r="AI87" s="586">
        <v>0</v>
      </c>
      <c r="AJ87" s="586">
        <v>0</v>
      </c>
      <c r="AK87" s="586">
        <v>0</v>
      </c>
      <c r="AL87" s="586">
        <v>0</v>
      </c>
      <c r="AM87" s="586">
        <v>0</v>
      </c>
      <c r="AN87" s="586">
        <v>0</v>
      </c>
      <c r="AO87" s="586">
        <v>0</v>
      </c>
      <c r="AP87" s="586">
        <v>0</v>
      </c>
      <c r="AQ87" s="586">
        <v>0</v>
      </c>
      <c r="AR87" s="586">
        <v>0</v>
      </c>
      <c r="AS87" s="586">
        <v>0</v>
      </c>
      <c r="AT87" s="586">
        <v>0</v>
      </c>
      <c r="AU87" s="586">
        <v>0</v>
      </c>
      <c r="AV87" s="586">
        <v>0</v>
      </c>
      <c r="AW87" s="586">
        <v>0</v>
      </c>
      <c r="AX87" s="586">
        <v>0</v>
      </c>
      <c r="AY87" s="586">
        <v>0</v>
      </c>
      <c r="AZ87" s="586">
        <v>0</v>
      </c>
      <c r="BA87" s="586">
        <v>0</v>
      </c>
      <c r="BB87" s="586">
        <v>0</v>
      </c>
      <c r="BC87" s="586">
        <v>0</v>
      </c>
      <c r="BE87" s="987">
        <f t="shared" si="229"/>
        <v>0</v>
      </c>
    </row>
    <row r="88" spans="2:57" s="227" customFormat="1" outlineLevel="1">
      <c r="B88" s="588"/>
      <c r="C88" s="566">
        <v>46357</v>
      </c>
      <c r="D88" s="589">
        <v>0</v>
      </c>
      <c r="E88" s="589">
        <v>0</v>
      </c>
      <c r="F88" s="589">
        <v>0</v>
      </c>
      <c r="G88" s="589">
        <v>0</v>
      </c>
      <c r="H88" s="589">
        <v>0</v>
      </c>
      <c r="I88" s="589">
        <v>0</v>
      </c>
      <c r="J88" s="589">
        <v>0</v>
      </c>
      <c r="K88" s="589">
        <v>0</v>
      </c>
      <c r="L88" s="589">
        <v>0</v>
      </c>
      <c r="M88" s="589">
        <v>0</v>
      </c>
      <c r="N88" s="589">
        <v>0</v>
      </c>
      <c r="O88" s="589">
        <v>0</v>
      </c>
      <c r="P88" s="589">
        <v>0</v>
      </c>
      <c r="Q88" s="589">
        <v>0</v>
      </c>
      <c r="R88" s="589">
        <v>0</v>
      </c>
      <c r="S88" s="589">
        <v>0</v>
      </c>
      <c r="T88" s="589">
        <v>0</v>
      </c>
      <c r="U88" s="589">
        <v>0</v>
      </c>
      <c r="V88" s="589">
        <v>0</v>
      </c>
      <c r="W88" s="589">
        <v>0</v>
      </c>
      <c r="X88" s="589">
        <v>0</v>
      </c>
      <c r="Y88" s="589">
        <v>0</v>
      </c>
      <c r="Z88" s="589">
        <v>0</v>
      </c>
      <c r="AA88" s="589">
        <v>0</v>
      </c>
      <c r="AB88" s="589">
        <v>0</v>
      </c>
      <c r="AC88" s="589">
        <v>0</v>
      </c>
      <c r="AD88" s="589">
        <v>0</v>
      </c>
      <c r="AE88" s="589">
        <v>0</v>
      </c>
      <c r="AF88" s="589">
        <v>0</v>
      </c>
      <c r="AG88" s="589">
        <v>0</v>
      </c>
      <c r="AH88" s="589">
        <v>0</v>
      </c>
      <c r="AI88" s="589">
        <v>0</v>
      </c>
      <c r="AJ88" s="589">
        <v>0</v>
      </c>
      <c r="AK88" s="589">
        <v>0</v>
      </c>
      <c r="AL88" s="589">
        <v>0</v>
      </c>
      <c r="AM88" s="589">
        <v>0</v>
      </c>
      <c r="AN88" s="589">
        <v>0</v>
      </c>
      <c r="AO88" s="589">
        <v>0</v>
      </c>
      <c r="AP88" s="589">
        <v>0</v>
      </c>
      <c r="AQ88" s="589">
        <v>0</v>
      </c>
      <c r="AR88" s="589">
        <v>0</v>
      </c>
      <c r="AS88" s="589">
        <v>0</v>
      </c>
      <c r="AT88" s="589">
        <v>0</v>
      </c>
      <c r="AU88" s="589">
        <v>0</v>
      </c>
      <c r="AV88" s="589">
        <v>0</v>
      </c>
      <c r="AW88" s="589">
        <v>0</v>
      </c>
      <c r="AX88" s="589">
        <v>0</v>
      </c>
      <c r="AY88" s="589">
        <v>0</v>
      </c>
      <c r="AZ88" s="589">
        <v>0</v>
      </c>
      <c r="BA88" s="589">
        <v>0</v>
      </c>
      <c r="BB88" s="589">
        <v>0</v>
      </c>
      <c r="BC88" s="589">
        <v>0</v>
      </c>
      <c r="BE88" s="988">
        <f t="shared" si="229"/>
        <v>0</v>
      </c>
    </row>
    <row r="89" spans="2:57" s="227" customFormat="1" outlineLevel="1">
      <c r="B89" s="590"/>
      <c r="C89" s="591" t="s">
        <v>890</v>
      </c>
      <c r="D89" s="592">
        <f t="shared" ref="D89:Z89" si="230">AVERAGE(D76:D88)</f>
        <v>0</v>
      </c>
      <c r="E89" s="592">
        <f t="shared" si="230"/>
        <v>0</v>
      </c>
      <c r="F89" s="592">
        <f t="shared" si="230"/>
        <v>0</v>
      </c>
      <c r="G89" s="592">
        <f t="shared" si="230"/>
        <v>0</v>
      </c>
      <c r="H89" s="592">
        <f t="shared" si="230"/>
        <v>0</v>
      </c>
      <c r="I89" s="592">
        <f t="shared" si="230"/>
        <v>0</v>
      </c>
      <c r="J89" s="592">
        <f t="shared" si="230"/>
        <v>0</v>
      </c>
      <c r="K89" s="592">
        <f t="shared" si="230"/>
        <v>0</v>
      </c>
      <c r="L89" s="592">
        <f t="shared" si="230"/>
        <v>0</v>
      </c>
      <c r="M89" s="592">
        <f t="shared" si="230"/>
        <v>0</v>
      </c>
      <c r="N89" s="592">
        <f t="shared" si="230"/>
        <v>0</v>
      </c>
      <c r="O89" s="592">
        <f t="shared" si="230"/>
        <v>0</v>
      </c>
      <c r="P89" s="592">
        <f t="shared" si="230"/>
        <v>0</v>
      </c>
      <c r="Q89" s="592">
        <f t="shared" si="230"/>
        <v>0</v>
      </c>
      <c r="R89" s="592">
        <f t="shared" si="230"/>
        <v>0</v>
      </c>
      <c r="S89" s="592">
        <f t="shared" si="230"/>
        <v>0</v>
      </c>
      <c r="T89" s="592">
        <f t="shared" si="230"/>
        <v>0</v>
      </c>
      <c r="U89" s="592">
        <f t="shared" si="230"/>
        <v>0</v>
      </c>
      <c r="V89" s="592">
        <f t="shared" si="230"/>
        <v>0</v>
      </c>
      <c r="W89" s="592">
        <f t="shared" si="230"/>
        <v>0</v>
      </c>
      <c r="X89" s="592">
        <f t="shared" si="230"/>
        <v>0</v>
      </c>
      <c r="Y89" s="592">
        <f t="shared" si="230"/>
        <v>0</v>
      </c>
      <c r="Z89" s="592">
        <f t="shared" si="230"/>
        <v>0</v>
      </c>
      <c r="AA89" s="592">
        <f t="shared" ref="AA89:BE89" si="231">AVERAGE(AA76:AA88)</f>
        <v>0</v>
      </c>
      <c r="AB89" s="592">
        <f t="shared" si="231"/>
        <v>0</v>
      </c>
      <c r="AC89" s="592">
        <f t="shared" si="231"/>
        <v>0</v>
      </c>
      <c r="AD89" s="592">
        <f t="shared" si="231"/>
        <v>0</v>
      </c>
      <c r="AE89" s="592">
        <f t="shared" si="231"/>
        <v>0</v>
      </c>
      <c r="AF89" s="592">
        <f t="shared" si="231"/>
        <v>0</v>
      </c>
      <c r="AG89" s="592">
        <f>AVERAGE(AG76:AG88)</f>
        <v>0</v>
      </c>
      <c r="AH89" s="592">
        <f>AVERAGE(AH76:AH88)</f>
        <v>0</v>
      </c>
      <c r="AI89" s="592">
        <f>AVERAGE(AI76:AI88)</f>
        <v>0</v>
      </c>
      <c r="AJ89" s="592">
        <f t="shared" si="231"/>
        <v>0</v>
      </c>
      <c r="AK89" s="592">
        <f t="shared" si="231"/>
        <v>0</v>
      </c>
      <c r="AL89" s="592">
        <f t="shared" ref="AL89:AP89" si="232">AVERAGE(AL76:AL88)</f>
        <v>0</v>
      </c>
      <c r="AM89" s="592">
        <f t="shared" si="232"/>
        <v>0</v>
      </c>
      <c r="AN89" s="592">
        <f t="shared" si="232"/>
        <v>0</v>
      </c>
      <c r="AO89" s="592">
        <f t="shared" si="232"/>
        <v>0</v>
      </c>
      <c r="AP89" s="592">
        <f t="shared" si="232"/>
        <v>0</v>
      </c>
      <c r="AQ89" s="592">
        <f t="shared" ref="AQ89:AW89" si="233">AVERAGE(AQ76:AQ88)</f>
        <v>0</v>
      </c>
      <c r="AR89" s="592">
        <f t="shared" si="233"/>
        <v>0</v>
      </c>
      <c r="AS89" s="592">
        <f t="shared" si="233"/>
        <v>0</v>
      </c>
      <c r="AT89" s="592">
        <f t="shared" si="233"/>
        <v>0</v>
      </c>
      <c r="AU89" s="592">
        <f t="shared" si="233"/>
        <v>0</v>
      </c>
      <c r="AV89" s="592">
        <f t="shared" si="233"/>
        <v>0</v>
      </c>
      <c r="AW89" s="592">
        <f t="shared" si="233"/>
        <v>0</v>
      </c>
      <c r="AX89" s="592">
        <f t="shared" ref="AX89:BA89" si="234">AVERAGE(AX76:AX88)</f>
        <v>0</v>
      </c>
      <c r="AY89" s="592">
        <f t="shared" si="234"/>
        <v>0</v>
      </c>
      <c r="AZ89" s="592">
        <f t="shared" si="234"/>
        <v>0</v>
      </c>
      <c r="BA89" s="592">
        <f t="shared" si="234"/>
        <v>0</v>
      </c>
      <c r="BB89" s="592">
        <f t="shared" ref="BB89:BC89" si="235">AVERAGE(BB76:BB88)</f>
        <v>0</v>
      </c>
      <c r="BC89" s="592">
        <f t="shared" si="235"/>
        <v>0</v>
      </c>
      <c r="BE89" s="592">
        <f t="shared" si="231"/>
        <v>0</v>
      </c>
    </row>
    <row r="90" spans="2:57" s="227" customFormat="1" outlineLevel="1">
      <c r="C90" s="583"/>
      <c r="D90" s="593"/>
      <c r="E90" s="593"/>
      <c r="F90" s="593"/>
      <c r="G90" s="593"/>
      <c r="H90" s="593"/>
      <c r="I90" s="593"/>
      <c r="J90" s="593"/>
      <c r="K90" s="593"/>
      <c r="L90" s="594"/>
      <c r="M90" s="593"/>
      <c r="N90" s="593"/>
      <c r="O90" s="593"/>
      <c r="P90" s="593"/>
      <c r="Q90" s="594"/>
      <c r="R90" s="593"/>
      <c r="S90" s="594"/>
      <c r="T90" s="593"/>
      <c r="U90" s="594"/>
      <c r="V90" s="593"/>
      <c r="W90" s="594"/>
      <c r="X90" s="593"/>
      <c r="Y90" s="594"/>
      <c r="Z90" s="593"/>
      <c r="AA90" s="594"/>
      <c r="AB90" s="593"/>
      <c r="AC90" s="594"/>
      <c r="AD90" s="593"/>
      <c r="AE90" s="593"/>
      <c r="AF90" s="593"/>
      <c r="AG90" s="593"/>
      <c r="AH90" s="593"/>
      <c r="AI90" s="593"/>
      <c r="AJ90" s="593"/>
      <c r="AK90" s="593"/>
      <c r="AL90" s="593"/>
      <c r="AM90" s="593"/>
      <c r="AN90" s="593"/>
      <c r="AO90" s="593"/>
      <c r="AP90" s="593"/>
      <c r="AQ90" s="593"/>
      <c r="AR90" s="593"/>
      <c r="AS90" s="593"/>
      <c r="AT90" s="593"/>
      <c r="AU90" s="593"/>
      <c r="AV90" s="593"/>
      <c r="AW90" s="593"/>
      <c r="AX90" s="593"/>
      <c r="AY90" s="593"/>
      <c r="AZ90" s="593"/>
      <c r="BA90" s="593"/>
      <c r="BB90" s="593"/>
      <c r="BC90" s="593"/>
    </row>
    <row r="91" spans="2:57" s="227" customFormat="1" outlineLevel="1">
      <c r="B91" s="559" t="s">
        <v>1053</v>
      </c>
      <c r="C91" s="560">
        <v>45992</v>
      </c>
      <c r="D91" s="564">
        <v>141489622.5</v>
      </c>
      <c r="E91" s="564">
        <v>88185651.480000004</v>
      </c>
      <c r="F91" s="564">
        <v>140831065.20999998</v>
      </c>
      <c r="G91" s="564">
        <v>8744623.370000001</v>
      </c>
      <c r="H91" s="564">
        <v>1259092.6949999998</v>
      </c>
      <c r="I91" s="564">
        <v>1964606.76</v>
      </c>
      <c r="J91" s="564">
        <v>14404.654999999999</v>
      </c>
      <c r="K91" s="564">
        <v>313645.66500000004</v>
      </c>
      <c r="L91" s="564">
        <v>14480989.640000001</v>
      </c>
      <c r="M91" s="564">
        <v>120152855.73999999</v>
      </c>
      <c r="N91" s="564">
        <v>25747209.859999999</v>
      </c>
      <c r="O91" s="564">
        <v>26280956.880000003</v>
      </c>
      <c r="P91" s="564">
        <v>226582493.37</v>
      </c>
      <c r="Q91" s="564">
        <v>7445003.0549999997</v>
      </c>
      <c r="R91" s="564">
        <v>19801267.055</v>
      </c>
      <c r="S91" s="564">
        <v>8380624.4950000001</v>
      </c>
      <c r="T91" s="564">
        <v>6619943.8700000001</v>
      </c>
      <c r="U91" s="564">
        <v>2664959.21</v>
      </c>
      <c r="V91" s="564">
        <v>216107.64499999999</v>
      </c>
      <c r="W91" s="564">
        <v>52197.684999999998</v>
      </c>
      <c r="X91" s="564">
        <v>7276440.8300000001</v>
      </c>
      <c r="Y91" s="564">
        <v>539931.54499999993</v>
      </c>
      <c r="Z91" s="564">
        <v>2437256.5649999999</v>
      </c>
      <c r="AA91" s="564">
        <v>3367348.1750000003</v>
      </c>
      <c r="AB91" s="564">
        <v>6319203.1500000004</v>
      </c>
      <c r="AC91" s="564">
        <v>66596.285000000003</v>
      </c>
      <c r="AD91" s="564">
        <v>182733.29</v>
      </c>
      <c r="AE91" s="564">
        <v>108109.07999999999</v>
      </c>
      <c r="AF91" s="564">
        <v>1612837.5950000002</v>
      </c>
      <c r="AG91" s="564">
        <v>237889.26500000001</v>
      </c>
      <c r="AH91" s="564">
        <v>4540500.3250000002</v>
      </c>
      <c r="AI91" s="564">
        <v>22439.57</v>
      </c>
      <c r="AJ91" s="564">
        <v>637853.9</v>
      </c>
      <c r="AK91" s="564">
        <v>42758.51</v>
      </c>
      <c r="AL91" s="564">
        <v>2950549.8450000002</v>
      </c>
      <c r="AM91" s="564">
        <v>1253009.645</v>
      </c>
      <c r="AN91" s="564">
        <v>3277291.2050000001</v>
      </c>
      <c r="AO91" s="564">
        <v>502255.58</v>
      </c>
      <c r="AP91" s="564">
        <v>2806960.2150000003</v>
      </c>
      <c r="AQ91" s="564">
        <v>0</v>
      </c>
      <c r="AR91" s="564">
        <v>7490843.4649999999</v>
      </c>
      <c r="AS91" s="564">
        <v>16492424.640000001</v>
      </c>
      <c r="AT91" s="564">
        <v>152679.815</v>
      </c>
      <c r="AU91" s="564">
        <v>0</v>
      </c>
      <c r="AV91" s="564">
        <v>3370694.6399999997</v>
      </c>
      <c r="AW91" s="564">
        <v>4411060.5599999996</v>
      </c>
      <c r="AX91" s="564">
        <v>0</v>
      </c>
      <c r="AY91" s="564">
        <v>0</v>
      </c>
      <c r="AZ91" s="564">
        <v>0</v>
      </c>
      <c r="BA91" s="564">
        <v>0</v>
      </c>
      <c r="BB91" s="564">
        <v>0</v>
      </c>
      <c r="BC91" s="564">
        <v>0</v>
      </c>
      <c r="BE91" s="986">
        <f>SUM(D91:BD91)</f>
        <v>911326988.53499997</v>
      </c>
    </row>
    <row r="92" spans="2:57" s="227" customFormat="1" outlineLevel="1">
      <c r="B92" s="587"/>
      <c r="C92" s="572">
        <v>46023</v>
      </c>
      <c r="D92" s="573">
        <v>141489622.5</v>
      </c>
      <c r="E92" s="573">
        <v>88185651.480000004</v>
      </c>
      <c r="F92" s="573">
        <v>140831065.20999998</v>
      </c>
      <c r="G92" s="573">
        <v>8744623.370000001</v>
      </c>
      <c r="H92" s="573">
        <v>1259092.6949999998</v>
      </c>
      <c r="I92" s="573">
        <v>1964606.76</v>
      </c>
      <c r="J92" s="573">
        <v>14404.654999999999</v>
      </c>
      <c r="K92" s="573">
        <v>313645.66500000004</v>
      </c>
      <c r="L92" s="573">
        <v>14480989.640000001</v>
      </c>
      <c r="M92" s="573">
        <v>120152855.73999999</v>
      </c>
      <c r="N92" s="573">
        <v>25747209.859999999</v>
      </c>
      <c r="O92" s="573">
        <v>26280956.880000003</v>
      </c>
      <c r="P92" s="573">
        <v>226582493.37</v>
      </c>
      <c r="Q92" s="573">
        <v>7445003.0549999997</v>
      </c>
      <c r="R92" s="573">
        <v>19801267.055</v>
      </c>
      <c r="S92" s="573">
        <v>8380624.4950000001</v>
      </c>
      <c r="T92" s="573">
        <v>6619943.8700000001</v>
      </c>
      <c r="U92" s="573">
        <v>2664959.21</v>
      </c>
      <c r="V92" s="573">
        <v>216107.64499999999</v>
      </c>
      <c r="W92" s="573">
        <v>52197.684999999998</v>
      </c>
      <c r="X92" s="573">
        <v>7276440.8300000001</v>
      </c>
      <c r="Y92" s="573">
        <v>539931.54499999993</v>
      </c>
      <c r="Z92" s="573">
        <v>2437256.5649999999</v>
      </c>
      <c r="AA92" s="573">
        <v>3367348.1750000003</v>
      </c>
      <c r="AB92" s="573">
        <v>6319203.1500000004</v>
      </c>
      <c r="AC92" s="573">
        <v>66596.285000000003</v>
      </c>
      <c r="AD92" s="573">
        <v>182733.29</v>
      </c>
      <c r="AE92" s="573">
        <v>108109.07999999999</v>
      </c>
      <c r="AF92" s="573">
        <v>1612837.5950000002</v>
      </c>
      <c r="AG92" s="573">
        <v>237889.26500000001</v>
      </c>
      <c r="AH92" s="573">
        <v>4540500.3250000002</v>
      </c>
      <c r="AI92" s="573">
        <v>22439.57</v>
      </c>
      <c r="AJ92" s="573">
        <v>637853.9</v>
      </c>
      <c r="AK92" s="573">
        <v>42758.51</v>
      </c>
      <c r="AL92" s="573">
        <v>2950549.8450000002</v>
      </c>
      <c r="AM92" s="573">
        <v>1253009.645</v>
      </c>
      <c r="AN92" s="573">
        <v>3277291.2050000001</v>
      </c>
      <c r="AO92" s="573">
        <v>502255.58</v>
      </c>
      <c r="AP92" s="573">
        <v>2806960.2150000003</v>
      </c>
      <c r="AQ92" s="573">
        <v>0</v>
      </c>
      <c r="AR92" s="573">
        <v>7490843.4649999999</v>
      </c>
      <c r="AS92" s="573">
        <v>16492424.640000001</v>
      </c>
      <c r="AT92" s="573">
        <v>152679.815</v>
      </c>
      <c r="AU92" s="573">
        <v>0</v>
      </c>
      <c r="AV92" s="573">
        <v>3370694.6399999997</v>
      </c>
      <c r="AW92" s="573">
        <v>4411060.5599999996</v>
      </c>
      <c r="AX92" s="573">
        <v>0</v>
      </c>
      <c r="AY92" s="573">
        <v>0</v>
      </c>
      <c r="AZ92" s="573">
        <v>0</v>
      </c>
      <c r="BA92" s="573">
        <v>0</v>
      </c>
      <c r="BB92" s="573">
        <v>0</v>
      </c>
      <c r="BC92" s="573">
        <v>0</v>
      </c>
      <c r="BE92" s="987">
        <f t="shared" ref="BE92:BE103" si="236">SUM(D92:BD92)</f>
        <v>911326988.53499997</v>
      </c>
    </row>
    <row r="93" spans="2:57" s="227" customFormat="1" outlineLevel="1">
      <c r="B93" s="587"/>
      <c r="C93" s="574">
        <v>46054</v>
      </c>
      <c r="D93" s="573">
        <v>141489622.5</v>
      </c>
      <c r="E93" s="573">
        <v>88185651.480000004</v>
      </c>
      <c r="F93" s="573">
        <v>140831065.20999998</v>
      </c>
      <c r="G93" s="573">
        <v>8744623.370000001</v>
      </c>
      <c r="H93" s="573">
        <v>1259092.6949999998</v>
      </c>
      <c r="I93" s="573">
        <v>1964606.76</v>
      </c>
      <c r="J93" s="573">
        <v>14404.654999999999</v>
      </c>
      <c r="K93" s="573">
        <v>313645.66500000004</v>
      </c>
      <c r="L93" s="573">
        <v>14480989.640000001</v>
      </c>
      <c r="M93" s="573">
        <v>120152855.73999999</v>
      </c>
      <c r="N93" s="573">
        <v>25747209.859999999</v>
      </c>
      <c r="O93" s="573">
        <v>26280956.880000003</v>
      </c>
      <c r="P93" s="573">
        <v>226582493.37</v>
      </c>
      <c r="Q93" s="573">
        <v>7445003.0549999997</v>
      </c>
      <c r="R93" s="573">
        <v>19801267.055</v>
      </c>
      <c r="S93" s="573">
        <v>8380624.4950000001</v>
      </c>
      <c r="T93" s="573">
        <v>6619943.8700000001</v>
      </c>
      <c r="U93" s="573">
        <v>2664959.21</v>
      </c>
      <c r="V93" s="573">
        <v>216107.64499999999</v>
      </c>
      <c r="W93" s="573">
        <v>52197.684999999998</v>
      </c>
      <c r="X93" s="573">
        <v>7276440.8300000001</v>
      </c>
      <c r="Y93" s="573">
        <v>539931.54499999993</v>
      </c>
      <c r="Z93" s="573">
        <v>2437256.5649999999</v>
      </c>
      <c r="AA93" s="573">
        <v>3367348.1750000003</v>
      </c>
      <c r="AB93" s="573">
        <v>6319203.1500000004</v>
      </c>
      <c r="AC93" s="573">
        <v>66596.285000000003</v>
      </c>
      <c r="AD93" s="573">
        <v>182733.29</v>
      </c>
      <c r="AE93" s="573">
        <v>108109.07999999999</v>
      </c>
      <c r="AF93" s="573">
        <v>1612837.5950000002</v>
      </c>
      <c r="AG93" s="573">
        <v>237889.26500000001</v>
      </c>
      <c r="AH93" s="573">
        <v>4540500.3250000002</v>
      </c>
      <c r="AI93" s="573">
        <v>22439.57</v>
      </c>
      <c r="AJ93" s="573">
        <v>637853.9</v>
      </c>
      <c r="AK93" s="573">
        <v>42758.51</v>
      </c>
      <c r="AL93" s="573">
        <v>2950549.8450000002</v>
      </c>
      <c r="AM93" s="573">
        <v>1253009.645</v>
      </c>
      <c r="AN93" s="573">
        <v>3277291.2050000001</v>
      </c>
      <c r="AO93" s="573">
        <v>502255.58</v>
      </c>
      <c r="AP93" s="573">
        <v>2806960.2150000003</v>
      </c>
      <c r="AQ93" s="573">
        <v>0</v>
      </c>
      <c r="AR93" s="573">
        <v>7490843.4649999999</v>
      </c>
      <c r="AS93" s="573">
        <v>16492424.640000001</v>
      </c>
      <c r="AT93" s="573">
        <v>152679.815</v>
      </c>
      <c r="AU93" s="573">
        <v>0</v>
      </c>
      <c r="AV93" s="573">
        <v>3370694.6399999997</v>
      </c>
      <c r="AW93" s="573">
        <v>4411060.5599999996</v>
      </c>
      <c r="AX93" s="573">
        <v>0</v>
      </c>
      <c r="AY93" s="573">
        <v>0</v>
      </c>
      <c r="AZ93" s="573">
        <v>0</v>
      </c>
      <c r="BA93" s="573">
        <v>0</v>
      </c>
      <c r="BB93" s="573">
        <v>0</v>
      </c>
      <c r="BC93" s="573">
        <v>0</v>
      </c>
      <c r="BE93" s="987">
        <f t="shared" si="236"/>
        <v>911326988.53499997</v>
      </c>
    </row>
    <row r="94" spans="2:57" s="227" customFormat="1" outlineLevel="1">
      <c r="B94" s="587"/>
      <c r="C94" s="574">
        <v>46082</v>
      </c>
      <c r="D94" s="573">
        <v>141489622.5</v>
      </c>
      <c r="E94" s="573">
        <v>88185651.480000004</v>
      </c>
      <c r="F94" s="573">
        <v>140831065.20999998</v>
      </c>
      <c r="G94" s="573">
        <v>8744623.370000001</v>
      </c>
      <c r="H94" s="573">
        <v>1259092.6949999998</v>
      </c>
      <c r="I94" s="573">
        <v>1964606.76</v>
      </c>
      <c r="J94" s="573">
        <v>14404.654999999999</v>
      </c>
      <c r="K94" s="573">
        <v>313645.66500000004</v>
      </c>
      <c r="L94" s="573">
        <v>14480989.640000001</v>
      </c>
      <c r="M94" s="573">
        <v>120152855.73999999</v>
      </c>
      <c r="N94" s="573">
        <v>25747209.859999999</v>
      </c>
      <c r="O94" s="573">
        <v>26280956.880000003</v>
      </c>
      <c r="P94" s="573">
        <v>226582493.37</v>
      </c>
      <c r="Q94" s="573">
        <v>7445003.0549999997</v>
      </c>
      <c r="R94" s="573">
        <v>19801267.055</v>
      </c>
      <c r="S94" s="573">
        <v>8380624.4950000001</v>
      </c>
      <c r="T94" s="573">
        <v>6619943.8700000001</v>
      </c>
      <c r="U94" s="573">
        <v>2664959.21</v>
      </c>
      <c r="V94" s="573">
        <v>216107.64499999999</v>
      </c>
      <c r="W94" s="573">
        <v>52197.684999999998</v>
      </c>
      <c r="X94" s="573">
        <v>7276440.8300000001</v>
      </c>
      <c r="Y94" s="573">
        <v>539931.54499999993</v>
      </c>
      <c r="Z94" s="573">
        <v>2437256.5649999999</v>
      </c>
      <c r="AA94" s="573">
        <v>3367348.1750000003</v>
      </c>
      <c r="AB94" s="573">
        <v>6319203.1500000004</v>
      </c>
      <c r="AC94" s="573">
        <v>66596.285000000003</v>
      </c>
      <c r="AD94" s="573">
        <v>182733.29</v>
      </c>
      <c r="AE94" s="573">
        <v>108109.07999999999</v>
      </c>
      <c r="AF94" s="573">
        <v>1612837.5950000002</v>
      </c>
      <c r="AG94" s="573">
        <v>237889.26500000001</v>
      </c>
      <c r="AH94" s="573">
        <v>4540500.3250000002</v>
      </c>
      <c r="AI94" s="573">
        <v>22439.57</v>
      </c>
      <c r="AJ94" s="573">
        <v>637853.9</v>
      </c>
      <c r="AK94" s="573">
        <v>42758.51</v>
      </c>
      <c r="AL94" s="573">
        <v>2950549.8450000002</v>
      </c>
      <c r="AM94" s="573">
        <v>1253009.645</v>
      </c>
      <c r="AN94" s="573">
        <v>3277291.2050000001</v>
      </c>
      <c r="AO94" s="573">
        <v>502255.58</v>
      </c>
      <c r="AP94" s="573">
        <v>2806960.2150000003</v>
      </c>
      <c r="AQ94" s="573">
        <v>0</v>
      </c>
      <c r="AR94" s="573">
        <v>7490843.4649999999</v>
      </c>
      <c r="AS94" s="573">
        <v>16492424.640000001</v>
      </c>
      <c r="AT94" s="573">
        <v>152679.815</v>
      </c>
      <c r="AU94" s="573">
        <v>0</v>
      </c>
      <c r="AV94" s="573">
        <v>3370694.6399999997</v>
      </c>
      <c r="AW94" s="573">
        <v>4411060.5599999996</v>
      </c>
      <c r="AX94" s="573">
        <v>0</v>
      </c>
      <c r="AY94" s="573">
        <v>0</v>
      </c>
      <c r="AZ94" s="573">
        <v>0</v>
      </c>
      <c r="BA94" s="573">
        <v>0</v>
      </c>
      <c r="BB94" s="573">
        <v>0</v>
      </c>
      <c r="BC94" s="573">
        <v>0</v>
      </c>
      <c r="BE94" s="987">
        <f t="shared" si="236"/>
        <v>911326988.53499997</v>
      </c>
    </row>
    <row r="95" spans="2:57" s="227" customFormat="1" outlineLevel="1">
      <c r="B95" s="587"/>
      <c r="C95" s="574">
        <v>46113</v>
      </c>
      <c r="D95" s="573">
        <v>141489622.5</v>
      </c>
      <c r="E95" s="573">
        <v>88185651.480000004</v>
      </c>
      <c r="F95" s="573">
        <v>140831065.20999998</v>
      </c>
      <c r="G95" s="573">
        <v>8744623.370000001</v>
      </c>
      <c r="H95" s="573">
        <v>1259092.6949999998</v>
      </c>
      <c r="I95" s="573">
        <v>1964606.76</v>
      </c>
      <c r="J95" s="573">
        <v>14404.654999999999</v>
      </c>
      <c r="K95" s="573">
        <v>313645.66500000004</v>
      </c>
      <c r="L95" s="573">
        <v>14480989.640000001</v>
      </c>
      <c r="M95" s="573">
        <v>120152855.73999999</v>
      </c>
      <c r="N95" s="573">
        <v>25747209.859999999</v>
      </c>
      <c r="O95" s="573">
        <v>26280956.880000003</v>
      </c>
      <c r="P95" s="573">
        <v>226582493.37</v>
      </c>
      <c r="Q95" s="573">
        <v>7445003.0549999997</v>
      </c>
      <c r="R95" s="573">
        <v>19801267.055</v>
      </c>
      <c r="S95" s="573">
        <v>8380624.4950000001</v>
      </c>
      <c r="T95" s="573">
        <v>6619943.8700000001</v>
      </c>
      <c r="U95" s="573">
        <v>2664959.21</v>
      </c>
      <c r="V95" s="573">
        <v>216107.64499999999</v>
      </c>
      <c r="W95" s="573">
        <v>52197.684999999998</v>
      </c>
      <c r="X95" s="573">
        <v>7276440.8300000001</v>
      </c>
      <c r="Y95" s="573">
        <v>539931.54499999993</v>
      </c>
      <c r="Z95" s="573">
        <v>2437256.5649999999</v>
      </c>
      <c r="AA95" s="573">
        <v>3367348.1750000003</v>
      </c>
      <c r="AB95" s="573">
        <v>6319203.1500000004</v>
      </c>
      <c r="AC95" s="573">
        <v>66596.285000000003</v>
      </c>
      <c r="AD95" s="573">
        <v>182733.29</v>
      </c>
      <c r="AE95" s="573">
        <v>108109.07999999999</v>
      </c>
      <c r="AF95" s="573">
        <v>1612837.5950000002</v>
      </c>
      <c r="AG95" s="573">
        <v>237889.26500000001</v>
      </c>
      <c r="AH95" s="573">
        <v>4540500.3250000002</v>
      </c>
      <c r="AI95" s="573">
        <v>22439.57</v>
      </c>
      <c r="AJ95" s="573">
        <v>637853.9</v>
      </c>
      <c r="AK95" s="573">
        <v>42758.51</v>
      </c>
      <c r="AL95" s="573">
        <v>2950549.8450000002</v>
      </c>
      <c r="AM95" s="573">
        <v>1253009.645</v>
      </c>
      <c r="AN95" s="573">
        <v>3277291.2050000001</v>
      </c>
      <c r="AO95" s="573">
        <v>502255.58</v>
      </c>
      <c r="AP95" s="573">
        <v>2806960.2150000003</v>
      </c>
      <c r="AQ95" s="573">
        <v>0</v>
      </c>
      <c r="AR95" s="573">
        <v>7490843.4649999999</v>
      </c>
      <c r="AS95" s="573">
        <v>16492424.640000001</v>
      </c>
      <c r="AT95" s="573">
        <v>152679.815</v>
      </c>
      <c r="AU95" s="573">
        <v>0</v>
      </c>
      <c r="AV95" s="573">
        <v>3370694.6399999997</v>
      </c>
      <c r="AW95" s="573">
        <v>4411060.5599999996</v>
      </c>
      <c r="AX95" s="573">
        <v>0</v>
      </c>
      <c r="AY95" s="573">
        <v>0</v>
      </c>
      <c r="AZ95" s="573">
        <v>0</v>
      </c>
      <c r="BA95" s="573">
        <v>0</v>
      </c>
      <c r="BB95" s="573">
        <v>0</v>
      </c>
      <c r="BC95" s="573">
        <v>0</v>
      </c>
      <c r="BE95" s="987">
        <f t="shared" si="236"/>
        <v>911326988.53499997</v>
      </c>
    </row>
    <row r="96" spans="2:57" s="227" customFormat="1" outlineLevel="1">
      <c r="B96" s="587"/>
      <c r="C96" s="574">
        <v>46143</v>
      </c>
      <c r="D96" s="573">
        <v>141489622.5</v>
      </c>
      <c r="E96" s="573">
        <v>88185651.480000004</v>
      </c>
      <c r="F96" s="573">
        <v>140831065.20999998</v>
      </c>
      <c r="G96" s="573">
        <v>8744623.370000001</v>
      </c>
      <c r="H96" s="573">
        <v>1259092.6949999998</v>
      </c>
      <c r="I96" s="573">
        <v>1964606.76</v>
      </c>
      <c r="J96" s="573">
        <v>14404.654999999999</v>
      </c>
      <c r="K96" s="573">
        <v>313645.66500000004</v>
      </c>
      <c r="L96" s="573">
        <v>14480989.640000001</v>
      </c>
      <c r="M96" s="573">
        <v>120152855.73999999</v>
      </c>
      <c r="N96" s="573">
        <v>25747209.859999999</v>
      </c>
      <c r="O96" s="573">
        <v>26280956.880000003</v>
      </c>
      <c r="P96" s="573">
        <v>226582493.37</v>
      </c>
      <c r="Q96" s="573">
        <v>7445003.0549999997</v>
      </c>
      <c r="R96" s="573">
        <v>19801267.055</v>
      </c>
      <c r="S96" s="573">
        <v>8380624.4950000001</v>
      </c>
      <c r="T96" s="573">
        <v>6619943.8700000001</v>
      </c>
      <c r="U96" s="573">
        <v>2664959.21</v>
      </c>
      <c r="V96" s="573">
        <v>216107.64499999999</v>
      </c>
      <c r="W96" s="573">
        <v>52197.684999999998</v>
      </c>
      <c r="X96" s="573">
        <v>7276440.8300000001</v>
      </c>
      <c r="Y96" s="573">
        <v>539931.54499999993</v>
      </c>
      <c r="Z96" s="573">
        <v>2437256.5649999999</v>
      </c>
      <c r="AA96" s="573">
        <v>3367348.1750000003</v>
      </c>
      <c r="AB96" s="573">
        <v>6319203.1500000004</v>
      </c>
      <c r="AC96" s="573">
        <v>66596.285000000003</v>
      </c>
      <c r="AD96" s="573">
        <v>182733.29</v>
      </c>
      <c r="AE96" s="573">
        <v>108109.07999999999</v>
      </c>
      <c r="AF96" s="573">
        <v>1612837.5950000002</v>
      </c>
      <c r="AG96" s="573">
        <v>237889.26500000001</v>
      </c>
      <c r="AH96" s="573">
        <v>4540500.3250000002</v>
      </c>
      <c r="AI96" s="573">
        <v>22439.57</v>
      </c>
      <c r="AJ96" s="573">
        <v>637853.9</v>
      </c>
      <c r="AK96" s="573">
        <v>42758.51</v>
      </c>
      <c r="AL96" s="573">
        <v>2950549.8450000002</v>
      </c>
      <c r="AM96" s="573">
        <v>1253009.645</v>
      </c>
      <c r="AN96" s="573">
        <v>3277291.2050000001</v>
      </c>
      <c r="AO96" s="573">
        <v>502255.58</v>
      </c>
      <c r="AP96" s="573">
        <v>2806960.2150000003</v>
      </c>
      <c r="AQ96" s="573">
        <v>0</v>
      </c>
      <c r="AR96" s="573">
        <v>7490843.4649999999</v>
      </c>
      <c r="AS96" s="573">
        <v>16492424.640000001</v>
      </c>
      <c r="AT96" s="573">
        <v>152679.815</v>
      </c>
      <c r="AU96" s="573">
        <v>0</v>
      </c>
      <c r="AV96" s="573">
        <v>3370694.6399999997</v>
      </c>
      <c r="AW96" s="573">
        <v>4411060.5599999996</v>
      </c>
      <c r="AX96" s="573">
        <v>0</v>
      </c>
      <c r="AY96" s="573">
        <v>0</v>
      </c>
      <c r="AZ96" s="573">
        <v>0</v>
      </c>
      <c r="BA96" s="573">
        <v>0</v>
      </c>
      <c r="BB96" s="573">
        <v>0</v>
      </c>
      <c r="BC96" s="573">
        <v>0</v>
      </c>
      <c r="BE96" s="987">
        <f t="shared" si="236"/>
        <v>911326988.53499997</v>
      </c>
    </row>
    <row r="97" spans="2:57" s="227" customFormat="1" outlineLevel="1">
      <c r="B97" s="587"/>
      <c r="C97" s="574">
        <v>46174</v>
      </c>
      <c r="D97" s="573">
        <v>141489622.5</v>
      </c>
      <c r="E97" s="573">
        <v>88185651.480000004</v>
      </c>
      <c r="F97" s="573">
        <v>140831065.20999998</v>
      </c>
      <c r="G97" s="573">
        <v>8744623.370000001</v>
      </c>
      <c r="H97" s="573">
        <v>1259092.6949999998</v>
      </c>
      <c r="I97" s="573">
        <v>1964606.76</v>
      </c>
      <c r="J97" s="573">
        <v>14404.654999999999</v>
      </c>
      <c r="K97" s="573">
        <v>313645.66500000004</v>
      </c>
      <c r="L97" s="573">
        <v>14480989.640000001</v>
      </c>
      <c r="M97" s="573">
        <v>120152855.73999999</v>
      </c>
      <c r="N97" s="573">
        <v>25747209.859999999</v>
      </c>
      <c r="O97" s="573">
        <v>26280956.880000003</v>
      </c>
      <c r="P97" s="573">
        <v>226582493.37</v>
      </c>
      <c r="Q97" s="573">
        <v>7445003.0549999997</v>
      </c>
      <c r="R97" s="573">
        <v>19801267.055</v>
      </c>
      <c r="S97" s="573">
        <v>8380624.4950000001</v>
      </c>
      <c r="T97" s="573">
        <v>6619943.8700000001</v>
      </c>
      <c r="U97" s="573">
        <v>2664959.21</v>
      </c>
      <c r="V97" s="573">
        <v>216107.64499999999</v>
      </c>
      <c r="W97" s="573">
        <v>52197.684999999998</v>
      </c>
      <c r="X97" s="573">
        <v>7276440.8300000001</v>
      </c>
      <c r="Y97" s="573">
        <v>539931.54499999993</v>
      </c>
      <c r="Z97" s="573">
        <v>2437256.5649999999</v>
      </c>
      <c r="AA97" s="573">
        <v>3367348.1750000003</v>
      </c>
      <c r="AB97" s="573">
        <v>6319203.1500000004</v>
      </c>
      <c r="AC97" s="573">
        <v>66596.285000000003</v>
      </c>
      <c r="AD97" s="573">
        <v>182733.29</v>
      </c>
      <c r="AE97" s="573">
        <v>108109.07999999999</v>
      </c>
      <c r="AF97" s="573">
        <v>1612837.5950000002</v>
      </c>
      <c r="AG97" s="573">
        <v>237889.26500000001</v>
      </c>
      <c r="AH97" s="573">
        <v>4540500.3250000002</v>
      </c>
      <c r="AI97" s="573">
        <v>22439.57</v>
      </c>
      <c r="AJ97" s="573">
        <v>637853.9</v>
      </c>
      <c r="AK97" s="573">
        <v>42758.51</v>
      </c>
      <c r="AL97" s="573">
        <v>2950549.8450000002</v>
      </c>
      <c r="AM97" s="573">
        <v>1253009.645</v>
      </c>
      <c r="AN97" s="573">
        <v>3277291.2050000001</v>
      </c>
      <c r="AO97" s="573">
        <v>502255.58</v>
      </c>
      <c r="AP97" s="573">
        <v>2806960.2150000003</v>
      </c>
      <c r="AQ97" s="573">
        <v>0</v>
      </c>
      <c r="AR97" s="573">
        <v>7490843.4649999999</v>
      </c>
      <c r="AS97" s="573">
        <v>16492424.640000001</v>
      </c>
      <c r="AT97" s="573">
        <v>152679.815</v>
      </c>
      <c r="AU97" s="573">
        <v>0</v>
      </c>
      <c r="AV97" s="573">
        <v>3370694.6399999997</v>
      </c>
      <c r="AW97" s="573">
        <v>4411060.5599999996</v>
      </c>
      <c r="AX97" s="573">
        <v>0</v>
      </c>
      <c r="AY97" s="573">
        <v>0</v>
      </c>
      <c r="AZ97" s="573">
        <v>0</v>
      </c>
      <c r="BA97" s="573">
        <v>0</v>
      </c>
      <c r="BB97" s="573">
        <v>0</v>
      </c>
      <c r="BC97" s="573">
        <v>0</v>
      </c>
      <c r="BE97" s="987">
        <f t="shared" si="236"/>
        <v>911326988.53499997</v>
      </c>
    </row>
    <row r="98" spans="2:57" s="227" customFormat="1" outlineLevel="1">
      <c r="B98" s="587"/>
      <c r="C98" s="574">
        <v>46204</v>
      </c>
      <c r="D98" s="573">
        <v>141489622.5</v>
      </c>
      <c r="E98" s="573">
        <v>88185651.480000004</v>
      </c>
      <c r="F98" s="573">
        <v>140831065.20999998</v>
      </c>
      <c r="G98" s="573">
        <v>8744623.370000001</v>
      </c>
      <c r="H98" s="573">
        <v>1259092.6949999998</v>
      </c>
      <c r="I98" s="573">
        <v>1964606.76</v>
      </c>
      <c r="J98" s="573">
        <v>14404.654999999999</v>
      </c>
      <c r="K98" s="573">
        <v>313645.66500000004</v>
      </c>
      <c r="L98" s="573">
        <v>14480989.640000001</v>
      </c>
      <c r="M98" s="573">
        <v>120152855.73999999</v>
      </c>
      <c r="N98" s="573">
        <v>25747209.859999999</v>
      </c>
      <c r="O98" s="573">
        <v>26280956.880000003</v>
      </c>
      <c r="P98" s="573">
        <v>226582493.37</v>
      </c>
      <c r="Q98" s="573">
        <v>7445003.0549999997</v>
      </c>
      <c r="R98" s="573">
        <v>19801267.055</v>
      </c>
      <c r="S98" s="573">
        <v>8380624.4950000001</v>
      </c>
      <c r="T98" s="573">
        <v>6619943.8700000001</v>
      </c>
      <c r="U98" s="573">
        <v>2664959.21</v>
      </c>
      <c r="V98" s="573">
        <v>216107.64499999999</v>
      </c>
      <c r="W98" s="573">
        <v>52197.684999999998</v>
      </c>
      <c r="X98" s="573">
        <v>7276440.8300000001</v>
      </c>
      <c r="Y98" s="573">
        <v>539931.54499999993</v>
      </c>
      <c r="Z98" s="573">
        <v>2437256.5649999999</v>
      </c>
      <c r="AA98" s="573">
        <v>3367348.1750000003</v>
      </c>
      <c r="AB98" s="573">
        <v>6319203.1500000004</v>
      </c>
      <c r="AC98" s="573">
        <v>66596.285000000003</v>
      </c>
      <c r="AD98" s="573">
        <v>182733.29</v>
      </c>
      <c r="AE98" s="573">
        <v>108109.07999999999</v>
      </c>
      <c r="AF98" s="573">
        <v>1612837.5950000002</v>
      </c>
      <c r="AG98" s="573">
        <v>237889.26500000001</v>
      </c>
      <c r="AH98" s="573">
        <v>4540500.3250000002</v>
      </c>
      <c r="AI98" s="573">
        <v>22439.57</v>
      </c>
      <c r="AJ98" s="573">
        <v>637853.9</v>
      </c>
      <c r="AK98" s="573">
        <v>42758.51</v>
      </c>
      <c r="AL98" s="573">
        <v>2950549.8450000002</v>
      </c>
      <c r="AM98" s="573">
        <v>1253009.645</v>
      </c>
      <c r="AN98" s="573">
        <v>3277291.2050000001</v>
      </c>
      <c r="AO98" s="573">
        <v>502255.58</v>
      </c>
      <c r="AP98" s="573">
        <v>2806960.2150000003</v>
      </c>
      <c r="AQ98" s="573">
        <v>0</v>
      </c>
      <c r="AR98" s="573">
        <v>7490843.4649999999</v>
      </c>
      <c r="AS98" s="573">
        <v>16492424.640000001</v>
      </c>
      <c r="AT98" s="573">
        <v>152679.815</v>
      </c>
      <c r="AU98" s="573">
        <v>0</v>
      </c>
      <c r="AV98" s="573">
        <v>3370694.6399999997</v>
      </c>
      <c r="AW98" s="573">
        <v>4411060.5599999996</v>
      </c>
      <c r="AX98" s="573">
        <v>0</v>
      </c>
      <c r="AY98" s="573">
        <v>0</v>
      </c>
      <c r="AZ98" s="573">
        <v>0</v>
      </c>
      <c r="BA98" s="573">
        <v>0</v>
      </c>
      <c r="BB98" s="573">
        <v>0</v>
      </c>
      <c r="BC98" s="573">
        <v>0</v>
      </c>
      <c r="BE98" s="987">
        <f t="shared" si="236"/>
        <v>911326988.53499997</v>
      </c>
    </row>
    <row r="99" spans="2:57" s="227" customFormat="1" outlineLevel="1">
      <c r="B99" s="587"/>
      <c r="C99" s="574">
        <v>46235</v>
      </c>
      <c r="D99" s="573">
        <v>141489622.5</v>
      </c>
      <c r="E99" s="573">
        <v>88185651.480000004</v>
      </c>
      <c r="F99" s="573">
        <v>140831065.20999998</v>
      </c>
      <c r="G99" s="573">
        <v>8744623.370000001</v>
      </c>
      <c r="H99" s="573">
        <v>1259092.6949999998</v>
      </c>
      <c r="I99" s="573">
        <v>1964606.76</v>
      </c>
      <c r="J99" s="573">
        <v>14404.654999999999</v>
      </c>
      <c r="K99" s="573">
        <v>313645.66500000004</v>
      </c>
      <c r="L99" s="573">
        <v>14480989.640000001</v>
      </c>
      <c r="M99" s="573">
        <v>120152855.73999999</v>
      </c>
      <c r="N99" s="573">
        <v>25747209.859999999</v>
      </c>
      <c r="O99" s="573">
        <v>26280956.880000003</v>
      </c>
      <c r="P99" s="573">
        <v>226582493.37</v>
      </c>
      <c r="Q99" s="573">
        <v>7445003.0549999997</v>
      </c>
      <c r="R99" s="573">
        <v>19801267.055</v>
      </c>
      <c r="S99" s="573">
        <v>8380624.4950000001</v>
      </c>
      <c r="T99" s="573">
        <v>6619943.8700000001</v>
      </c>
      <c r="U99" s="573">
        <v>2664959.21</v>
      </c>
      <c r="V99" s="573">
        <v>216107.64499999999</v>
      </c>
      <c r="W99" s="573">
        <v>52197.684999999998</v>
      </c>
      <c r="X99" s="573">
        <v>7276440.8300000001</v>
      </c>
      <c r="Y99" s="573">
        <v>539931.54499999993</v>
      </c>
      <c r="Z99" s="573">
        <v>2437256.5649999999</v>
      </c>
      <c r="AA99" s="573">
        <v>3367348.1750000003</v>
      </c>
      <c r="AB99" s="573">
        <v>6319203.1500000004</v>
      </c>
      <c r="AC99" s="573">
        <v>66596.285000000003</v>
      </c>
      <c r="AD99" s="573">
        <v>182733.29</v>
      </c>
      <c r="AE99" s="573">
        <v>108109.07999999999</v>
      </c>
      <c r="AF99" s="573">
        <v>1612837.5950000002</v>
      </c>
      <c r="AG99" s="573">
        <v>237889.26500000001</v>
      </c>
      <c r="AH99" s="573">
        <v>4540500.3250000002</v>
      </c>
      <c r="AI99" s="573">
        <v>22439.57</v>
      </c>
      <c r="AJ99" s="573">
        <v>637853.9</v>
      </c>
      <c r="AK99" s="573">
        <v>42758.51</v>
      </c>
      <c r="AL99" s="573">
        <v>2950549.8450000002</v>
      </c>
      <c r="AM99" s="573">
        <v>1253009.645</v>
      </c>
      <c r="AN99" s="573">
        <v>3277291.2050000001</v>
      </c>
      <c r="AO99" s="573">
        <v>502255.58</v>
      </c>
      <c r="AP99" s="573">
        <v>2806960.2150000003</v>
      </c>
      <c r="AQ99" s="573">
        <v>0</v>
      </c>
      <c r="AR99" s="573">
        <v>7490843.4649999999</v>
      </c>
      <c r="AS99" s="573">
        <v>16492424.640000001</v>
      </c>
      <c r="AT99" s="573">
        <v>152679.815</v>
      </c>
      <c r="AU99" s="573">
        <v>0</v>
      </c>
      <c r="AV99" s="573">
        <v>3370694.6399999997</v>
      </c>
      <c r="AW99" s="573">
        <v>4411060.5599999996</v>
      </c>
      <c r="AX99" s="573">
        <v>0</v>
      </c>
      <c r="AY99" s="573">
        <v>0</v>
      </c>
      <c r="AZ99" s="573">
        <v>0</v>
      </c>
      <c r="BA99" s="573">
        <v>0</v>
      </c>
      <c r="BB99" s="573">
        <v>0</v>
      </c>
      <c r="BC99" s="573">
        <v>0</v>
      </c>
      <c r="BE99" s="987">
        <f t="shared" si="236"/>
        <v>911326988.53499997</v>
      </c>
    </row>
    <row r="100" spans="2:57" s="227" customFormat="1" outlineLevel="1">
      <c r="B100" s="587"/>
      <c r="C100" s="574">
        <v>46266</v>
      </c>
      <c r="D100" s="573">
        <v>141489622.5</v>
      </c>
      <c r="E100" s="573">
        <v>88185651.480000004</v>
      </c>
      <c r="F100" s="573">
        <v>140831065.20999998</v>
      </c>
      <c r="G100" s="573">
        <v>8744623.370000001</v>
      </c>
      <c r="H100" s="573">
        <v>1259092.6949999998</v>
      </c>
      <c r="I100" s="573">
        <v>1964606.76</v>
      </c>
      <c r="J100" s="573">
        <v>14404.654999999999</v>
      </c>
      <c r="K100" s="573">
        <v>313645.66500000004</v>
      </c>
      <c r="L100" s="573">
        <v>14480989.640000001</v>
      </c>
      <c r="M100" s="573">
        <v>120152855.73999999</v>
      </c>
      <c r="N100" s="573">
        <v>25747209.859999999</v>
      </c>
      <c r="O100" s="573">
        <v>26280956.880000003</v>
      </c>
      <c r="P100" s="573">
        <v>226582493.37</v>
      </c>
      <c r="Q100" s="573">
        <v>7445003.0549999997</v>
      </c>
      <c r="R100" s="573">
        <v>19801267.055</v>
      </c>
      <c r="S100" s="573">
        <v>8380624.4950000001</v>
      </c>
      <c r="T100" s="573">
        <v>6619943.8700000001</v>
      </c>
      <c r="U100" s="573">
        <v>2664959.21</v>
      </c>
      <c r="V100" s="573">
        <v>216107.64499999999</v>
      </c>
      <c r="W100" s="573">
        <v>52197.684999999998</v>
      </c>
      <c r="X100" s="573">
        <v>7276440.8300000001</v>
      </c>
      <c r="Y100" s="573">
        <v>539931.54499999993</v>
      </c>
      <c r="Z100" s="573">
        <v>2437256.5649999999</v>
      </c>
      <c r="AA100" s="573">
        <v>3367348.1750000003</v>
      </c>
      <c r="AB100" s="573">
        <v>6319203.1500000004</v>
      </c>
      <c r="AC100" s="573">
        <v>66596.285000000003</v>
      </c>
      <c r="AD100" s="573">
        <v>182733.29</v>
      </c>
      <c r="AE100" s="573">
        <v>108109.07999999999</v>
      </c>
      <c r="AF100" s="573">
        <v>1612837.5950000002</v>
      </c>
      <c r="AG100" s="573">
        <v>237889.26500000001</v>
      </c>
      <c r="AH100" s="573">
        <v>4540500.3250000002</v>
      </c>
      <c r="AI100" s="573">
        <v>22439.57</v>
      </c>
      <c r="AJ100" s="573">
        <v>637853.9</v>
      </c>
      <c r="AK100" s="573">
        <v>42758.51</v>
      </c>
      <c r="AL100" s="573">
        <v>2950549.8450000002</v>
      </c>
      <c r="AM100" s="573">
        <v>1253009.645</v>
      </c>
      <c r="AN100" s="573">
        <v>3277291.2050000001</v>
      </c>
      <c r="AO100" s="573">
        <v>502255.58</v>
      </c>
      <c r="AP100" s="573">
        <v>2806960.2150000003</v>
      </c>
      <c r="AQ100" s="573">
        <v>0</v>
      </c>
      <c r="AR100" s="573">
        <v>7490843.4649999999</v>
      </c>
      <c r="AS100" s="573">
        <v>16492424.640000001</v>
      </c>
      <c r="AT100" s="573">
        <v>152679.815</v>
      </c>
      <c r="AU100" s="573">
        <v>0</v>
      </c>
      <c r="AV100" s="573">
        <v>3370694.6399999997</v>
      </c>
      <c r="AW100" s="573">
        <v>4411060.5599999996</v>
      </c>
      <c r="AX100" s="573">
        <v>0</v>
      </c>
      <c r="AY100" s="573">
        <v>0</v>
      </c>
      <c r="AZ100" s="573">
        <v>0</v>
      </c>
      <c r="BA100" s="573">
        <v>0</v>
      </c>
      <c r="BB100" s="573">
        <v>0</v>
      </c>
      <c r="BC100" s="573">
        <v>0</v>
      </c>
      <c r="BE100" s="987">
        <f t="shared" si="236"/>
        <v>911326988.53499997</v>
      </c>
    </row>
    <row r="101" spans="2:57" s="227" customFormat="1" outlineLevel="1">
      <c r="B101" s="587"/>
      <c r="C101" s="574">
        <v>46296</v>
      </c>
      <c r="D101" s="573">
        <v>141489622.5</v>
      </c>
      <c r="E101" s="573">
        <v>88185651.480000004</v>
      </c>
      <c r="F101" s="573">
        <v>140831065.20999998</v>
      </c>
      <c r="G101" s="573">
        <v>8744623.370000001</v>
      </c>
      <c r="H101" s="573">
        <v>1259092.6949999998</v>
      </c>
      <c r="I101" s="573">
        <v>1964606.76</v>
      </c>
      <c r="J101" s="573">
        <v>14404.654999999999</v>
      </c>
      <c r="K101" s="573">
        <v>313645.66500000004</v>
      </c>
      <c r="L101" s="573">
        <v>14480989.640000001</v>
      </c>
      <c r="M101" s="573">
        <v>120152855.73999999</v>
      </c>
      <c r="N101" s="573">
        <v>25747209.859999999</v>
      </c>
      <c r="O101" s="573">
        <v>26280956.880000003</v>
      </c>
      <c r="P101" s="573">
        <v>226582493.37</v>
      </c>
      <c r="Q101" s="573">
        <v>7445003.0549999997</v>
      </c>
      <c r="R101" s="573">
        <v>19801267.055</v>
      </c>
      <c r="S101" s="573">
        <v>8380624.4950000001</v>
      </c>
      <c r="T101" s="573">
        <v>6619943.8700000001</v>
      </c>
      <c r="U101" s="573">
        <v>2664959.21</v>
      </c>
      <c r="V101" s="573">
        <v>216107.64499999999</v>
      </c>
      <c r="W101" s="573">
        <v>52197.684999999998</v>
      </c>
      <c r="X101" s="573">
        <v>7276440.8300000001</v>
      </c>
      <c r="Y101" s="573">
        <v>539931.54499999993</v>
      </c>
      <c r="Z101" s="573">
        <v>2437256.5649999999</v>
      </c>
      <c r="AA101" s="573">
        <v>3367348.1750000003</v>
      </c>
      <c r="AB101" s="573">
        <v>6319203.1500000004</v>
      </c>
      <c r="AC101" s="573">
        <v>66596.285000000003</v>
      </c>
      <c r="AD101" s="573">
        <v>182733.29</v>
      </c>
      <c r="AE101" s="573">
        <v>108109.07999999999</v>
      </c>
      <c r="AF101" s="573">
        <v>1612837.5950000002</v>
      </c>
      <c r="AG101" s="573">
        <v>237889.26500000001</v>
      </c>
      <c r="AH101" s="573">
        <v>4540500.3250000002</v>
      </c>
      <c r="AI101" s="573">
        <v>22439.57</v>
      </c>
      <c r="AJ101" s="573">
        <v>637853.9</v>
      </c>
      <c r="AK101" s="573">
        <v>42758.51</v>
      </c>
      <c r="AL101" s="573">
        <v>2950549.8450000002</v>
      </c>
      <c r="AM101" s="573">
        <v>1253009.645</v>
      </c>
      <c r="AN101" s="573">
        <v>3277291.2050000001</v>
      </c>
      <c r="AO101" s="573">
        <v>502255.58</v>
      </c>
      <c r="AP101" s="573">
        <v>2806960.2150000003</v>
      </c>
      <c r="AQ101" s="573">
        <v>0</v>
      </c>
      <c r="AR101" s="573">
        <v>7490843.4649999999</v>
      </c>
      <c r="AS101" s="573">
        <v>16492424.640000001</v>
      </c>
      <c r="AT101" s="573">
        <v>152679.815</v>
      </c>
      <c r="AU101" s="573">
        <v>0</v>
      </c>
      <c r="AV101" s="573">
        <v>3370694.6399999997</v>
      </c>
      <c r="AW101" s="573">
        <v>4411060.5599999996</v>
      </c>
      <c r="AX101" s="573">
        <v>0</v>
      </c>
      <c r="AY101" s="573">
        <v>0</v>
      </c>
      <c r="AZ101" s="573">
        <v>0</v>
      </c>
      <c r="BA101" s="573">
        <v>0</v>
      </c>
      <c r="BB101" s="573">
        <v>0</v>
      </c>
      <c r="BC101" s="573">
        <v>0</v>
      </c>
      <c r="BE101" s="987">
        <f t="shared" si="236"/>
        <v>911326988.53499997</v>
      </c>
    </row>
    <row r="102" spans="2:57" s="227" customFormat="1" outlineLevel="1">
      <c r="B102" s="587"/>
      <c r="C102" s="574">
        <v>46327</v>
      </c>
      <c r="D102" s="573">
        <v>141489622.5</v>
      </c>
      <c r="E102" s="573">
        <v>88185651.480000004</v>
      </c>
      <c r="F102" s="573">
        <v>140831065.20999998</v>
      </c>
      <c r="G102" s="573">
        <v>8744623.370000001</v>
      </c>
      <c r="H102" s="573">
        <v>1259092.6949999998</v>
      </c>
      <c r="I102" s="573">
        <v>1964606.76</v>
      </c>
      <c r="J102" s="573">
        <v>14404.654999999999</v>
      </c>
      <c r="K102" s="573">
        <v>313645.66500000004</v>
      </c>
      <c r="L102" s="573">
        <v>14480989.640000001</v>
      </c>
      <c r="M102" s="573">
        <v>120152855.73999999</v>
      </c>
      <c r="N102" s="573">
        <v>25747209.859999999</v>
      </c>
      <c r="O102" s="573">
        <v>26280956.880000003</v>
      </c>
      <c r="P102" s="573">
        <v>226582493.37</v>
      </c>
      <c r="Q102" s="573">
        <v>7445003.0549999997</v>
      </c>
      <c r="R102" s="573">
        <v>19801267.055</v>
      </c>
      <c r="S102" s="573">
        <v>8380624.4950000001</v>
      </c>
      <c r="T102" s="573">
        <v>6619943.8700000001</v>
      </c>
      <c r="U102" s="573">
        <v>2664959.21</v>
      </c>
      <c r="V102" s="573">
        <v>216107.64499999999</v>
      </c>
      <c r="W102" s="573">
        <v>52197.684999999998</v>
      </c>
      <c r="X102" s="573">
        <v>7276440.8300000001</v>
      </c>
      <c r="Y102" s="573">
        <v>539931.54499999993</v>
      </c>
      <c r="Z102" s="573">
        <v>2437256.5649999999</v>
      </c>
      <c r="AA102" s="573">
        <v>3367348.1750000003</v>
      </c>
      <c r="AB102" s="573">
        <v>6319203.1500000004</v>
      </c>
      <c r="AC102" s="573">
        <v>66596.285000000003</v>
      </c>
      <c r="AD102" s="573">
        <v>182733.29</v>
      </c>
      <c r="AE102" s="573">
        <v>108109.07999999999</v>
      </c>
      <c r="AF102" s="573">
        <v>1612837.5950000002</v>
      </c>
      <c r="AG102" s="573">
        <v>237889.26500000001</v>
      </c>
      <c r="AH102" s="573">
        <v>4540500.3250000002</v>
      </c>
      <c r="AI102" s="573">
        <v>22439.57</v>
      </c>
      <c r="AJ102" s="573">
        <v>637853.9</v>
      </c>
      <c r="AK102" s="573">
        <v>42758.51</v>
      </c>
      <c r="AL102" s="573">
        <v>2950549.8450000002</v>
      </c>
      <c r="AM102" s="573">
        <v>1253009.645</v>
      </c>
      <c r="AN102" s="573">
        <v>3277291.2050000001</v>
      </c>
      <c r="AO102" s="573">
        <v>502255.58</v>
      </c>
      <c r="AP102" s="573">
        <v>2806960.2150000003</v>
      </c>
      <c r="AQ102" s="573">
        <v>0</v>
      </c>
      <c r="AR102" s="573">
        <v>7490843.4649999999</v>
      </c>
      <c r="AS102" s="573">
        <v>16492424.640000001</v>
      </c>
      <c r="AT102" s="573">
        <v>152679.815</v>
      </c>
      <c r="AU102" s="573">
        <v>0</v>
      </c>
      <c r="AV102" s="573">
        <v>3370694.6399999997</v>
      </c>
      <c r="AW102" s="573">
        <v>4411060.5599999996</v>
      </c>
      <c r="AX102" s="573">
        <v>109473.41879407375</v>
      </c>
      <c r="AY102" s="573">
        <v>0</v>
      </c>
      <c r="AZ102" s="573">
        <v>0</v>
      </c>
      <c r="BA102" s="573">
        <v>0</v>
      </c>
      <c r="BB102" s="573">
        <v>0</v>
      </c>
      <c r="BC102" s="573">
        <v>0</v>
      </c>
      <c r="BE102" s="987">
        <f t="shared" si="236"/>
        <v>911436461.953794</v>
      </c>
    </row>
    <row r="103" spans="2:57" s="227" customFormat="1" outlineLevel="1">
      <c r="B103" s="588"/>
      <c r="C103" s="566">
        <v>46357</v>
      </c>
      <c r="D103" s="570">
        <v>141489622.5</v>
      </c>
      <c r="E103" s="570">
        <v>88185651.480000004</v>
      </c>
      <c r="F103" s="570">
        <v>140831065.20999998</v>
      </c>
      <c r="G103" s="570">
        <v>8744623.370000001</v>
      </c>
      <c r="H103" s="570">
        <v>1259092.6949999998</v>
      </c>
      <c r="I103" s="570">
        <v>1964606.76</v>
      </c>
      <c r="J103" s="570">
        <v>14404.654999999999</v>
      </c>
      <c r="K103" s="570">
        <v>313645.66500000004</v>
      </c>
      <c r="L103" s="570">
        <v>14480989.640000001</v>
      </c>
      <c r="M103" s="570">
        <v>120152855.73999999</v>
      </c>
      <c r="N103" s="570">
        <v>25747209.859999999</v>
      </c>
      <c r="O103" s="570">
        <v>26280956.880000003</v>
      </c>
      <c r="P103" s="570">
        <v>226582493.37</v>
      </c>
      <c r="Q103" s="570">
        <v>7445003.0549999997</v>
      </c>
      <c r="R103" s="570">
        <v>19801267.055</v>
      </c>
      <c r="S103" s="570">
        <v>8380624.4950000001</v>
      </c>
      <c r="T103" s="570">
        <v>6619943.8700000001</v>
      </c>
      <c r="U103" s="570">
        <v>2664959.21</v>
      </c>
      <c r="V103" s="570">
        <v>216107.64499999999</v>
      </c>
      <c r="W103" s="570">
        <v>52197.684999999998</v>
      </c>
      <c r="X103" s="570">
        <v>7276440.8300000001</v>
      </c>
      <c r="Y103" s="570">
        <v>539931.54499999993</v>
      </c>
      <c r="Z103" s="570">
        <v>2437256.5649999999</v>
      </c>
      <c r="AA103" s="570">
        <v>3367348.1750000003</v>
      </c>
      <c r="AB103" s="570">
        <v>6319203.1500000004</v>
      </c>
      <c r="AC103" s="570">
        <v>66596.285000000003</v>
      </c>
      <c r="AD103" s="570">
        <v>182733.29</v>
      </c>
      <c r="AE103" s="570">
        <v>108109.07999999999</v>
      </c>
      <c r="AF103" s="570">
        <v>1612837.5950000002</v>
      </c>
      <c r="AG103" s="570">
        <v>237889.26500000001</v>
      </c>
      <c r="AH103" s="570">
        <v>4540500.3250000002</v>
      </c>
      <c r="AI103" s="570">
        <v>22439.57</v>
      </c>
      <c r="AJ103" s="570">
        <v>637853.9</v>
      </c>
      <c r="AK103" s="570">
        <v>42758.51</v>
      </c>
      <c r="AL103" s="570">
        <v>2950549.8450000002</v>
      </c>
      <c r="AM103" s="570">
        <v>1253009.645</v>
      </c>
      <c r="AN103" s="570">
        <v>3277291.2050000001</v>
      </c>
      <c r="AO103" s="570">
        <v>502255.58</v>
      </c>
      <c r="AP103" s="570">
        <v>2806960.2150000003</v>
      </c>
      <c r="AQ103" s="570">
        <v>0</v>
      </c>
      <c r="AR103" s="570">
        <v>7490843.4649999999</v>
      </c>
      <c r="AS103" s="570">
        <v>16492424.640000001</v>
      </c>
      <c r="AT103" s="570">
        <v>152679.815</v>
      </c>
      <c r="AU103" s="570">
        <v>0</v>
      </c>
      <c r="AV103" s="570">
        <v>3370694.6399999997</v>
      </c>
      <c r="AW103" s="570">
        <v>4411060.5599999996</v>
      </c>
      <c r="AX103" s="570">
        <v>109473.41879407375</v>
      </c>
      <c r="AY103" s="570">
        <v>0</v>
      </c>
      <c r="AZ103" s="570">
        <v>0</v>
      </c>
      <c r="BA103" s="570">
        <v>0</v>
      </c>
      <c r="BB103" s="570">
        <v>0</v>
      </c>
      <c r="BC103" s="570">
        <v>0</v>
      </c>
      <c r="BE103" s="988">
        <f t="shared" si="236"/>
        <v>911436461.953794</v>
      </c>
    </row>
    <row r="104" spans="2:57" s="227" customFormat="1" outlineLevel="1">
      <c r="B104" s="590"/>
      <c r="C104" s="577" t="s">
        <v>889</v>
      </c>
      <c r="D104" s="592">
        <f>AVERAGE(D91:D103)</f>
        <v>141489622.5</v>
      </c>
      <c r="E104" s="592">
        <f t="shared" ref="E104:AC104" si="237">AVERAGE(E91:E103)</f>
        <v>88185651.480000004</v>
      </c>
      <c r="F104" s="592">
        <f t="shared" si="237"/>
        <v>140831065.21000001</v>
      </c>
      <c r="G104" s="592">
        <f t="shared" si="237"/>
        <v>8744623.3700000029</v>
      </c>
      <c r="H104" s="592">
        <f t="shared" si="237"/>
        <v>1259092.6950000001</v>
      </c>
      <c r="I104" s="592">
        <f t="shared" ref="I104" si="238">AVERAGE(I91:I103)</f>
        <v>1964606.7600000005</v>
      </c>
      <c r="J104" s="592">
        <f t="shared" si="237"/>
        <v>14404.654999999999</v>
      </c>
      <c r="K104" s="592">
        <f t="shared" si="237"/>
        <v>313645.66500000004</v>
      </c>
      <c r="L104" s="592">
        <f t="shared" si="237"/>
        <v>14480989.639999999</v>
      </c>
      <c r="M104" s="592">
        <f t="shared" si="237"/>
        <v>120152855.73999999</v>
      </c>
      <c r="N104" s="592">
        <f t="shared" si="237"/>
        <v>25747209.860000007</v>
      </c>
      <c r="O104" s="592">
        <f t="shared" si="237"/>
        <v>26280956.879999999</v>
      </c>
      <c r="P104" s="592">
        <f t="shared" si="237"/>
        <v>226582493.36999992</v>
      </c>
      <c r="Q104" s="592">
        <f t="shared" si="237"/>
        <v>7445003.0550000006</v>
      </c>
      <c r="R104" s="592">
        <f>AVERAGE(R91:R103)</f>
        <v>19801267.055000003</v>
      </c>
      <c r="S104" s="592">
        <f t="shared" si="237"/>
        <v>8380624.495000001</v>
      </c>
      <c r="T104" s="592">
        <f t="shared" si="237"/>
        <v>6619943.8700000001</v>
      </c>
      <c r="U104" s="592">
        <f t="shared" si="237"/>
        <v>2664959.2100000004</v>
      </c>
      <c r="V104" s="592">
        <f t="shared" si="237"/>
        <v>216107.64499999999</v>
      </c>
      <c r="W104" s="592">
        <f t="shared" si="237"/>
        <v>52197.685000000005</v>
      </c>
      <c r="X104" s="592">
        <f t="shared" si="237"/>
        <v>7276440.8299999991</v>
      </c>
      <c r="Y104" s="592">
        <f t="shared" si="237"/>
        <v>539931.54499999993</v>
      </c>
      <c r="Z104" s="592">
        <f t="shared" si="237"/>
        <v>2437256.5650000004</v>
      </c>
      <c r="AA104" s="592">
        <f>AVERAGE(AA91:AA103)</f>
        <v>3367348.1749999993</v>
      </c>
      <c r="AB104" s="592">
        <f>AVERAGE(AB91:AB103)</f>
        <v>6319203.1500000004</v>
      </c>
      <c r="AC104" s="592">
        <f t="shared" si="237"/>
        <v>66596.285000000018</v>
      </c>
      <c r="AD104" s="592">
        <f t="shared" ref="AD104:AK104" si="239">AVERAGE(AD91:AD103)</f>
        <v>182733.29</v>
      </c>
      <c r="AE104" s="592">
        <f t="shared" si="239"/>
        <v>108109.08</v>
      </c>
      <c r="AF104" s="592">
        <f t="shared" si="239"/>
        <v>1612837.5950000002</v>
      </c>
      <c r="AG104" s="592">
        <f>AVERAGE(AG91:AG103)</f>
        <v>237889.2650000001</v>
      </c>
      <c r="AH104" s="592">
        <f>AVERAGE(AH91:AH103)</f>
        <v>4540500.3250000011</v>
      </c>
      <c r="AI104" s="592">
        <f>AVERAGE(AI91:AI103)</f>
        <v>22439.570000000003</v>
      </c>
      <c r="AJ104" s="592">
        <f t="shared" si="239"/>
        <v>637853.90000000014</v>
      </c>
      <c r="AK104" s="592">
        <f t="shared" si="239"/>
        <v>42758.51</v>
      </c>
      <c r="AL104" s="592">
        <f t="shared" ref="AL104:AP104" si="240">AVERAGE(AL91:AL103)</f>
        <v>2950549.8449999993</v>
      </c>
      <c r="AM104" s="592">
        <f t="shared" si="240"/>
        <v>1253009.6449999998</v>
      </c>
      <c r="AN104" s="592">
        <f t="shared" si="240"/>
        <v>3277291.2049999991</v>
      </c>
      <c r="AO104" s="592">
        <f t="shared" si="240"/>
        <v>502255.58</v>
      </c>
      <c r="AP104" s="592">
        <f t="shared" si="240"/>
        <v>2806960.2150000008</v>
      </c>
      <c r="AQ104" s="592">
        <f t="shared" ref="AQ104:AW104" si="241">AVERAGE(AQ91:AQ103)</f>
        <v>0</v>
      </c>
      <c r="AR104" s="592">
        <f t="shared" si="241"/>
        <v>7490843.4650000026</v>
      </c>
      <c r="AS104" s="592">
        <f t="shared" si="241"/>
        <v>16492424.639999995</v>
      </c>
      <c r="AT104" s="592">
        <f t="shared" si="241"/>
        <v>152679.81499999997</v>
      </c>
      <c r="AU104" s="592">
        <f t="shared" si="241"/>
        <v>0</v>
      </c>
      <c r="AV104" s="592">
        <f t="shared" si="241"/>
        <v>3370694.64</v>
      </c>
      <c r="AW104" s="592">
        <f t="shared" si="241"/>
        <v>4411060.5600000005</v>
      </c>
      <c r="AX104" s="592">
        <f t="shared" ref="AX104" si="242">AVERAGE(AX91:AX103)</f>
        <v>16842.064429857499</v>
      </c>
      <c r="AY104" s="592">
        <f t="shared" ref="AY104:BA104" si="243">AVERAGE(AY91:AY103)</f>
        <v>0</v>
      </c>
      <c r="AZ104" s="592">
        <f t="shared" si="243"/>
        <v>0</v>
      </c>
      <c r="BA104" s="592">
        <f t="shared" si="243"/>
        <v>0</v>
      </c>
      <c r="BB104" s="592">
        <f t="shared" ref="BB104:BC104" si="244">AVERAGE(BB91:BB103)</f>
        <v>0</v>
      </c>
      <c r="BC104" s="592">
        <f t="shared" si="244"/>
        <v>0</v>
      </c>
      <c r="BE104" s="592">
        <f>AVERAGE(BE91:BE103)</f>
        <v>911343830.59942997</v>
      </c>
    </row>
    <row r="105" spans="2:57" s="227" customFormat="1" outlineLevel="1">
      <c r="C105" s="583"/>
      <c r="D105" s="593"/>
      <c r="E105" s="593"/>
      <c r="F105" s="593"/>
      <c r="G105" s="593"/>
      <c r="H105" s="593"/>
      <c r="I105" s="593"/>
      <c r="J105" s="593"/>
      <c r="K105" s="593"/>
      <c r="L105" s="594"/>
      <c r="M105" s="593"/>
      <c r="N105" s="593"/>
      <c r="O105" s="593"/>
      <c r="P105" s="593"/>
      <c r="Q105" s="594"/>
      <c r="R105" s="593"/>
      <c r="S105" s="594"/>
      <c r="T105" s="593"/>
      <c r="U105" s="594"/>
      <c r="V105" s="593"/>
      <c r="W105" s="594"/>
      <c r="X105" s="593"/>
      <c r="Y105" s="594"/>
      <c r="Z105" s="593"/>
      <c r="AA105" s="594"/>
      <c r="AB105" s="593"/>
      <c r="AC105" s="594"/>
      <c r="AD105" s="593"/>
      <c r="AE105" s="593"/>
      <c r="AF105" s="593"/>
      <c r="AG105" s="593"/>
      <c r="AH105" s="593"/>
      <c r="AI105" s="593"/>
      <c r="AJ105" s="593"/>
      <c r="AK105" s="593"/>
      <c r="AL105" s="593"/>
      <c r="AM105" s="593"/>
      <c r="AN105" s="593"/>
      <c r="AO105" s="593"/>
      <c r="AP105" s="593"/>
      <c r="AQ105" s="593"/>
      <c r="AR105" s="593"/>
      <c r="AS105" s="593"/>
      <c r="AT105" s="593"/>
      <c r="AU105" s="593"/>
      <c r="AV105" s="593"/>
      <c r="AW105" s="593"/>
      <c r="AX105" s="593"/>
      <c r="AY105" s="593"/>
      <c r="AZ105" s="593"/>
      <c r="BA105" s="593"/>
      <c r="BB105" s="593"/>
      <c r="BC105" s="593"/>
    </row>
    <row r="106" spans="2:57" s="227" customFormat="1" outlineLevel="1">
      <c r="B106" s="559" t="s">
        <v>1054</v>
      </c>
      <c r="C106" s="560">
        <v>45992</v>
      </c>
      <c r="D106" s="564">
        <v>87823526.10634014</v>
      </c>
      <c r="E106" s="564">
        <v>51662829.242590867</v>
      </c>
      <c r="F106" s="564">
        <v>98821568.737683624</v>
      </c>
      <c r="G106" s="564">
        <v>4392979.8806927847</v>
      </c>
      <c r="H106" s="564">
        <v>878941.8424311995</v>
      </c>
      <c r="I106" s="564">
        <v>1476079.8149609021</v>
      </c>
      <c r="J106" s="564">
        <v>355340.66500004497</v>
      </c>
      <c r="K106" s="564">
        <v>417377.06498784182</v>
      </c>
      <c r="L106" s="564">
        <v>9176560.4391672909</v>
      </c>
      <c r="M106" s="564">
        <v>73694161.815988615</v>
      </c>
      <c r="N106" s="564">
        <v>20754064.297871225</v>
      </c>
      <c r="O106" s="564">
        <v>18761942.393749386</v>
      </c>
      <c r="P106" s="564">
        <v>181309718.71878323</v>
      </c>
      <c r="Q106" s="564">
        <v>6046061.050797197</v>
      </c>
      <c r="R106" s="564">
        <v>17552099.49459945</v>
      </c>
      <c r="S106" s="564">
        <v>6834766.7604328319</v>
      </c>
      <c r="T106" s="564">
        <v>5481267.6800271617</v>
      </c>
      <c r="U106" s="564">
        <v>2344512.1901068971</v>
      </c>
      <c r="V106" s="564">
        <v>189788.33500224154</v>
      </c>
      <c r="W106" s="564">
        <v>45884.135011515966</v>
      </c>
      <c r="X106" s="564">
        <v>6653690.0459792269</v>
      </c>
      <c r="Y106" s="564">
        <v>407735.6300868598</v>
      </c>
      <c r="Z106" s="564">
        <v>2298294.2003838457</v>
      </c>
      <c r="AA106" s="564">
        <v>3118680.334168511</v>
      </c>
      <c r="AB106" s="564">
        <v>6044869.7130805608</v>
      </c>
      <c r="AC106" s="564">
        <v>63375.479994707377</v>
      </c>
      <c r="AD106" s="564">
        <v>173013.91999652053</v>
      </c>
      <c r="AE106" s="564">
        <v>103227.7878710506</v>
      </c>
      <c r="AF106" s="564">
        <v>1561547.9525980793</v>
      </c>
      <c r="AG106" s="564">
        <v>214512.05503811798</v>
      </c>
      <c r="AH106" s="564">
        <v>4187019.2306950134</v>
      </c>
      <c r="AI106" s="564">
        <v>21156.71499943957</v>
      </c>
      <c r="AJ106" s="564">
        <v>600155.65985729813</v>
      </c>
      <c r="AK106" s="564">
        <v>40963.855004806028</v>
      </c>
      <c r="AL106" s="564">
        <v>2805612.6482871789</v>
      </c>
      <c r="AM106" s="564">
        <v>1215681.5727968786</v>
      </c>
      <c r="AN106" s="564">
        <v>3121532.6405987879</v>
      </c>
      <c r="AO106" s="564">
        <v>476351.92000758677</v>
      </c>
      <c r="AP106" s="564">
        <v>2732570.8047564086</v>
      </c>
      <c r="AQ106" s="564">
        <v>0</v>
      </c>
      <c r="AR106" s="564">
        <v>7327022.2016369822</v>
      </c>
      <c r="AS106" s="564">
        <v>16169068.169386655</v>
      </c>
      <c r="AT106" s="564">
        <v>148837.33723012524</v>
      </c>
      <c r="AU106" s="564">
        <v>0</v>
      </c>
      <c r="AV106" s="564">
        <v>3201709.9794218577</v>
      </c>
      <c r="AW106" s="564">
        <v>4192332.3696405538</v>
      </c>
      <c r="AX106" s="564">
        <v>0</v>
      </c>
      <c r="AY106" s="564">
        <v>0</v>
      </c>
      <c r="AZ106" s="564">
        <v>0</v>
      </c>
      <c r="BA106" s="564">
        <v>0</v>
      </c>
      <c r="BB106" s="564">
        <v>0</v>
      </c>
      <c r="BC106" s="564">
        <v>0</v>
      </c>
      <c r="BE106" s="986">
        <f>SUM(D106:BD106)</f>
        <v>654898432.88974142</v>
      </c>
    </row>
    <row r="107" spans="2:57" s="227" customFormat="1" outlineLevel="1">
      <c r="B107" s="587"/>
      <c r="C107" s="572">
        <v>46023</v>
      </c>
      <c r="D107" s="573">
        <v>87547459.230730146</v>
      </c>
      <c r="E107" s="573">
        <v>51490795.409689344</v>
      </c>
      <c r="F107" s="573">
        <v>98562123.75229755</v>
      </c>
      <c r="G107" s="573">
        <v>4371682.6558082486</v>
      </c>
      <c r="H107" s="573">
        <v>876234.40533639945</v>
      </c>
      <c r="I107" s="573">
        <v>1471631.5549543859</v>
      </c>
      <c r="J107" s="573">
        <v>355280.15000005241</v>
      </c>
      <c r="K107" s="573">
        <v>416638.51998581545</v>
      </c>
      <c r="L107" s="573">
        <v>9142569.6490285061</v>
      </c>
      <c r="M107" s="573">
        <v>73337159.175320059</v>
      </c>
      <c r="N107" s="573">
        <v>20699228.497516431</v>
      </c>
      <c r="O107" s="573">
        <v>18700133.702707618</v>
      </c>
      <c r="P107" s="573">
        <v>180852632.2452471</v>
      </c>
      <c r="Q107" s="573">
        <v>6029968.3609300628</v>
      </c>
      <c r="R107" s="573">
        <v>17509454.124532692</v>
      </c>
      <c r="S107" s="573">
        <v>6814925.8205049708</v>
      </c>
      <c r="T107" s="573">
        <v>5465889.6050316887</v>
      </c>
      <c r="U107" s="573">
        <v>2338164.1351247132</v>
      </c>
      <c r="V107" s="573">
        <v>189203.49500261512</v>
      </c>
      <c r="W107" s="573">
        <v>45742.875013435296</v>
      </c>
      <c r="X107" s="573">
        <v>6636646.0311424313</v>
      </c>
      <c r="Y107" s="573">
        <v>406230.32510133641</v>
      </c>
      <c r="Z107" s="573">
        <v>2292835.1754478202</v>
      </c>
      <c r="AA107" s="573">
        <v>3111145.6740299296</v>
      </c>
      <c r="AB107" s="573">
        <v>6030617.7119273208</v>
      </c>
      <c r="AC107" s="573">
        <v>63221.194993825273</v>
      </c>
      <c r="AD107" s="573">
        <v>172634.56999594063</v>
      </c>
      <c r="AE107" s="573">
        <v>102977.37168289238</v>
      </c>
      <c r="AF107" s="573">
        <v>1557273.7855310924</v>
      </c>
      <c r="AG107" s="573">
        <v>213848.935044471</v>
      </c>
      <c r="AH107" s="573">
        <v>4176145.4458108493</v>
      </c>
      <c r="AI107" s="573">
        <v>21104.729999346164</v>
      </c>
      <c r="AJ107" s="573">
        <v>598272.77983351448</v>
      </c>
      <c r="AK107" s="573">
        <v>40879.405005607034</v>
      </c>
      <c r="AL107" s="573">
        <v>2798389.0388350417</v>
      </c>
      <c r="AM107" s="573">
        <v>1212122.2624296916</v>
      </c>
      <c r="AN107" s="573">
        <v>3114382.8706985856</v>
      </c>
      <c r="AO107" s="573">
        <v>475165.41000885126</v>
      </c>
      <c r="AP107" s="573">
        <v>2725815.4047158095</v>
      </c>
      <c r="AQ107" s="573">
        <v>0</v>
      </c>
      <c r="AR107" s="573">
        <v>7308816.003576478</v>
      </c>
      <c r="AS107" s="573">
        <v>16133139.655951098</v>
      </c>
      <c r="AT107" s="573">
        <v>148469.46343514611</v>
      </c>
      <c r="AU107" s="573">
        <v>0</v>
      </c>
      <c r="AV107" s="573">
        <v>3193988.614325501</v>
      </c>
      <c r="AW107" s="573">
        <v>4182421.6145806462</v>
      </c>
      <c r="AX107" s="573">
        <v>0</v>
      </c>
      <c r="AY107" s="573">
        <v>0</v>
      </c>
      <c r="AZ107" s="573">
        <v>0</v>
      </c>
      <c r="BA107" s="573">
        <v>0</v>
      </c>
      <c r="BB107" s="573">
        <v>0</v>
      </c>
      <c r="BC107" s="573">
        <v>0</v>
      </c>
      <c r="BE107" s="987">
        <f t="shared" ref="BE107:BE118" si="245">SUM(D107:BD107)</f>
        <v>652933460.83886552</v>
      </c>
    </row>
    <row r="108" spans="2:57" s="227" customFormat="1" outlineLevel="1">
      <c r="B108" s="587"/>
      <c r="C108" s="574">
        <v>46054</v>
      </c>
      <c r="D108" s="573">
        <v>87271392.355120182</v>
      </c>
      <c r="E108" s="573">
        <v>51318761.576787822</v>
      </c>
      <c r="F108" s="573">
        <v>98302678.766911507</v>
      </c>
      <c r="G108" s="573">
        <v>4350385.4309237124</v>
      </c>
      <c r="H108" s="573">
        <v>873526.96824159939</v>
      </c>
      <c r="I108" s="573">
        <v>1467183.2949478696</v>
      </c>
      <c r="J108" s="573">
        <v>355219.63500005996</v>
      </c>
      <c r="K108" s="573">
        <v>415899.97498378908</v>
      </c>
      <c r="L108" s="573">
        <v>9108578.8588897213</v>
      </c>
      <c r="M108" s="573">
        <v>72980156.534651488</v>
      </c>
      <c r="N108" s="573">
        <v>20644392.697161637</v>
      </c>
      <c r="O108" s="573">
        <v>18638325.011665847</v>
      </c>
      <c r="P108" s="573">
        <v>180395545.77171096</v>
      </c>
      <c r="Q108" s="573">
        <v>6013875.6710629286</v>
      </c>
      <c r="R108" s="573">
        <v>17466808.754465934</v>
      </c>
      <c r="S108" s="573">
        <v>6795084.8805771098</v>
      </c>
      <c r="T108" s="573">
        <v>5450511.5300362157</v>
      </c>
      <c r="U108" s="573">
        <v>2331816.0801425297</v>
      </c>
      <c r="V108" s="573">
        <v>188618.65500298873</v>
      </c>
      <c r="W108" s="573">
        <v>45601.615015354626</v>
      </c>
      <c r="X108" s="573">
        <v>6619602.0163056357</v>
      </c>
      <c r="Y108" s="573">
        <v>404725.02011581301</v>
      </c>
      <c r="Z108" s="573">
        <v>2287376.1505117943</v>
      </c>
      <c r="AA108" s="573">
        <v>3103611.0138913481</v>
      </c>
      <c r="AB108" s="573">
        <v>6016365.7107740808</v>
      </c>
      <c r="AC108" s="573">
        <v>63066.909992943169</v>
      </c>
      <c r="AD108" s="573">
        <v>172255.21999536073</v>
      </c>
      <c r="AE108" s="573">
        <v>102726.95549473414</v>
      </c>
      <c r="AF108" s="573">
        <v>1552999.6184641058</v>
      </c>
      <c r="AG108" s="573">
        <v>213185.81505082399</v>
      </c>
      <c r="AH108" s="573">
        <v>4165271.6609266847</v>
      </c>
      <c r="AI108" s="573">
        <v>21052.744999252758</v>
      </c>
      <c r="AJ108" s="573">
        <v>596389.89980973094</v>
      </c>
      <c r="AK108" s="573">
        <v>40794.955006408039</v>
      </c>
      <c r="AL108" s="573">
        <v>2791165.4293829054</v>
      </c>
      <c r="AM108" s="573">
        <v>1208562.9520625048</v>
      </c>
      <c r="AN108" s="573">
        <v>3107233.1007983838</v>
      </c>
      <c r="AO108" s="573">
        <v>473978.9000101157</v>
      </c>
      <c r="AP108" s="573">
        <v>2719060.0046752109</v>
      </c>
      <c r="AQ108" s="573">
        <v>0</v>
      </c>
      <c r="AR108" s="573">
        <v>7290609.8055159757</v>
      </c>
      <c r="AS108" s="573">
        <v>16097211.14251554</v>
      </c>
      <c r="AT108" s="573">
        <v>148101.58964016699</v>
      </c>
      <c r="AU108" s="573">
        <v>0</v>
      </c>
      <c r="AV108" s="573">
        <v>3186267.2492291438</v>
      </c>
      <c r="AW108" s="573">
        <v>4172510.8595207385</v>
      </c>
      <c r="AX108" s="573">
        <v>0</v>
      </c>
      <c r="AY108" s="573">
        <v>0</v>
      </c>
      <c r="AZ108" s="573">
        <v>0</v>
      </c>
      <c r="BA108" s="573">
        <v>0</v>
      </c>
      <c r="BB108" s="573">
        <v>0</v>
      </c>
      <c r="BC108" s="573">
        <v>0</v>
      </c>
      <c r="BE108" s="987">
        <f t="shared" si="245"/>
        <v>650968488.78798878</v>
      </c>
    </row>
    <row r="109" spans="2:57" s="227" customFormat="1" outlineLevel="1">
      <c r="B109" s="587"/>
      <c r="C109" s="574">
        <v>46082</v>
      </c>
      <c r="D109" s="573">
        <v>86995325.479510188</v>
      </c>
      <c r="E109" s="573">
        <v>51146727.743886299</v>
      </c>
      <c r="F109" s="573">
        <v>98043233.781525433</v>
      </c>
      <c r="G109" s="573">
        <v>4329088.2060391763</v>
      </c>
      <c r="H109" s="573">
        <v>870819.53114679933</v>
      </c>
      <c r="I109" s="573">
        <v>1462735.0349413534</v>
      </c>
      <c r="J109" s="573">
        <v>355159.1200000674</v>
      </c>
      <c r="K109" s="573">
        <v>415161.42998176272</v>
      </c>
      <c r="L109" s="573">
        <v>9074588.0687509365</v>
      </c>
      <c r="M109" s="573">
        <v>72623153.893982917</v>
      </c>
      <c r="N109" s="573">
        <v>20589556.89680684</v>
      </c>
      <c r="O109" s="573">
        <v>18576516.320624076</v>
      </c>
      <c r="P109" s="573">
        <v>179938459.29817486</v>
      </c>
      <c r="Q109" s="573">
        <v>5997782.9811957944</v>
      </c>
      <c r="R109" s="573">
        <v>17424163.384399176</v>
      </c>
      <c r="S109" s="573">
        <v>6775243.9406492487</v>
      </c>
      <c r="T109" s="573">
        <v>5435133.4550407426</v>
      </c>
      <c r="U109" s="573">
        <v>2325468.0251603457</v>
      </c>
      <c r="V109" s="573">
        <v>188033.81500336231</v>
      </c>
      <c r="W109" s="573">
        <v>45460.355017273949</v>
      </c>
      <c r="X109" s="573">
        <v>6602558.001468841</v>
      </c>
      <c r="Y109" s="573">
        <v>403219.71513028967</v>
      </c>
      <c r="Z109" s="573">
        <v>2281917.1255757688</v>
      </c>
      <c r="AA109" s="573">
        <v>3096076.3537527667</v>
      </c>
      <c r="AB109" s="573">
        <v>6002113.7096208408</v>
      </c>
      <c r="AC109" s="573">
        <v>62912.624992061064</v>
      </c>
      <c r="AD109" s="573">
        <v>171875.86999478081</v>
      </c>
      <c r="AE109" s="573">
        <v>102476.53930657591</v>
      </c>
      <c r="AF109" s="573">
        <v>1548725.4513971189</v>
      </c>
      <c r="AG109" s="573">
        <v>212522.69505717698</v>
      </c>
      <c r="AH109" s="573">
        <v>4154397.8760425202</v>
      </c>
      <c r="AI109" s="573">
        <v>21000.759999159356</v>
      </c>
      <c r="AJ109" s="573">
        <v>594507.01978594728</v>
      </c>
      <c r="AK109" s="573">
        <v>40710.505007209038</v>
      </c>
      <c r="AL109" s="573">
        <v>2783941.8199307681</v>
      </c>
      <c r="AM109" s="573">
        <v>1205003.641695318</v>
      </c>
      <c r="AN109" s="573">
        <v>3100083.3308981815</v>
      </c>
      <c r="AO109" s="573">
        <v>472792.39001138019</v>
      </c>
      <c r="AP109" s="573">
        <v>2712304.6046346123</v>
      </c>
      <c r="AQ109" s="573">
        <v>0</v>
      </c>
      <c r="AR109" s="573">
        <v>7272403.6074554725</v>
      </c>
      <c r="AS109" s="573">
        <v>16061282.629079983</v>
      </c>
      <c r="AT109" s="573">
        <v>147733.71584518786</v>
      </c>
      <c r="AU109" s="573">
        <v>0</v>
      </c>
      <c r="AV109" s="573">
        <v>3178545.8841327867</v>
      </c>
      <c r="AW109" s="573">
        <v>4162600.1044608308</v>
      </c>
      <c r="AX109" s="573">
        <v>0</v>
      </c>
      <c r="AY109" s="573">
        <v>0</v>
      </c>
      <c r="AZ109" s="573">
        <v>0</v>
      </c>
      <c r="BA109" s="573">
        <v>0</v>
      </c>
      <c r="BB109" s="573">
        <v>0</v>
      </c>
      <c r="BC109" s="573">
        <v>0</v>
      </c>
      <c r="BE109" s="987">
        <f t="shared" si="245"/>
        <v>649003516.73711216</v>
      </c>
    </row>
    <row r="110" spans="2:57" s="227" customFormat="1" outlineLevel="1">
      <c r="B110" s="587"/>
      <c r="C110" s="574">
        <v>46113</v>
      </c>
      <c r="D110" s="573">
        <v>86719258.603900224</v>
      </c>
      <c r="E110" s="573">
        <v>50974693.910984777</v>
      </c>
      <c r="F110" s="573">
        <v>97783788.796139389</v>
      </c>
      <c r="G110" s="573">
        <v>4307790.9811546402</v>
      </c>
      <c r="H110" s="573">
        <v>868112.09405199927</v>
      </c>
      <c r="I110" s="573">
        <v>1458286.7749348371</v>
      </c>
      <c r="J110" s="573">
        <v>355098.60500007495</v>
      </c>
      <c r="K110" s="573">
        <v>414422.88497973635</v>
      </c>
      <c r="L110" s="573">
        <v>9040597.2786121517</v>
      </c>
      <c r="M110" s="573">
        <v>72266151.253314361</v>
      </c>
      <c r="N110" s="573">
        <v>20534721.096452042</v>
      </c>
      <c r="O110" s="573">
        <v>18514707.629582308</v>
      </c>
      <c r="P110" s="573">
        <v>179481372.82463872</v>
      </c>
      <c r="Q110" s="573">
        <v>5981690.2913286611</v>
      </c>
      <c r="R110" s="573">
        <v>17381518.014332417</v>
      </c>
      <c r="S110" s="573">
        <v>6755403.0007213866</v>
      </c>
      <c r="T110" s="573">
        <v>5419755.3800452696</v>
      </c>
      <c r="U110" s="573">
        <v>2319119.9701781622</v>
      </c>
      <c r="V110" s="573">
        <v>187448.97500373589</v>
      </c>
      <c r="W110" s="573">
        <v>45319.095019193279</v>
      </c>
      <c r="X110" s="573">
        <v>6585513.9866320454</v>
      </c>
      <c r="Y110" s="573">
        <v>401714.41014476633</v>
      </c>
      <c r="Z110" s="573">
        <v>2276458.1006397428</v>
      </c>
      <c r="AA110" s="573">
        <v>3088541.6936141849</v>
      </c>
      <c r="AB110" s="573">
        <v>5987861.7084676009</v>
      </c>
      <c r="AC110" s="573">
        <v>62758.33999117896</v>
      </c>
      <c r="AD110" s="573">
        <v>171496.51999420091</v>
      </c>
      <c r="AE110" s="573">
        <v>102226.12311841769</v>
      </c>
      <c r="AF110" s="573">
        <v>1544451.2843301322</v>
      </c>
      <c r="AG110" s="573">
        <v>211859.57506352998</v>
      </c>
      <c r="AH110" s="573">
        <v>4143524.0911583556</v>
      </c>
      <c r="AI110" s="573">
        <v>20948.77499906595</v>
      </c>
      <c r="AJ110" s="573">
        <v>592624.13976216363</v>
      </c>
      <c r="AK110" s="573">
        <v>40626.055008010044</v>
      </c>
      <c r="AL110" s="573">
        <v>2776718.2104786308</v>
      </c>
      <c r="AM110" s="573">
        <v>1201444.331328131</v>
      </c>
      <c r="AN110" s="573">
        <v>3092933.5609979797</v>
      </c>
      <c r="AO110" s="573">
        <v>471605.88001264463</v>
      </c>
      <c r="AP110" s="573">
        <v>2705549.2045940137</v>
      </c>
      <c r="AQ110" s="573">
        <v>0</v>
      </c>
      <c r="AR110" s="573">
        <v>7254197.4093949702</v>
      </c>
      <c r="AS110" s="573">
        <v>16025354.115644425</v>
      </c>
      <c r="AT110" s="573">
        <v>147365.84205020874</v>
      </c>
      <c r="AU110" s="573">
        <v>0</v>
      </c>
      <c r="AV110" s="573">
        <v>3170824.5190364299</v>
      </c>
      <c r="AW110" s="573">
        <v>4152689.3494009231</v>
      </c>
      <c r="AX110" s="573">
        <v>0</v>
      </c>
      <c r="AY110" s="573">
        <v>0</v>
      </c>
      <c r="AZ110" s="573">
        <v>0</v>
      </c>
      <c r="BA110" s="573">
        <v>0</v>
      </c>
      <c r="BB110" s="573">
        <v>0</v>
      </c>
      <c r="BC110" s="573">
        <v>0</v>
      </c>
      <c r="BE110" s="987">
        <f t="shared" si="245"/>
        <v>647038544.68623602</v>
      </c>
    </row>
    <row r="111" spans="2:57" s="227" customFormat="1" outlineLevel="1">
      <c r="B111" s="587"/>
      <c r="C111" s="574">
        <v>46143</v>
      </c>
      <c r="D111" s="573">
        <v>86443191.72829023</v>
      </c>
      <c r="E111" s="573">
        <v>50802660.078083254</v>
      </c>
      <c r="F111" s="573">
        <v>97524343.810753316</v>
      </c>
      <c r="G111" s="573">
        <v>4286493.7562701041</v>
      </c>
      <c r="H111" s="573">
        <v>865404.65695719921</v>
      </c>
      <c r="I111" s="573">
        <v>1453838.5149283207</v>
      </c>
      <c r="J111" s="573">
        <v>355038.09000008239</v>
      </c>
      <c r="K111" s="573">
        <v>413684.33997770998</v>
      </c>
      <c r="L111" s="573">
        <v>9006606.4884733669</v>
      </c>
      <c r="M111" s="573">
        <v>71909148.612645805</v>
      </c>
      <c r="N111" s="573">
        <v>20479885.296097249</v>
      </c>
      <c r="O111" s="573">
        <v>18452898.938540541</v>
      </c>
      <c r="P111" s="573">
        <v>179024286.35110259</v>
      </c>
      <c r="Q111" s="573">
        <v>5965597.6014615279</v>
      </c>
      <c r="R111" s="573">
        <v>17338872.644265659</v>
      </c>
      <c r="S111" s="573">
        <v>6735562.0607935255</v>
      </c>
      <c r="T111" s="573">
        <v>5404377.3050497966</v>
      </c>
      <c r="U111" s="573">
        <v>2312771.9151959782</v>
      </c>
      <c r="V111" s="573">
        <v>186864.1350041095</v>
      </c>
      <c r="W111" s="573">
        <v>45177.835021112609</v>
      </c>
      <c r="X111" s="573">
        <v>6568469.9717952497</v>
      </c>
      <c r="Y111" s="573">
        <v>400209.10515924293</v>
      </c>
      <c r="Z111" s="573">
        <v>2270999.0757037173</v>
      </c>
      <c r="AA111" s="573">
        <v>3081007.0334756034</v>
      </c>
      <c r="AB111" s="573">
        <v>5973609.7073143609</v>
      </c>
      <c r="AC111" s="573">
        <v>62604.054990296856</v>
      </c>
      <c r="AD111" s="573">
        <v>171117.16999362101</v>
      </c>
      <c r="AE111" s="573">
        <v>101975.70693025945</v>
      </c>
      <c r="AF111" s="573">
        <v>1540177.1172631453</v>
      </c>
      <c r="AG111" s="573">
        <v>211196.45506988297</v>
      </c>
      <c r="AH111" s="573">
        <v>4132650.3062741915</v>
      </c>
      <c r="AI111" s="573">
        <v>20896.789998972545</v>
      </c>
      <c r="AJ111" s="573">
        <v>590741.25973837997</v>
      </c>
      <c r="AK111" s="573">
        <v>40541.60500881105</v>
      </c>
      <c r="AL111" s="573">
        <v>2769494.6010264945</v>
      </c>
      <c r="AM111" s="573">
        <v>1197885.020960944</v>
      </c>
      <c r="AN111" s="573">
        <v>3085783.7910977774</v>
      </c>
      <c r="AO111" s="573">
        <v>470419.37001390907</v>
      </c>
      <c r="AP111" s="573">
        <v>2698793.8045534152</v>
      </c>
      <c r="AQ111" s="573">
        <v>0</v>
      </c>
      <c r="AR111" s="573">
        <v>7235991.211334466</v>
      </c>
      <c r="AS111" s="573">
        <v>15989425.602208868</v>
      </c>
      <c r="AT111" s="573">
        <v>146997.96825522961</v>
      </c>
      <c r="AU111" s="573">
        <v>0</v>
      </c>
      <c r="AV111" s="573">
        <v>3163103.1539400727</v>
      </c>
      <c r="AW111" s="573">
        <v>4142778.5943410154</v>
      </c>
      <c r="AX111" s="573">
        <v>0</v>
      </c>
      <c r="AY111" s="573">
        <v>0</v>
      </c>
      <c r="AZ111" s="573">
        <v>0</v>
      </c>
      <c r="BA111" s="573">
        <v>0</v>
      </c>
      <c r="BB111" s="573">
        <v>0</v>
      </c>
      <c r="BC111" s="573">
        <v>0</v>
      </c>
      <c r="BE111" s="987">
        <f t="shared" si="245"/>
        <v>645073572.63535976</v>
      </c>
    </row>
    <row r="112" spans="2:57" s="227" customFormat="1" outlineLevel="1">
      <c r="B112" s="587"/>
      <c r="C112" s="574">
        <v>46174</v>
      </c>
      <c r="D112" s="573">
        <v>86167124.852680266</v>
      </c>
      <c r="E112" s="573">
        <v>50630626.245181732</v>
      </c>
      <c r="F112" s="573">
        <v>97264898.825367272</v>
      </c>
      <c r="G112" s="573">
        <v>4265196.531385568</v>
      </c>
      <c r="H112" s="573">
        <v>862697.21986239916</v>
      </c>
      <c r="I112" s="573">
        <v>1449390.2549218044</v>
      </c>
      <c r="J112" s="573">
        <v>354977.57500008994</v>
      </c>
      <c r="K112" s="573">
        <v>412945.79497568362</v>
      </c>
      <c r="L112" s="573">
        <v>8972615.6983345821</v>
      </c>
      <c r="M112" s="573">
        <v>71552145.971977234</v>
      </c>
      <c r="N112" s="573">
        <v>20425049.495742455</v>
      </c>
      <c r="O112" s="573">
        <v>18391090.247498769</v>
      </c>
      <c r="P112" s="573">
        <v>178567199.87756646</v>
      </c>
      <c r="Q112" s="573">
        <v>5949504.9115943927</v>
      </c>
      <c r="R112" s="573">
        <v>17296227.274198901</v>
      </c>
      <c r="S112" s="573">
        <v>6715721.1208656644</v>
      </c>
      <c r="T112" s="573">
        <v>5388999.2300543236</v>
      </c>
      <c r="U112" s="573">
        <v>2306423.8602137943</v>
      </c>
      <c r="V112" s="573">
        <v>186279.29500448308</v>
      </c>
      <c r="W112" s="573">
        <v>45036.575023031939</v>
      </c>
      <c r="X112" s="573">
        <v>6551425.9569584541</v>
      </c>
      <c r="Y112" s="573">
        <v>398703.80017371953</v>
      </c>
      <c r="Z112" s="573">
        <v>2265540.0507676913</v>
      </c>
      <c r="AA112" s="573">
        <v>3073472.373337022</v>
      </c>
      <c r="AB112" s="573">
        <v>5959357.7061611218</v>
      </c>
      <c r="AC112" s="573">
        <v>62449.769989414752</v>
      </c>
      <c r="AD112" s="573">
        <v>170737.81999304108</v>
      </c>
      <c r="AE112" s="573">
        <v>101725.29074210122</v>
      </c>
      <c r="AF112" s="573">
        <v>1535902.9501961586</v>
      </c>
      <c r="AG112" s="573">
        <v>210533.33507623596</v>
      </c>
      <c r="AH112" s="573">
        <v>4121776.5213900264</v>
      </c>
      <c r="AI112" s="573">
        <v>20844.804998879139</v>
      </c>
      <c r="AJ112" s="573">
        <v>588858.37971459632</v>
      </c>
      <c r="AK112" s="573">
        <v>40457.155009612048</v>
      </c>
      <c r="AL112" s="573">
        <v>2762270.9915743573</v>
      </c>
      <c r="AM112" s="573">
        <v>1194325.7105937572</v>
      </c>
      <c r="AN112" s="573">
        <v>3078634.0211975756</v>
      </c>
      <c r="AO112" s="573">
        <v>469232.86001517356</v>
      </c>
      <c r="AP112" s="573">
        <v>2692038.4045128166</v>
      </c>
      <c r="AQ112" s="573">
        <v>0</v>
      </c>
      <c r="AR112" s="573">
        <v>7217785.0132739637</v>
      </c>
      <c r="AS112" s="573">
        <v>15953497.08877331</v>
      </c>
      <c r="AT112" s="573">
        <v>146630.09446025049</v>
      </c>
      <c r="AU112" s="573">
        <v>0</v>
      </c>
      <c r="AV112" s="573">
        <v>3155381.788843716</v>
      </c>
      <c r="AW112" s="573">
        <v>4132867.8392811078</v>
      </c>
      <c r="AX112" s="573">
        <v>0</v>
      </c>
      <c r="AY112" s="573">
        <v>0</v>
      </c>
      <c r="AZ112" s="573">
        <v>0</v>
      </c>
      <c r="BA112" s="573">
        <v>0</v>
      </c>
      <c r="BB112" s="573">
        <v>0</v>
      </c>
      <c r="BC112" s="573">
        <v>0</v>
      </c>
      <c r="BE112" s="987">
        <f t="shared" si="245"/>
        <v>643108600.58448303</v>
      </c>
    </row>
    <row r="113" spans="2:57" s="227" customFormat="1" outlineLevel="1">
      <c r="B113" s="587"/>
      <c r="C113" s="574">
        <v>46204</v>
      </c>
      <c r="D113" s="573">
        <v>85891057.977070272</v>
      </c>
      <c r="E113" s="573">
        <v>50458592.412280209</v>
      </c>
      <c r="F113" s="573">
        <v>97005453.839981198</v>
      </c>
      <c r="G113" s="573">
        <v>4243899.3065010319</v>
      </c>
      <c r="H113" s="573">
        <v>859989.7827675991</v>
      </c>
      <c r="I113" s="573">
        <v>1444941.9949152882</v>
      </c>
      <c r="J113" s="573">
        <v>354917.06000009738</v>
      </c>
      <c r="K113" s="573">
        <v>412207.24997365725</v>
      </c>
      <c r="L113" s="573">
        <v>8938624.9081957974</v>
      </c>
      <c r="M113" s="573">
        <v>71195143.331308663</v>
      </c>
      <c r="N113" s="573">
        <v>20370213.695387658</v>
      </c>
      <c r="O113" s="573">
        <v>18329281.556456998</v>
      </c>
      <c r="P113" s="573">
        <v>178110113.40403035</v>
      </c>
      <c r="Q113" s="573">
        <v>5933412.2217272595</v>
      </c>
      <c r="R113" s="573">
        <v>17253581.904132143</v>
      </c>
      <c r="S113" s="573">
        <v>6695880.1809378024</v>
      </c>
      <c r="T113" s="573">
        <v>5373621.1550588505</v>
      </c>
      <c r="U113" s="573">
        <v>2300075.8052316108</v>
      </c>
      <c r="V113" s="573">
        <v>185694.45500485669</v>
      </c>
      <c r="W113" s="573">
        <v>44895.315024951269</v>
      </c>
      <c r="X113" s="573">
        <v>6534381.9421216585</v>
      </c>
      <c r="Y113" s="573">
        <v>397198.49518819619</v>
      </c>
      <c r="Z113" s="573">
        <v>2260081.0258316658</v>
      </c>
      <c r="AA113" s="573">
        <v>3065937.7131984401</v>
      </c>
      <c r="AB113" s="573">
        <v>5945105.7050078809</v>
      </c>
      <c r="AC113" s="573">
        <v>62295.484988532648</v>
      </c>
      <c r="AD113" s="573">
        <v>170358.46999246118</v>
      </c>
      <c r="AE113" s="573">
        <v>101474.87455394299</v>
      </c>
      <c r="AF113" s="573">
        <v>1531628.7831291717</v>
      </c>
      <c r="AG113" s="573">
        <v>209870.21508258895</v>
      </c>
      <c r="AH113" s="573">
        <v>4110902.7365058623</v>
      </c>
      <c r="AI113" s="573">
        <v>20792.819998785733</v>
      </c>
      <c r="AJ113" s="573">
        <v>586975.49969081266</v>
      </c>
      <c r="AK113" s="573">
        <v>40372.705010413054</v>
      </c>
      <c r="AL113" s="573">
        <v>2755047.3821222209</v>
      </c>
      <c r="AM113" s="573">
        <v>1190766.4002265704</v>
      </c>
      <c r="AN113" s="573">
        <v>3071484.2512973733</v>
      </c>
      <c r="AO113" s="573">
        <v>468046.35001643799</v>
      </c>
      <c r="AP113" s="573">
        <v>2685283.0044722175</v>
      </c>
      <c r="AQ113" s="573">
        <v>0</v>
      </c>
      <c r="AR113" s="573">
        <v>7199578.8152134605</v>
      </c>
      <c r="AS113" s="573">
        <v>15917568.575337753</v>
      </c>
      <c r="AT113" s="573">
        <v>146262.22066527136</v>
      </c>
      <c r="AU113" s="573">
        <v>0</v>
      </c>
      <c r="AV113" s="573">
        <v>3147660.4237473588</v>
      </c>
      <c r="AW113" s="573">
        <v>4122957.0842212001</v>
      </c>
      <c r="AX113" s="573">
        <v>0</v>
      </c>
      <c r="AY113" s="573">
        <v>0</v>
      </c>
      <c r="AZ113" s="573">
        <v>0</v>
      </c>
      <c r="BA113" s="573">
        <v>0</v>
      </c>
      <c r="BB113" s="573">
        <v>0</v>
      </c>
      <c r="BC113" s="573">
        <v>0</v>
      </c>
      <c r="BE113" s="987">
        <f t="shared" si="245"/>
        <v>641143628.53360665</v>
      </c>
    </row>
    <row r="114" spans="2:57" s="227" customFormat="1" outlineLevel="1">
      <c r="B114" s="587"/>
      <c r="C114" s="574">
        <v>46235</v>
      </c>
      <c r="D114" s="573">
        <v>85614991.101460308</v>
      </c>
      <c r="E114" s="573">
        <v>50286558.579378687</v>
      </c>
      <c r="F114" s="573">
        <v>96746008.854595155</v>
      </c>
      <c r="G114" s="573">
        <v>4222602.0816164957</v>
      </c>
      <c r="H114" s="573">
        <v>857282.34567279904</v>
      </c>
      <c r="I114" s="573">
        <v>1440493.7349087717</v>
      </c>
      <c r="J114" s="573">
        <v>354856.54500010493</v>
      </c>
      <c r="K114" s="573">
        <v>411468.70497163088</v>
      </c>
      <c r="L114" s="573">
        <v>8904634.1180570126</v>
      </c>
      <c r="M114" s="573">
        <v>70838140.690640107</v>
      </c>
      <c r="N114" s="573">
        <v>20315377.89503286</v>
      </c>
      <c r="O114" s="573">
        <v>18267472.86541523</v>
      </c>
      <c r="P114" s="573">
        <v>177653026.93049422</v>
      </c>
      <c r="Q114" s="573">
        <v>5917319.5318601262</v>
      </c>
      <c r="R114" s="573">
        <v>17210936.534065384</v>
      </c>
      <c r="S114" s="573">
        <v>6676039.2410099413</v>
      </c>
      <c r="T114" s="573">
        <v>5358243.0800633775</v>
      </c>
      <c r="U114" s="573">
        <v>2293727.7502494268</v>
      </c>
      <c r="V114" s="573">
        <v>185109.61500523027</v>
      </c>
      <c r="W114" s="573">
        <v>44754.055026870592</v>
      </c>
      <c r="X114" s="573">
        <v>6517337.9272848628</v>
      </c>
      <c r="Y114" s="573">
        <v>395693.19020267285</v>
      </c>
      <c r="Z114" s="573">
        <v>2254622.0008956403</v>
      </c>
      <c r="AA114" s="573">
        <v>3058403.0530598587</v>
      </c>
      <c r="AB114" s="573">
        <v>5930853.7038546419</v>
      </c>
      <c r="AC114" s="573">
        <v>62141.199987650543</v>
      </c>
      <c r="AD114" s="573">
        <v>169979.11999188125</v>
      </c>
      <c r="AE114" s="573">
        <v>101224.45836578477</v>
      </c>
      <c r="AF114" s="573">
        <v>1527354.6160621848</v>
      </c>
      <c r="AG114" s="573">
        <v>209207.09508894195</v>
      </c>
      <c r="AH114" s="573">
        <v>4100028.9516216977</v>
      </c>
      <c r="AI114" s="573">
        <v>20740.834998692331</v>
      </c>
      <c r="AJ114" s="573">
        <v>585092.61966702901</v>
      </c>
      <c r="AK114" s="573">
        <v>40288.25501121406</v>
      </c>
      <c r="AL114" s="573">
        <v>2747823.7726700837</v>
      </c>
      <c r="AM114" s="573">
        <v>1187207.0898593834</v>
      </c>
      <c r="AN114" s="573">
        <v>3064334.4813971715</v>
      </c>
      <c r="AO114" s="573">
        <v>466859.84001770249</v>
      </c>
      <c r="AP114" s="573">
        <v>2678527.6044316189</v>
      </c>
      <c r="AQ114" s="573">
        <v>0</v>
      </c>
      <c r="AR114" s="573">
        <v>7181372.6171529572</v>
      </c>
      <c r="AS114" s="573">
        <v>15881640.061902193</v>
      </c>
      <c r="AT114" s="573">
        <v>145894.34687029224</v>
      </c>
      <c r="AU114" s="573">
        <v>0</v>
      </c>
      <c r="AV114" s="573">
        <v>3139939.0586510021</v>
      </c>
      <c r="AW114" s="573">
        <v>4113046.3291612924</v>
      </c>
      <c r="AX114" s="573">
        <v>0</v>
      </c>
      <c r="AY114" s="573">
        <v>0</v>
      </c>
      <c r="AZ114" s="573">
        <v>0</v>
      </c>
      <c r="BA114" s="573">
        <v>0</v>
      </c>
      <c r="BB114" s="573">
        <v>0</v>
      </c>
      <c r="BC114" s="573">
        <v>0</v>
      </c>
      <c r="BE114" s="987">
        <f t="shared" si="245"/>
        <v>639178656.48272991</v>
      </c>
    </row>
    <row r="115" spans="2:57" s="227" customFormat="1" outlineLevel="1">
      <c r="B115" s="587"/>
      <c r="C115" s="574">
        <v>46266</v>
      </c>
      <c r="D115" s="573">
        <v>85338924.225850314</v>
      </c>
      <c r="E115" s="573">
        <v>50114524.746477164</v>
      </c>
      <c r="F115" s="573">
        <v>96486563.869209081</v>
      </c>
      <c r="G115" s="573">
        <v>4201304.8567319596</v>
      </c>
      <c r="H115" s="573">
        <v>854574.90857799898</v>
      </c>
      <c r="I115" s="573">
        <v>1436045.4749022555</v>
      </c>
      <c r="J115" s="573">
        <v>354796.03000011237</v>
      </c>
      <c r="K115" s="573">
        <v>410730.15996960452</v>
      </c>
      <c r="L115" s="573">
        <v>8870643.3279182278</v>
      </c>
      <c r="M115" s="573">
        <v>70481138.049971551</v>
      </c>
      <c r="N115" s="573">
        <v>20260542.094678067</v>
      </c>
      <c r="O115" s="573">
        <v>18205664.174373463</v>
      </c>
      <c r="P115" s="573">
        <v>177195940.45695809</v>
      </c>
      <c r="Q115" s="573">
        <v>5901226.841992992</v>
      </c>
      <c r="R115" s="573">
        <v>17168291.163998626</v>
      </c>
      <c r="S115" s="573">
        <v>6656198.3010820802</v>
      </c>
      <c r="T115" s="573">
        <v>5342865.0050679045</v>
      </c>
      <c r="U115" s="573">
        <v>2287379.6952672433</v>
      </c>
      <c r="V115" s="573">
        <v>184524.77500560385</v>
      </c>
      <c r="W115" s="573">
        <v>44612.795028789922</v>
      </c>
      <c r="X115" s="573">
        <v>6500293.9124480672</v>
      </c>
      <c r="Y115" s="573">
        <v>394187.88521714945</v>
      </c>
      <c r="Z115" s="573">
        <v>2249162.9759596144</v>
      </c>
      <c r="AA115" s="573">
        <v>3050868.3929212773</v>
      </c>
      <c r="AB115" s="573">
        <v>5916601.702701401</v>
      </c>
      <c r="AC115" s="573">
        <v>61986.914986768439</v>
      </c>
      <c r="AD115" s="573">
        <v>169599.76999130135</v>
      </c>
      <c r="AE115" s="573">
        <v>100974.04217762653</v>
      </c>
      <c r="AF115" s="573">
        <v>1523080.4489951981</v>
      </c>
      <c r="AG115" s="573">
        <v>208543.97509529494</v>
      </c>
      <c r="AH115" s="573">
        <v>4089155.1667375336</v>
      </c>
      <c r="AI115" s="573">
        <v>20688.849998598926</v>
      </c>
      <c r="AJ115" s="573">
        <v>583209.73964324547</v>
      </c>
      <c r="AK115" s="573">
        <v>40203.805012015066</v>
      </c>
      <c r="AL115" s="573">
        <v>2740600.1632179469</v>
      </c>
      <c r="AM115" s="573">
        <v>1183647.7794921964</v>
      </c>
      <c r="AN115" s="573">
        <v>3057184.7114969692</v>
      </c>
      <c r="AO115" s="573">
        <v>465673.33001896692</v>
      </c>
      <c r="AP115" s="573">
        <v>2671772.2043910204</v>
      </c>
      <c r="AQ115" s="573">
        <v>0</v>
      </c>
      <c r="AR115" s="573">
        <v>7163166.4190924549</v>
      </c>
      <c r="AS115" s="573">
        <v>15845711.548466636</v>
      </c>
      <c r="AT115" s="573">
        <v>145526.47307531312</v>
      </c>
      <c r="AU115" s="573">
        <v>0</v>
      </c>
      <c r="AV115" s="573">
        <v>3132217.6935546449</v>
      </c>
      <c r="AW115" s="573">
        <v>4103135.5741013847</v>
      </c>
      <c r="AX115" s="573">
        <v>0</v>
      </c>
      <c r="AY115" s="573">
        <v>0</v>
      </c>
      <c r="AZ115" s="573">
        <v>0</v>
      </c>
      <c r="BA115" s="573">
        <v>0</v>
      </c>
      <c r="BB115" s="573">
        <v>0</v>
      </c>
      <c r="BC115" s="573">
        <v>0</v>
      </c>
      <c r="BE115" s="987">
        <f t="shared" si="245"/>
        <v>637213684.43185365</v>
      </c>
    </row>
    <row r="116" spans="2:57" s="227" customFormat="1" outlineLevel="1">
      <c r="B116" s="587"/>
      <c r="C116" s="574">
        <v>46296</v>
      </c>
      <c r="D116" s="573">
        <v>85062857.35024035</v>
      </c>
      <c r="E116" s="573">
        <v>49942490.913575642</v>
      </c>
      <c r="F116" s="573">
        <v>96227118.883823037</v>
      </c>
      <c r="G116" s="573">
        <v>4180007.6318474235</v>
      </c>
      <c r="H116" s="573">
        <v>851867.47148319893</v>
      </c>
      <c r="I116" s="573">
        <v>1431597.2148957392</v>
      </c>
      <c r="J116" s="573">
        <v>354735.51500011992</v>
      </c>
      <c r="K116" s="573">
        <v>409991.61496757815</v>
      </c>
      <c r="L116" s="573">
        <v>8836652.537779443</v>
      </c>
      <c r="M116" s="573">
        <v>70124135.40930298</v>
      </c>
      <c r="N116" s="573">
        <v>20205706.294323273</v>
      </c>
      <c r="O116" s="573">
        <v>18143855.483331691</v>
      </c>
      <c r="P116" s="573">
        <v>176738853.98342195</v>
      </c>
      <c r="Q116" s="573">
        <v>5885134.1521258578</v>
      </c>
      <c r="R116" s="573">
        <v>17125645.793931868</v>
      </c>
      <c r="S116" s="573">
        <v>6636357.3611542191</v>
      </c>
      <c r="T116" s="573">
        <v>5327486.9300724315</v>
      </c>
      <c r="U116" s="573">
        <v>2281031.6402850593</v>
      </c>
      <c r="V116" s="573">
        <v>183939.93500597746</v>
      </c>
      <c r="W116" s="573">
        <v>44471.535030709252</v>
      </c>
      <c r="X116" s="573">
        <v>6483249.8976112716</v>
      </c>
      <c r="Y116" s="573">
        <v>392682.58023162605</v>
      </c>
      <c r="Z116" s="573">
        <v>2243703.9510235889</v>
      </c>
      <c r="AA116" s="573">
        <v>3043333.7327826959</v>
      </c>
      <c r="AB116" s="573">
        <v>5902349.7015481619</v>
      </c>
      <c r="AC116" s="573">
        <v>61832.629985886335</v>
      </c>
      <c r="AD116" s="573">
        <v>169220.41999072145</v>
      </c>
      <c r="AE116" s="573">
        <v>100723.6259894683</v>
      </c>
      <c r="AF116" s="573">
        <v>1518806.2819282112</v>
      </c>
      <c r="AG116" s="573">
        <v>207880.85510164796</v>
      </c>
      <c r="AH116" s="573">
        <v>4078281.3818533691</v>
      </c>
      <c r="AI116" s="573">
        <v>20636.86499850552</v>
      </c>
      <c r="AJ116" s="573">
        <v>581326.85961946181</v>
      </c>
      <c r="AK116" s="573">
        <v>40119.355012816071</v>
      </c>
      <c r="AL116" s="573">
        <v>2733376.5537658101</v>
      </c>
      <c r="AM116" s="573">
        <v>1180088.4691250096</v>
      </c>
      <c r="AN116" s="573">
        <v>3050034.9415967674</v>
      </c>
      <c r="AO116" s="573">
        <v>464486.82002023136</v>
      </c>
      <c r="AP116" s="573">
        <v>2665016.8043504218</v>
      </c>
      <c r="AQ116" s="573">
        <v>0</v>
      </c>
      <c r="AR116" s="573">
        <v>7144960.2210319508</v>
      </c>
      <c r="AS116" s="573">
        <v>15809783.035031078</v>
      </c>
      <c r="AT116" s="573">
        <v>145158.59928033399</v>
      </c>
      <c r="AU116" s="573">
        <v>0</v>
      </c>
      <c r="AV116" s="573">
        <v>3124496.3284582878</v>
      </c>
      <c r="AW116" s="573">
        <v>4093224.8190414771</v>
      </c>
      <c r="AX116" s="573">
        <v>0</v>
      </c>
      <c r="AY116" s="573">
        <v>0</v>
      </c>
      <c r="AZ116" s="573">
        <v>0</v>
      </c>
      <c r="BA116" s="573">
        <v>0</v>
      </c>
      <c r="BB116" s="573">
        <v>0</v>
      </c>
      <c r="BC116" s="573">
        <v>0</v>
      </c>
      <c r="BE116" s="987">
        <f t="shared" si="245"/>
        <v>635248712.38097727</v>
      </c>
    </row>
    <row r="117" spans="2:57" s="227" customFormat="1" outlineLevel="1">
      <c r="B117" s="587"/>
      <c r="C117" s="574">
        <v>46327</v>
      </c>
      <c r="D117" s="573">
        <v>84786790.474630356</v>
      </c>
      <c r="E117" s="573">
        <v>49770457.080674119</v>
      </c>
      <c r="F117" s="573">
        <v>95967673.898436964</v>
      </c>
      <c r="G117" s="573">
        <v>4158710.4069628874</v>
      </c>
      <c r="H117" s="573">
        <v>849160.03438839887</v>
      </c>
      <c r="I117" s="573">
        <v>1427148.9548892227</v>
      </c>
      <c r="J117" s="573">
        <v>354675.00000012736</v>
      </c>
      <c r="K117" s="573">
        <v>409253.06996555178</v>
      </c>
      <c r="L117" s="573">
        <v>8802661.7476406582</v>
      </c>
      <c r="M117" s="573">
        <v>69767132.768634409</v>
      </c>
      <c r="N117" s="573">
        <v>20150870.493968476</v>
      </c>
      <c r="O117" s="573">
        <v>18082046.79228992</v>
      </c>
      <c r="P117" s="573">
        <v>176281767.50988585</v>
      </c>
      <c r="Q117" s="573">
        <v>5869041.4622587245</v>
      </c>
      <c r="R117" s="573">
        <v>17083000.42386511</v>
      </c>
      <c r="S117" s="573">
        <v>6616516.421226358</v>
      </c>
      <c r="T117" s="573">
        <v>5312108.8550769584</v>
      </c>
      <c r="U117" s="573">
        <v>2274683.5853028754</v>
      </c>
      <c r="V117" s="573">
        <v>183355.09500635104</v>
      </c>
      <c r="W117" s="573">
        <v>44330.275032628575</v>
      </c>
      <c r="X117" s="573">
        <v>6466205.882774476</v>
      </c>
      <c r="Y117" s="573">
        <v>391177.27524610271</v>
      </c>
      <c r="Z117" s="573">
        <v>2238244.9260875629</v>
      </c>
      <c r="AA117" s="573">
        <v>3035799.0726441145</v>
      </c>
      <c r="AB117" s="573">
        <v>5888097.7003949219</v>
      </c>
      <c r="AC117" s="573">
        <v>61678.344985004231</v>
      </c>
      <c r="AD117" s="573">
        <v>168841.06999014152</v>
      </c>
      <c r="AE117" s="573">
        <v>100473.20980131008</v>
      </c>
      <c r="AF117" s="573">
        <v>1514532.1148612245</v>
      </c>
      <c r="AG117" s="573">
        <v>207217.73510800095</v>
      </c>
      <c r="AH117" s="573">
        <v>4067407.596969205</v>
      </c>
      <c r="AI117" s="573">
        <v>20584.879998412114</v>
      </c>
      <c r="AJ117" s="573">
        <v>579443.97959567816</v>
      </c>
      <c r="AK117" s="573">
        <v>40034.90501361707</v>
      </c>
      <c r="AL117" s="573">
        <v>2726152.9443136728</v>
      </c>
      <c r="AM117" s="573">
        <v>1176529.1587578228</v>
      </c>
      <c r="AN117" s="573">
        <v>3042885.1716965651</v>
      </c>
      <c r="AO117" s="573">
        <v>463300.31002149585</v>
      </c>
      <c r="AP117" s="573">
        <v>2658261.4043098232</v>
      </c>
      <c r="AQ117" s="573">
        <v>0</v>
      </c>
      <c r="AR117" s="573">
        <v>7126754.0229714485</v>
      </c>
      <c r="AS117" s="573">
        <v>15773854.521595521</v>
      </c>
      <c r="AT117" s="573">
        <v>144790.72548535487</v>
      </c>
      <c r="AU117" s="573">
        <v>0</v>
      </c>
      <c r="AV117" s="573">
        <v>3116774.963361931</v>
      </c>
      <c r="AW117" s="573">
        <v>4083314.0639815694</v>
      </c>
      <c r="AX117" s="573">
        <v>109223.45448782727</v>
      </c>
      <c r="AY117" s="573">
        <v>0</v>
      </c>
      <c r="AZ117" s="573">
        <v>0</v>
      </c>
      <c r="BA117" s="573">
        <v>0</v>
      </c>
      <c r="BB117" s="573">
        <v>0</v>
      </c>
      <c r="BC117" s="573">
        <v>0</v>
      </c>
      <c r="BE117" s="987">
        <f t="shared" si="245"/>
        <v>633392963.78458858</v>
      </c>
    </row>
    <row r="118" spans="2:57" s="227" customFormat="1" outlineLevel="1">
      <c r="B118" s="588"/>
      <c r="C118" s="566">
        <v>46357</v>
      </c>
      <c r="D118" s="570">
        <v>84510723.599020392</v>
      </c>
      <c r="E118" s="570">
        <v>49598423.247772597</v>
      </c>
      <c r="F118" s="570">
        <v>95708228.91305092</v>
      </c>
      <c r="G118" s="570">
        <v>4137413.1820783513</v>
      </c>
      <c r="H118" s="570">
        <v>846452.59729359881</v>
      </c>
      <c r="I118" s="570">
        <v>1422700.6948827063</v>
      </c>
      <c r="J118" s="570">
        <v>354614.48500013491</v>
      </c>
      <c r="K118" s="570">
        <v>408514.52496352541</v>
      </c>
      <c r="L118" s="570">
        <v>8768670.9575018734</v>
      </c>
      <c r="M118" s="570">
        <v>69410130.127965853</v>
      </c>
      <c r="N118" s="570">
        <v>20096034.693613678</v>
      </c>
      <c r="O118" s="570">
        <v>18020238.101248153</v>
      </c>
      <c r="P118" s="570">
        <v>175824681.03634971</v>
      </c>
      <c r="Q118" s="570">
        <v>5852948.7723915903</v>
      </c>
      <c r="R118" s="570">
        <v>17040355.053798351</v>
      </c>
      <c r="S118" s="570">
        <v>6596675.481298496</v>
      </c>
      <c r="T118" s="570">
        <v>5296730.7800814854</v>
      </c>
      <c r="U118" s="570">
        <v>2268335.5303206919</v>
      </c>
      <c r="V118" s="570">
        <v>182770.25500672462</v>
      </c>
      <c r="W118" s="570">
        <v>44189.015034547905</v>
      </c>
      <c r="X118" s="570">
        <v>6449161.8679376813</v>
      </c>
      <c r="Y118" s="570">
        <v>389671.97026057937</v>
      </c>
      <c r="Z118" s="570">
        <v>2232785.9011515374</v>
      </c>
      <c r="AA118" s="570">
        <v>3028264.4125055326</v>
      </c>
      <c r="AB118" s="570">
        <v>5873845.699241682</v>
      </c>
      <c r="AC118" s="570">
        <v>61524.059984122126</v>
      </c>
      <c r="AD118" s="570">
        <v>168461.71998956162</v>
      </c>
      <c r="AE118" s="570">
        <v>100222.79361315184</v>
      </c>
      <c r="AF118" s="570">
        <v>1510257.9477942376</v>
      </c>
      <c r="AG118" s="570">
        <v>206554.61511435395</v>
      </c>
      <c r="AH118" s="570">
        <v>4056533.8120850399</v>
      </c>
      <c r="AI118" s="570">
        <v>20532.894998318709</v>
      </c>
      <c r="AJ118" s="570">
        <v>577561.09957189451</v>
      </c>
      <c r="AK118" s="570">
        <v>39950.455014418076</v>
      </c>
      <c r="AL118" s="570">
        <v>2718929.3348615365</v>
      </c>
      <c r="AM118" s="570">
        <v>1172969.8483906358</v>
      </c>
      <c r="AN118" s="570">
        <v>3035735.4017963633</v>
      </c>
      <c r="AO118" s="570">
        <v>462113.80002276029</v>
      </c>
      <c r="AP118" s="570">
        <v>2651506.0042692246</v>
      </c>
      <c r="AQ118" s="570">
        <v>0</v>
      </c>
      <c r="AR118" s="570">
        <v>7108547.8249109453</v>
      </c>
      <c r="AS118" s="570">
        <v>15737926.008159963</v>
      </c>
      <c r="AT118" s="570">
        <v>144422.85169037574</v>
      </c>
      <c r="AU118" s="570">
        <v>0</v>
      </c>
      <c r="AV118" s="570">
        <v>3109053.5982655738</v>
      </c>
      <c r="AW118" s="570">
        <v>4073403.3089216617</v>
      </c>
      <c r="AX118" s="570">
        <v>108973.49018158081</v>
      </c>
      <c r="AY118" s="570">
        <v>0</v>
      </c>
      <c r="AZ118" s="570">
        <v>0</v>
      </c>
      <c r="BA118" s="570">
        <v>0</v>
      </c>
      <c r="BB118" s="570">
        <v>0</v>
      </c>
      <c r="BC118" s="570">
        <v>0</v>
      </c>
      <c r="BE118" s="988">
        <f t="shared" si="245"/>
        <v>631427741.76940596</v>
      </c>
    </row>
    <row r="119" spans="2:57" s="227" customFormat="1" outlineLevel="1">
      <c r="B119" s="590"/>
      <c r="C119" s="577" t="s">
        <v>891</v>
      </c>
      <c r="D119" s="592">
        <f t="shared" ref="D119:Z119" si="246">AVERAGE(D106:D118)</f>
        <v>86167124.852680281</v>
      </c>
      <c r="E119" s="592">
        <f t="shared" si="246"/>
        <v>50630626.245181732</v>
      </c>
      <c r="F119" s="592">
        <f t="shared" si="246"/>
        <v>97264898.825367272</v>
      </c>
      <c r="G119" s="592">
        <f t="shared" si="246"/>
        <v>4265196.5313855689</v>
      </c>
      <c r="H119" s="592">
        <f t="shared" si="246"/>
        <v>862697.21986239916</v>
      </c>
      <c r="I119" s="592">
        <f t="shared" ref="I119" si="247">AVERAGE(I106:I118)</f>
        <v>1449390.2549218042</v>
      </c>
      <c r="J119" s="592">
        <f t="shared" si="246"/>
        <v>354977.57500008994</v>
      </c>
      <c r="K119" s="592">
        <f t="shared" si="246"/>
        <v>412945.79497568362</v>
      </c>
      <c r="L119" s="592">
        <f t="shared" si="246"/>
        <v>8972615.6983345821</v>
      </c>
      <c r="M119" s="592">
        <f t="shared" si="246"/>
        <v>71552145.971977234</v>
      </c>
      <c r="N119" s="592">
        <f t="shared" si="246"/>
        <v>20425049.495742455</v>
      </c>
      <c r="O119" s="592">
        <f t="shared" si="246"/>
        <v>18391090.247498769</v>
      </c>
      <c r="P119" s="592">
        <f t="shared" si="246"/>
        <v>178567199.87756649</v>
      </c>
      <c r="Q119" s="592">
        <f t="shared" si="246"/>
        <v>5949504.9115943927</v>
      </c>
      <c r="R119" s="592">
        <f t="shared" si="246"/>
        <v>17296227.274198905</v>
      </c>
      <c r="S119" s="592">
        <f t="shared" si="246"/>
        <v>6715721.1208656635</v>
      </c>
      <c r="T119" s="592">
        <f t="shared" si="246"/>
        <v>5388999.2300543245</v>
      </c>
      <c r="U119" s="592">
        <f t="shared" si="246"/>
        <v>2306423.8602137947</v>
      </c>
      <c r="V119" s="592">
        <f t="shared" si="246"/>
        <v>186279.29500448311</v>
      </c>
      <c r="W119" s="592">
        <f t="shared" si="246"/>
        <v>45036.575023031925</v>
      </c>
      <c r="X119" s="592">
        <f t="shared" si="246"/>
        <v>6551425.9569584541</v>
      </c>
      <c r="Y119" s="592">
        <f t="shared" si="246"/>
        <v>398703.80017371947</v>
      </c>
      <c r="Z119" s="592">
        <f t="shared" si="246"/>
        <v>2265540.0507676918</v>
      </c>
      <c r="AA119" s="592">
        <f t="shared" ref="AA119:AK119" si="248">AVERAGE(AA106:AA118)</f>
        <v>3073472.373337022</v>
      </c>
      <c r="AB119" s="592">
        <f t="shared" si="248"/>
        <v>5959357.7061611218</v>
      </c>
      <c r="AC119" s="592">
        <f t="shared" si="248"/>
        <v>62449.769989414752</v>
      </c>
      <c r="AD119" s="592">
        <f t="shared" si="248"/>
        <v>170737.81999304105</v>
      </c>
      <c r="AE119" s="592">
        <f t="shared" si="248"/>
        <v>101725.29074210122</v>
      </c>
      <c r="AF119" s="592">
        <f t="shared" si="248"/>
        <v>1535902.9501961584</v>
      </c>
      <c r="AG119" s="592">
        <f>AVERAGE(AG106:AG118)</f>
        <v>210533.33507623599</v>
      </c>
      <c r="AH119" s="592">
        <f>AVERAGE(AH106:AH118)</f>
        <v>4121776.5213900274</v>
      </c>
      <c r="AI119" s="592">
        <f>AVERAGE(AI106:AI118)</f>
        <v>20844.804998879139</v>
      </c>
      <c r="AJ119" s="592">
        <f t="shared" si="248"/>
        <v>588858.37971459632</v>
      </c>
      <c r="AK119" s="592">
        <f t="shared" si="248"/>
        <v>40457.155009612055</v>
      </c>
      <c r="AL119" s="592">
        <f t="shared" ref="AL119:AP119" si="249">AVERAGE(AL106:AL118)</f>
        <v>2762270.9915743573</v>
      </c>
      <c r="AM119" s="592">
        <f t="shared" si="249"/>
        <v>1194325.7105937572</v>
      </c>
      <c r="AN119" s="592">
        <f t="shared" si="249"/>
        <v>3078634.0211975751</v>
      </c>
      <c r="AO119" s="592">
        <f t="shared" si="249"/>
        <v>469232.86001517356</v>
      </c>
      <c r="AP119" s="592">
        <f t="shared" si="249"/>
        <v>2692038.404512817</v>
      </c>
      <c r="AQ119" s="592">
        <f t="shared" ref="AQ119:AW119" si="250">AVERAGE(AQ106:AQ118)</f>
        <v>0</v>
      </c>
      <c r="AR119" s="592">
        <f t="shared" si="250"/>
        <v>7217785.0132739637</v>
      </c>
      <c r="AS119" s="592">
        <f t="shared" si="250"/>
        <v>15953497.088773308</v>
      </c>
      <c r="AT119" s="592">
        <f t="shared" si="250"/>
        <v>146630.09446025049</v>
      </c>
      <c r="AU119" s="592">
        <f t="shared" si="250"/>
        <v>0</v>
      </c>
      <c r="AV119" s="592">
        <f t="shared" si="250"/>
        <v>3155381.7888437165</v>
      </c>
      <c r="AW119" s="592">
        <f t="shared" si="250"/>
        <v>4132867.8392811078</v>
      </c>
      <c r="AX119" s="592">
        <f t="shared" ref="AX119" si="251">AVERAGE(AX106:AX118)</f>
        <v>16784.380359185237</v>
      </c>
      <c r="AY119" s="592">
        <f t="shared" ref="AY119:BA119" si="252">AVERAGE(AY106:AY118)</f>
        <v>0</v>
      </c>
      <c r="AZ119" s="592">
        <f t="shared" si="252"/>
        <v>0</v>
      </c>
      <c r="BA119" s="592">
        <f t="shared" si="252"/>
        <v>0</v>
      </c>
      <c r="BB119" s="592">
        <f t="shared" ref="BB119:BC119" si="253">AVERAGE(BB106:BB118)</f>
        <v>0</v>
      </c>
      <c r="BC119" s="592">
        <f t="shared" si="253"/>
        <v>0</v>
      </c>
      <c r="BE119" s="592">
        <f t="shared" ref="BE119" si="254">AVERAGE(BE106:BE118)</f>
        <v>643125384.9648422</v>
      </c>
    </row>
    <row r="120" spans="2:57" s="227" customFormat="1" outlineLevel="1"/>
    <row r="121" spans="2:57" s="227" customFormat="1" outlineLevel="1">
      <c r="D121" s="595"/>
    </row>
    <row r="122" spans="2:57" s="227" customFormat="1" outlineLevel="1">
      <c r="D122" s="595"/>
    </row>
    <row r="123" spans="2:57" s="227" customFormat="1" outlineLevel="1">
      <c r="D123" s="595"/>
    </row>
    <row r="124" spans="2:57" s="227" customFormat="1"/>
    <row r="125" spans="2:57" s="227" customFormat="1" outlineLevel="1">
      <c r="B125" s="559" t="s">
        <v>967</v>
      </c>
      <c r="C125" s="560">
        <v>45992</v>
      </c>
      <c r="D125" s="596">
        <v>53666096.393659867</v>
      </c>
      <c r="E125" s="596">
        <v>36522822.237409137</v>
      </c>
      <c r="F125" s="596">
        <v>42009496.472316362</v>
      </c>
      <c r="G125" s="596">
        <v>4351643.4893072164</v>
      </c>
      <c r="H125" s="596">
        <v>380150.85256880033</v>
      </c>
      <c r="I125" s="596">
        <v>488526.9450390978</v>
      </c>
      <c r="J125" s="596">
        <v>-340936.01000004495</v>
      </c>
      <c r="K125" s="596">
        <v>-103731.3999878418</v>
      </c>
      <c r="L125" s="596">
        <v>5304429.2008327087</v>
      </c>
      <c r="M125" s="596">
        <v>46458693.924011379</v>
      </c>
      <c r="N125" s="596">
        <v>4993145.562128773</v>
      </c>
      <c r="O125" s="596">
        <v>7519014.4862506166</v>
      </c>
      <c r="P125" s="596">
        <v>45272774.65121676</v>
      </c>
      <c r="Q125" s="596">
        <v>1398942.0042028031</v>
      </c>
      <c r="R125" s="596">
        <v>2249167.5604005489</v>
      </c>
      <c r="S125" s="596">
        <v>1545857.7345671679</v>
      </c>
      <c r="T125" s="596">
        <v>1138676.1899728382</v>
      </c>
      <c r="U125" s="596">
        <v>320447.01989310276</v>
      </c>
      <c r="V125" s="596">
        <v>26319.309997758453</v>
      </c>
      <c r="W125" s="596">
        <v>6313.5499884840301</v>
      </c>
      <c r="X125" s="596">
        <v>622750.78402077302</v>
      </c>
      <c r="Y125" s="596">
        <v>132195.91491314015</v>
      </c>
      <c r="Z125" s="596">
        <v>138962.3646161542</v>
      </c>
      <c r="AA125" s="596">
        <v>248667.84083148919</v>
      </c>
      <c r="AB125" s="596">
        <v>274333.43691943941</v>
      </c>
      <c r="AC125" s="596">
        <v>3220.8050052926255</v>
      </c>
      <c r="AD125" s="596">
        <v>9719.3700034794638</v>
      </c>
      <c r="AE125" s="596">
        <v>4881.2921289493815</v>
      </c>
      <c r="AF125" s="596">
        <v>51289.642401920864</v>
      </c>
      <c r="AG125" s="596">
        <v>23377.209961882025</v>
      </c>
      <c r="AH125" s="596">
        <v>353481.09430498665</v>
      </c>
      <c r="AI125" s="596">
        <v>1282.85500056043</v>
      </c>
      <c r="AJ125" s="596">
        <v>37698.240142701849</v>
      </c>
      <c r="AK125" s="596">
        <v>1794.6549951939746</v>
      </c>
      <c r="AL125" s="596">
        <v>144937.19671282131</v>
      </c>
      <c r="AM125" s="596">
        <v>37328.072203121395</v>
      </c>
      <c r="AN125" s="596">
        <v>155758.56440121229</v>
      </c>
      <c r="AO125" s="596">
        <v>25903.659992413232</v>
      </c>
      <c r="AP125" s="596">
        <v>74389.410243591949</v>
      </c>
      <c r="AQ125" s="596">
        <v>0</v>
      </c>
      <c r="AR125" s="596">
        <v>163821.26336301811</v>
      </c>
      <c r="AS125" s="596">
        <v>323356.47061334562</v>
      </c>
      <c r="AT125" s="596">
        <v>3842.4777698747544</v>
      </c>
      <c r="AU125" s="596">
        <v>0</v>
      </c>
      <c r="AV125" s="596">
        <v>168984.66057814189</v>
      </c>
      <c r="AW125" s="596">
        <v>218728.1903594459</v>
      </c>
      <c r="AX125" s="596">
        <v>0</v>
      </c>
      <c r="AY125" s="596">
        <v>0</v>
      </c>
      <c r="AZ125" s="596">
        <v>0</v>
      </c>
      <c r="BA125" s="596">
        <v>0</v>
      </c>
      <c r="BB125" s="596">
        <v>0</v>
      </c>
      <c r="BC125" s="596">
        <v>0</v>
      </c>
      <c r="BE125" s="986">
        <f>SUM(D125:BD125)</f>
        <v>256428555.64525858</v>
      </c>
    </row>
    <row r="126" spans="2:57" s="227" customFormat="1" outlineLevel="1">
      <c r="B126" s="597"/>
      <c r="C126" s="572">
        <v>46023</v>
      </c>
      <c r="D126" s="598">
        <v>53942163.269269846</v>
      </c>
      <c r="E126" s="598">
        <v>36694856.07031066</v>
      </c>
      <c r="F126" s="598">
        <v>42268941.457702421</v>
      </c>
      <c r="G126" s="598">
        <v>4372940.7141917525</v>
      </c>
      <c r="H126" s="598">
        <v>382858.28966360039</v>
      </c>
      <c r="I126" s="598">
        <v>492975.2050456141</v>
      </c>
      <c r="J126" s="598">
        <v>-340875.49500005244</v>
      </c>
      <c r="K126" s="598">
        <v>-102992.85498581543</v>
      </c>
      <c r="L126" s="598">
        <v>5338419.9909714935</v>
      </c>
      <c r="M126" s="598">
        <v>46815696.564679943</v>
      </c>
      <c r="N126" s="598">
        <v>5047981.3624835685</v>
      </c>
      <c r="O126" s="598">
        <v>7580823.1772923861</v>
      </c>
      <c r="P126" s="598">
        <v>45729861.124752894</v>
      </c>
      <c r="Q126" s="598">
        <v>1415034.6940699369</v>
      </c>
      <c r="R126" s="598">
        <v>2291812.9304673071</v>
      </c>
      <c r="S126" s="598">
        <v>1565698.6744950293</v>
      </c>
      <c r="T126" s="598">
        <v>1154054.2649683112</v>
      </c>
      <c r="U126" s="598">
        <v>326795.07487528655</v>
      </c>
      <c r="V126" s="598">
        <v>26904.149997384862</v>
      </c>
      <c r="W126" s="598">
        <v>6454.8099865647018</v>
      </c>
      <c r="X126" s="598">
        <v>639794.79885756853</v>
      </c>
      <c r="Y126" s="598">
        <v>133701.21989866352</v>
      </c>
      <c r="Z126" s="598">
        <v>144421.3895521799</v>
      </c>
      <c r="AA126" s="598">
        <v>256202.50097007072</v>
      </c>
      <c r="AB126" s="598">
        <v>288585.43807267933</v>
      </c>
      <c r="AC126" s="598">
        <v>3375.0900061747298</v>
      </c>
      <c r="AD126" s="598">
        <v>10098.720004059374</v>
      </c>
      <c r="AE126" s="598">
        <v>5131.7083171076119</v>
      </c>
      <c r="AF126" s="598">
        <v>55563.809468907675</v>
      </c>
      <c r="AG126" s="598">
        <v>24040.329955529029</v>
      </c>
      <c r="AH126" s="598">
        <v>364354.87918915111</v>
      </c>
      <c r="AI126" s="598">
        <v>1334.840000653835</v>
      </c>
      <c r="AJ126" s="598">
        <v>39581.120166485489</v>
      </c>
      <c r="AK126" s="598">
        <v>1879.1049943929704</v>
      </c>
      <c r="AL126" s="598">
        <v>152160.80616495822</v>
      </c>
      <c r="AM126" s="598">
        <v>40887.382570308298</v>
      </c>
      <c r="AN126" s="598">
        <v>162908.33430141435</v>
      </c>
      <c r="AO126" s="598">
        <v>27090.16999114877</v>
      </c>
      <c r="AP126" s="598">
        <v>81144.810284190607</v>
      </c>
      <c r="AQ126" s="598">
        <v>0</v>
      </c>
      <c r="AR126" s="598">
        <v>182027.46142352116</v>
      </c>
      <c r="AS126" s="598">
        <v>359284.98404890322</v>
      </c>
      <c r="AT126" s="598">
        <v>4210.3515648538805</v>
      </c>
      <c r="AU126" s="598">
        <v>0</v>
      </c>
      <c r="AV126" s="598">
        <v>176706.02567449887</v>
      </c>
      <c r="AW126" s="598">
        <v>228638.94541935355</v>
      </c>
      <c r="AX126" s="598">
        <v>0</v>
      </c>
      <c r="AY126" s="598">
        <v>0</v>
      </c>
      <c r="AZ126" s="598">
        <v>0</v>
      </c>
      <c r="BA126" s="598">
        <v>0</v>
      </c>
      <c r="BB126" s="598">
        <v>0</v>
      </c>
      <c r="BC126" s="598">
        <v>0</v>
      </c>
      <c r="BE126" s="987">
        <f t="shared" ref="BE126:BE137" si="255">SUM(D126:BD126)</f>
        <v>258393527.69613487</v>
      </c>
    </row>
    <row r="127" spans="2:57" s="227" customFormat="1" outlineLevel="1">
      <c r="B127" s="597"/>
      <c r="C127" s="574">
        <v>46054</v>
      </c>
      <c r="D127" s="598">
        <v>54218230.144879825</v>
      </c>
      <c r="E127" s="598">
        <v>36866889.903212182</v>
      </c>
      <c r="F127" s="598">
        <v>42528386.443088479</v>
      </c>
      <c r="G127" s="598">
        <v>4394237.9390762886</v>
      </c>
      <c r="H127" s="598">
        <v>385565.72675840044</v>
      </c>
      <c r="I127" s="598">
        <v>497423.4650521304</v>
      </c>
      <c r="J127" s="598">
        <v>-340814.98000005994</v>
      </c>
      <c r="K127" s="598">
        <v>-102254.30998378906</v>
      </c>
      <c r="L127" s="598">
        <v>5372410.7811102783</v>
      </c>
      <c r="M127" s="598">
        <v>47172699.205348507</v>
      </c>
      <c r="N127" s="598">
        <v>5102817.162838364</v>
      </c>
      <c r="O127" s="598">
        <v>7642631.8683341555</v>
      </c>
      <c r="P127" s="598">
        <v>46186947.598289013</v>
      </c>
      <c r="Q127" s="598">
        <v>1431127.3839370708</v>
      </c>
      <c r="R127" s="598">
        <v>2334458.3005340653</v>
      </c>
      <c r="S127" s="598">
        <v>1585539.6144228906</v>
      </c>
      <c r="T127" s="598">
        <v>1169432.3399637842</v>
      </c>
      <c r="U127" s="598">
        <v>333143.12985747034</v>
      </c>
      <c r="V127" s="598">
        <v>27488.989997011271</v>
      </c>
      <c r="W127" s="598">
        <v>6596.0699846453736</v>
      </c>
      <c r="X127" s="598">
        <v>656838.81369436404</v>
      </c>
      <c r="Y127" s="598">
        <v>135206.52488418689</v>
      </c>
      <c r="Z127" s="598">
        <v>149880.4144882056</v>
      </c>
      <c r="AA127" s="598">
        <v>263737.16110865225</v>
      </c>
      <c r="AB127" s="598">
        <v>302837.4392259192</v>
      </c>
      <c r="AC127" s="598">
        <v>3529.375007056834</v>
      </c>
      <c r="AD127" s="598">
        <v>10478.070004639285</v>
      </c>
      <c r="AE127" s="598">
        <v>5382.1245052658423</v>
      </c>
      <c r="AF127" s="598">
        <v>59837.976535894486</v>
      </c>
      <c r="AG127" s="598">
        <v>24703.449949176033</v>
      </c>
      <c r="AH127" s="598">
        <v>375228.66407331557</v>
      </c>
      <c r="AI127" s="598">
        <v>1386.82500074724</v>
      </c>
      <c r="AJ127" s="598">
        <v>41464.000190269129</v>
      </c>
      <c r="AK127" s="598">
        <v>1963.5549935919662</v>
      </c>
      <c r="AL127" s="598">
        <v>159384.4156170951</v>
      </c>
      <c r="AM127" s="598">
        <v>44446.692937495194</v>
      </c>
      <c r="AN127" s="598">
        <v>170058.1042016164</v>
      </c>
      <c r="AO127" s="598">
        <v>28276.679989884309</v>
      </c>
      <c r="AP127" s="598">
        <v>87900.210324789266</v>
      </c>
      <c r="AQ127" s="598">
        <v>0</v>
      </c>
      <c r="AR127" s="598">
        <v>200233.65948402416</v>
      </c>
      <c r="AS127" s="598">
        <v>395213.49748446082</v>
      </c>
      <c r="AT127" s="598">
        <v>4578.2253598330062</v>
      </c>
      <c r="AU127" s="598">
        <v>0</v>
      </c>
      <c r="AV127" s="598">
        <v>184427.39077085585</v>
      </c>
      <c r="AW127" s="598">
        <v>238549.7004792612</v>
      </c>
      <c r="AX127" s="598">
        <v>0</v>
      </c>
      <c r="AY127" s="598">
        <v>0</v>
      </c>
      <c r="AZ127" s="598">
        <v>0</v>
      </c>
      <c r="BA127" s="598">
        <v>0</v>
      </c>
      <c r="BB127" s="598">
        <v>0</v>
      </c>
      <c r="BC127" s="598">
        <v>0</v>
      </c>
      <c r="BE127" s="987">
        <f t="shared" si="255"/>
        <v>260358499.74701127</v>
      </c>
    </row>
    <row r="128" spans="2:57" s="227" customFormat="1" outlineLevel="1">
      <c r="B128" s="597"/>
      <c r="C128" s="574">
        <v>46082</v>
      </c>
      <c r="D128" s="598">
        <v>54494297.020489804</v>
      </c>
      <c r="E128" s="598">
        <v>37038923.736113705</v>
      </c>
      <c r="F128" s="598">
        <v>42787831.428474538</v>
      </c>
      <c r="G128" s="598">
        <v>4415535.1639608247</v>
      </c>
      <c r="H128" s="598">
        <v>388273.1638532005</v>
      </c>
      <c r="I128" s="598">
        <v>501871.7250586467</v>
      </c>
      <c r="J128" s="598">
        <v>-340754.46500006743</v>
      </c>
      <c r="K128" s="598">
        <v>-101515.7649817627</v>
      </c>
      <c r="L128" s="598">
        <v>5406401.5712490631</v>
      </c>
      <c r="M128" s="598">
        <v>47529701.84601707</v>
      </c>
      <c r="N128" s="598">
        <v>5157652.9631931596</v>
      </c>
      <c r="O128" s="598">
        <v>7704440.559375925</v>
      </c>
      <c r="P128" s="598">
        <v>46644034.071825147</v>
      </c>
      <c r="Q128" s="598">
        <v>1447220.0738042048</v>
      </c>
      <c r="R128" s="598">
        <v>2377103.6706008236</v>
      </c>
      <c r="S128" s="598">
        <v>1605380.5543507519</v>
      </c>
      <c r="T128" s="598">
        <v>1184810.4149592572</v>
      </c>
      <c r="U128" s="598">
        <v>339491.18483965413</v>
      </c>
      <c r="V128" s="598">
        <v>28073.82999663768</v>
      </c>
      <c r="W128" s="598">
        <v>6737.3299827260453</v>
      </c>
      <c r="X128" s="598">
        <v>673882.82853115955</v>
      </c>
      <c r="Y128" s="598">
        <v>136711.82986971026</v>
      </c>
      <c r="Z128" s="598">
        <v>155339.4394242313</v>
      </c>
      <c r="AA128" s="598">
        <v>271271.82124723378</v>
      </c>
      <c r="AB128" s="598">
        <v>317089.44037915912</v>
      </c>
      <c r="AC128" s="598">
        <v>3683.6600079389382</v>
      </c>
      <c r="AD128" s="598">
        <v>10857.420005219195</v>
      </c>
      <c r="AE128" s="598">
        <v>5632.5406934240727</v>
      </c>
      <c r="AF128" s="598">
        <v>64112.143602881297</v>
      </c>
      <c r="AG128" s="598">
        <v>25366.569942823036</v>
      </c>
      <c r="AH128" s="598">
        <v>386102.44895747997</v>
      </c>
      <c r="AI128" s="598">
        <v>1438.810000840645</v>
      </c>
      <c r="AJ128" s="598">
        <v>43346.88021405277</v>
      </c>
      <c r="AK128" s="598">
        <v>2048.0049927909622</v>
      </c>
      <c r="AL128" s="598">
        <v>166608.02506923198</v>
      </c>
      <c r="AM128" s="598">
        <v>48006.003304682097</v>
      </c>
      <c r="AN128" s="598">
        <v>177207.87410181845</v>
      </c>
      <c r="AO128" s="598">
        <v>29463.189988619848</v>
      </c>
      <c r="AP128" s="598">
        <v>94655.610365387925</v>
      </c>
      <c r="AQ128" s="598">
        <v>0</v>
      </c>
      <c r="AR128" s="598">
        <v>218439.85754452721</v>
      </c>
      <c r="AS128" s="598">
        <v>431142.01092001842</v>
      </c>
      <c r="AT128" s="598">
        <v>4946.0991548121319</v>
      </c>
      <c r="AU128" s="598">
        <v>0</v>
      </c>
      <c r="AV128" s="598">
        <v>192148.75586721284</v>
      </c>
      <c r="AW128" s="598">
        <v>248460.45553916885</v>
      </c>
      <c r="AX128" s="598">
        <v>0</v>
      </c>
      <c r="AY128" s="598">
        <v>0</v>
      </c>
      <c r="AZ128" s="598">
        <v>0</v>
      </c>
      <c r="BA128" s="598">
        <v>0</v>
      </c>
      <c r="BB128" s="598">
        <v>0</v>
      </c>
      <c r="BC128" s="598">
        <v>0</v>
      </c>
      <c r="BE128" s="987">
        <f t="shared" si="255"/>
        <v>262323471.79788774</v>
      </c>
    </row>
    <row r="129" spans="2:57" s="227" customFormat="1" outlineLevel="1">
      <c r="B129" s="597"/>
      <c r="C129" s="574">
        <v>46113</v>
      </c>
      <c r="D129" s="598">
        <v>54770363.896099783</v>
      </c>
      <c r="E129" s="598">
        <v>37210957.569015227</v>
      </c>
      <c r="F129" s="598">
        <v>43047276.413860597</v>
      </c>
      <c r="G129" s="598">
        <v>4436832.3888453608</v>
      </c>
      <c r="H129" s="598">
        <v>390980.60094800056</v>
      </c>
      <c r="I129" s="598">
        <v>506319.985065163</v>
      </c>
      <c r="J129" s="598">
        <v>-340693.95000007492</v>
      </c>
      <c r="K129" s="598">
        <v>-100777.21997973633</v>
      </c>
      <c r="L129" s="598">
        <v>5440392.3613878479</v>
      </c>
      <c r="M129" s="598">
        <v>47886704.486685634</v>
      </c>
      <c r="N129" s="598">
        <v>5212488.7635479551</v>
      </c>
      <c r="O129" s="598">
        <v>7766249.2504176944</v>
      </c>
      <c r="P129" s="598">
        <v>47101120.545361266</v>
      </c>
      <c r="Q129" s="598">
        <v>1463312.7636713386</v>
      </c>
      <c r="R129" s="598">
        <v>2419749.0406675818</v>
      </c>
      <c r="S129" s="598">
        <v>1625221.4942786132</v>
      </c>
      <c r="T129" s="598">
        <v>1200188.4899547303</v>
      </c>
      <c r="U129" s="598">
        <v>345839.23982183792</v>
      </c>
      <c r="V129" s="598">
        <v>28658.669996264089</v>
      </c>
      <c r="W129" s="598">
        <v>6878.589980806717</v>
      </c>
      <c r="X129" s="598">
        <v>690926.84336795507</v>
      </c>
      <c r="Y129" s="598">
        <v>138217.13485523363</v>
      </c>
      <c r="Z129" s="598">
        <v>160798.464360257</v>
      </c>
      <c r="AA129" s="598">
        <v>278806.48138581531</v>
      </c>
      <c r="AB129" s="598">
        <v>331341.44153239904</v>
      </c>
      <c r="AC129" s="598">
        <v>3837.9450088210424</v>
      </c>
      <c r="AD129" s="598">
        <v>11236.770005799106</v>
      </c>
      <c r="AE129" s="598">
        <v>5882.9568815823031</v>
      </c>
      <c r="AF129" s="598">
        <v>68386.310669868108</v>
      </c>
      <c r="AG129" s="598">
        <v>26029.68993647004</v>
      </c>
      <c r="AH129" s="598">
        <v>396976.23384164443</v>
      </c>
      <c r="AI129" s="598">
        <v>1490.79500093405</v>
      </c>
      <c r="AJ129" s="598">
        <v>45229.76023783641</v>
      </c>
      <c r="AK129" s="598">
        <v>2132.4549919899582</v>
      </c>
      <c r="AL129" s="598">
        <v>173831.63452136889</v>
      </c>
      <c r="AM129" s="598">
        <v>51565.313671868993</v>
      </c>
      <c r="AN129" s="598">
        <v>184357.6440020205</v>
      </c>
      <c r="AO129" s="598">
        <v>30649.699987355387</v>
      </c>
      <c r="AP129" s="598">
        <v>101411.01040598658</v>
      </c>
      <c r="AQ129" s="598">
        <v>0</v>
      </c>
      <c r="AR129" s="598">
        <v>236646.05560503021</v>
      </c>
      <c r="AS129" s="598">
        <v>467070.52435557602</v>
      </c>
      <c r="AT129" s="598">
        <v>5313.9729497912576</v>
      </c>
      <c r="AU129" s="598">
        <v>0</v>
      </c>
      <c r="AV129" s="598">
        <v>199870.12096356982</v>
      </c>
      <c r="AW129" s="598">
        <v>258371.2105990765</v>
      </c>
      <c r="AX129" s="598">
        <v>0</v>
      </c>
      <c r="AY129" s="598">
        <v>0</v>
      </c>
      <c r="AZ129" s="598">
        <v>0</v>
      </c>
      <c r="BA129" s="598">
        <v>0</v>
      </c>
      <c r="BB129" s="598">
        <v>0</v>
      </c>
      <c r="BC129" s="598">
        <v>0</v>
      </c>
      <c r="BE129" s="987">
        <f t="shared" si="255"/>
        <v>264288443.84876421</v>
      </c>
    </row>
    <row r="130" spans="2:57" s="227" customFormat="1" outlineLevel="1">
      <c r="B130" s="597"/>
      <c r="C130" s="574">
        <v>46143</v>
      </c>
      <c r="D130" s="598">
        <v>55046430.771709763</v>
      </c>
      <c r="E130" s="598">
        <v>37382991.40191675</v>
      </c>
      <c r="F130" s="598">
        <v>43306721.399246655</v>
      </c>
      <c r="G130" s="598">
        <v>4458129.613729897</v>
      </c>
      <c r="H130" s="598">
        <v>393688.03804280062</v>
      </c>
      <c r="I130" s="598">
        <v>510768.2450716793</v>
      </c>
      <c r="J130" s="598">
        <v>-340633.43500008242</v>
      </c>
      <c r="K130" s="598">
        <v>-100038.67497770996</v>
      </c>
      <c r="L130" s="598">
        <v>5474383.1515266327</v>
      </c>
      <c r="M130" s="598">
        <v>48243707.127354197</v>
      </c>
      <c r="N130" s="598">
        <v>5267324.5639027506</v>
      </c>
      <c r="O130" s="598">
        <v>7828057.9414594639</v>
      </c>
      <c r="P130" s="598">
        <v>47558207.018897399</v>
      </c>
      <c r="Q130" s="598">
        <v>1479405.4535384723</v>
      </c>
      <c r="R130" s="598">
        <v>2462394.4107343401</v>
      </c>
      <c r="S130" s="598">
        <v>1645062.4342064746</v>
      </c>
      <c r="T130" s="598">
        <v>1215566.5649502033</v>
      </c>
      <c r="U130" s="598">
        <v>352187.29480402172</v>
      </c>
      <c r="V130" s="598">
        <v>29243.509995890498</v>
      </c>
      <c r="W130" s="598">
        <v>7019.8499788873887</v>
      </c>
      <c r="X130" s="598">
        <v>707970.85820475058</v>
      </c>
      <c r="Y130" s="598">
        <v>139722.439840757</v>
      </c>
      <c r="Z130" s="598">
        <v>166257.4892962827</v>
      </c>
      <c r="AA130" s="598">
        <v>286341.14152439684</v>
      </c>
      <c r="AB130" s="598">
        <v>345593.44268563896</v>
      </c>
      <c r="AC130" s="598">
        <v>3992.2300097031466</v>
      </c>
      <c r="AD130" s="598">
        <v>11616.120006379017</v>
      </c>
      <c r="AE130" s="598">
        <v>6133.3730697405335</v>
      </c>
      <c r="AF130" s="598">
        <v>72660.477736854911</v>
      </c>
      <c r="AG130" s="598">
        <v>26692.809930117044</v>
      </c>
      <c r="AH130" s="598">
        <v>407850.01872580888</v>
      </c>
      <c r="AI130" s="598">
        <v>1542.780001027455</v>
      </c>
      <c r="AJ130" s="598">
        <v>47112.64026162005</v>
      </c>
      <c r="AK130" s="598">
        <v>2216.9049911889542</v>
      </c>
      <c r="AL130" s="598">
        <v>181055.24397350577</v>
      </c>
      <c r="AM130" s="598">
        <v>55124.624039055896</v>
      </c>
      <c r="AN130" s="598">
        <v>191507.41390222256</v>
      </c>
      <c r="AO130" s="598">
        <v>31836.209986090926</v>
      </c>
      <c r="AP130" s="598">
        <v>108166.41044658524</v>
      </c>
      <c r="AQ130" s="598">
        <v>0</v>
      </c>
      <c r="AR130" s="598">
        <v>254852.25366553327</v>
      </c>
      <c r="AS130" s="598">
        <v>502999.03779113363</v>
      </c>
      <c r="AT130" s="598">
        <v>5681.8467447703833</v>
      </c>
      <c r="AU130" s="598">
        <v>0</v>
      </c>
      <c r="AV130" s="598">
        <v>207591.4860599268</v>
      </c>
      <c r="AW130" s="598">
        <v>268281.96565898415</v>
      </c>
      <c r="AX130" s="598">
        <v>0</v>
      </c>
      <c r="AY130" s="598">
        <v>0</v>
      </c>
      <c r="AZ130" s="598">
        <v>0</v>
      </c>
      <c r="BA130" s="598">
        <v>0</v>
      </c>
      <c r="BB130" s="598">
        <v>0</v>
      </c>
      <c r="BC130" s="598">
        <v>0</v>
      </c>
      <c r="BE130" s="987">
        <f t="shared" si="255"/>
        <v>266253415.89964062</v>
      </c>
    </row>
    <row r="131" spans="2:57" s="227" customFormat="1" outlineLevel="1">
      <c r="B131" s="597"/>
      <c r="C131" s="574">
        <v>46174</v>
      </c>
      <c r="D131" s="598">
        <v>55322497.647319742</v>
      </c>
      <c r="E131" s="598">
        <v>37555025.234818272</v>
      </c>
      <c r="F131" s="598">
        <v>43566166.384632714</v>
      </c>
      <c r="G131" s="598">
        <v>4479426.8386144331</v>
      </c>
      <c r="H131" s="598">
        <v>396395.47513760068</v>
      </c>
      <c r="I131" s="598">
        <v>515216.50507819559</v>
      </c>
      <c r="J131" s="598">
        <v>-340572.92000008991</v>
      </c>
      <c r="K131" s="598">
        <v>-99300.129975683594</v>
      </c>
      <c r="L131" s="598">
        <v>5508373.9416654175</v>
      </c>
      <c r="M131" s="598">
        <v>48600709.768022761</v>
      </c>
      <c r="N131" s="598">
        <v>5322160.3642575461</v>
      </c>
      <c r="O131" s="598">
        <v>7889866.6325012334</v>
      </c>
      <c r="P131" s="598">
        <v>48015293.492433518</v>
      </c>
      <c r="Q131" s="598">
        <v>1495498.1434056063</v>
      </c>
      <c r="R131" s="598">
        <v>2505039.7808010983</v>
      </c>
      <c r="S131" s="598">
        <v>1664903.3741343359</v>
      </c>
      <c r="T131" s="598">
        <v>1230944.6399456763</v>
      </c>
      <c r="U131" s="598">
        <v>358535.34978620551</v>
      </c>
      <c r="V131" s="598">
        <v>29828.349995516906</v>
      </c>
      <c r="W131" s="598">
        <v>7161.1099769680604</v>
      </c>
      <c r="X131" s="598">
        <v>725014.87304154609</v>
      </c>
      <c r="Y131" s="598">
        <v>141227.74482628037</v>
      </c>
      <c r="Z131" s="598">
        <v>171716.5142323084</v>
      </c>
      <c r="AA131" s="598">
        <v>293875.80166297837</v>
      </c>
      <c r="AB131" s="598">
        <v>359845.44383887888</v>
      </c>
      <c r="AC131" s="598">
        <v>4146.5150105852508</v>
      </c>
      <c r="AD131" s="598">
        <v>11995.470006958927</v>
      </c>
      <c r="AE131" s="598">
        <v>6383.7892578987639</v>
      </c>
      <c r="AF131" s="598">
        <v>76934.644803841715</v>
      </c>
      <c r="AG131" s="598">
        <v>27355.929923764048</v>
      </c>
      <c r="AH131" s="598">
        <v>418723.80360997329</v>
      </c>
      <c r="AI131" s="598">
        <v>1594.76500112086</v>
      </c>
      <c r="AJ131" s="598">
        <v>48995.520285403691</v>
      </c>
      <c r="AK131" s="598">
        <v>2301.3549903879502</v>
      </c>
      <c r="AL131" s="598">
        <v>188278.85342564268</v>
      </c>
      <c r="AM131" s="598">
        <v>58683.934406242799</v>
      </c>
      <c r="AN131" s="598">
        <v>198657.18380242461</v>
      </c>
      <c r="AO131" s="598">
        <v>33022.719984826464</v>
      </c>
      <c r="AP131" s="598">
        <v>114921.8104871839</v>
      </c>
      <c r="AQ131" s="598">
        <v>0</v>
      </c>
      <c r="AR131" s="598">
        <v>273058.45172603626</v>
      </c>
      <c r="AS131" s="598">
        <v>538927.55122669123</v>
      </c>
      <c r="AT131" s="598">
        <v>6049.720539749509</v>
      </c>
      <c r="AU131" s="598">
        <v>0</v>
      </c>
      <c r="AV131" s="598">
        <v>215312.85115628378</v>
      </c>
      <c r="AW131" s="598">
        <v>278192.72071889183</v>
      </c>
      <c r="AX131" s="598">
        <v>0</v>
      </c>
      <c r="AY131" s="598">
        <v>0</v>
      </c>
      <c r="AZ131" s="598">
        <v>0</v>
      </c>
      <c r="BA131" s="598">
        <v>0</v>
      </c>
      <c r="BB131" s="598">
        <v>0</v>
      </c>
      <c r="BC131" s="598">
        <v>0</v>
      </c>
      <c r="BE131" s="987">
        <f t="shared" si="255"/>
        <v>268218387.95051703</v>
      </c>
    </row>
    <row r="132" spans="2:57" s="227" customFormat="1" outlineLevel="1">
      <c r="B132" s="597"/>
      <c r="C132" s="574">
        <v>46204</v>
      </c>
      <c r="D132" s="598">
        <v>55598564.522929721</v>
      </c>
      <c r="E132" s="598">
        <v>37727059.067719795</v>
      </c>
      <c r="F132" s="598">
        <v>43825611.370018773</v>
      </c>
      <c r="G132" s="598">
        <v>4500724.0634989692</v>
      </c>
      <c r="H132" s="598">
        <v>399102.91223240073</v>
      </c>
      <c r="I132" s="598">
        <v>519664.76508471189</v>
      </c>
      <c r="J132" s="598">
        <v>-340512.40500009741</v>
      </c>
      <c r="K132" s="598">
        <v>-98561.584973657227</v>
      </c>
      <c r="L132" s="598">
        <v>5542364.7318042023</v>
      </c>
      <c r="M132" s="598">
        <v>48957712.408691324</v>
      </c>
      <c r="N132" s="598">
        <v>5376996.1646123417</v>
      </c>
      <c r="O132" s="598">
        <v>7951675.3235430028</v>
      </c>
      <c r="P132" s="598">
        <v>48472379.965969652</v>
      </c>
      <c r="Q132" s="598">
        <v>1511590.8332727402</v>
      </c>
      <c r="R132" s="598">
        <v>2547685.1508678566</v>
      </c>
      <c r="S132" s="598">
        <v>1684744.3140621972</v>
      </c>
      <c r="T132" s="598">
        <v>1246322.7149411493</v>
      </c>
      <c r="U132" s="598">
        <v>364883.4047683893</v>
      </c>
      <c r="V132" s="598">
        <v>30413.189995143315</v>
      </c>
      <c r="W132" s="598">
        <v>7302.3699750487322</v>
      </c>
      <c r="X132" s="598">
        <v>742058.8878783416</v>
      </c>
      <c r="Y132" s="598">
        <v>142733.04981180374</v>
      </c>
      <c r="Z132" s="598">
        <v>177175.5391683341</v>
      </c>
      <c r="AA132" s="598">
        <v>301410.4618015599</v>
      </c>
      <c r="AB132" s="598">
        <v>374097.44499211881</v>
      </c>
      <c r="AC132" s="598">
        <v>4300.800011467355</v>
      </c>
      <c r="AD132" s="598">
        <v>12374.820007538838</v>
      </c>
      <c r="AE132" s="598">
        <v>6634.2054460569943</v>
      </c>
      <c r="AF132" s="598">
        <v>81208.811870828518</v>
      </c>
      <c r="AG132" s="598">
        <v>28019.049917411052</v>
      </c>
      <c r="AH132" s="598">
        <v>429597.58849413774</v>
      </c>
      <c r="AI132" s="598">
        <v>1646.750001214265</v>
      </c>
      <c r="AJ132" s="598">
        <v>50878.400309187331</v>
      </c>
      <c r="AK132" s="598">
        <v>2385.8049895869462</v>
      </c>
      <c r="AL132" s="598">
        <v>195502.46287777956</v>
      </c>
      <c r="AM132" s="598">
        <v>62243.244773429695</v>
      </c>
      <c r="AN132" s="598">
        <v>205806.95370262666</v>
      </c>
      <c r="AO132" s="598">
        <v>34209.229983562007</v>
      </c>
      <c r="AP132" s="598">
        <v>121677.21052778256</v>
      </c>
      <c r="AQ132" s="598">
        <v>0</v>
      </c>
      <c r="AR132" s="598">
        <v>291264.64978653932</v>
      </c>
      <c r="AS132" s="598">
        <v>574856.06466224883</v>
      </c>
      <c r="AT132" s="598">
        <v>6417.5943347286347</v>
      </c>
      <c r="AU132" s="598">
        <v>0</v>
      </c>
      <c r="AV132" s="598">
        <v>223034.21625264076</v>
      </c>
      <c r="AW132" s="598">
        <v>288103.4757787995</v>
      </c>
      <c r="AX132" s="598">
        <v>0</v>
      </c>
      <c r="AY132" s="598">
        <v>0</v>
      </c>
      <c r="AZ132" s="598">
        <v>0</v>
      </c>
      <c r="BA132" s="598">
        <v>0</v>
      </c>
      <c r="BB132" s="598">
        <v>0</v>
      </c>
      <c r="BC132" s="598">
        <v>0</v>
      </c>
      <c r="BE132" s="987">
        <f t="shared" si="255"/>
        <v>270183360.00139338</v>
      </c>
    </row>
    <row r="133" spans="2:57" s="227" customFormat="1" outlineLevel="1">
      <c r="B133" s="597"/>
      <c r="C133" s="574">
        <v>46235</v>
      </c>
      <c r="D133" s="598">
        <v>55874631.3985397</v>
      </c>
      <c r="E133" s="598">
        <v>37899092.900621317</v>
      </c>
      <c r="F133" s="598">
        <v>44085056.355404831</v>
      </c>
      <c r="G133" s="598">
        <v>4522021.2883835053</v>
      </c>
      <c r="H133" s="598">
        <v>401810.34932720079</v>
      </c>
      <c r="I133" s="598">
        <v>524113.02509122819</v>
      </c>
      <c r="J133" s="598">
        <v>-340451.8900001049</v>
      </c>
      <c r="K133" s="598">
        <v>-97823.03997163086</v>
      </c>
      <c r="L133" s="598">
        <v>5576355.5219429871</v>
      </c>
      <c r="M133" s="598">
        <v>49314715.049359888</v>
      </c>
      <c r="N133" s="598">
        <v>5431831.9649671372</v>
      </c>
      <c r="O133" s="598">
        <v>8013484.0145847723</v>
      </c>
      <c r="P133" s="598">
        <v>48929466.439505771</v>
      </c>
      <c r="Q133" s="598">
        <v>1527683.523139874</v>
      </c>
      <c r="R133" s="598">
        <v>2590330.5209346148</v>
      </c>
      <c r="S133" s="598">
        <v>1704585.2539900586</v>
      </c>
      <c r="T133" s="598">
        <v>1261700.7899366224</v>
      </c>
      <c r="U133" s="598">
        <v>371231.45975057309</v>
      </c>
      <c r="V133" s="598">
        <v>30998.029994769724</v>
      </c>
      <c r="W133" s="598">
        <v>7443.6299731294039</v>
      </c>
      <c r="X133" s="598">
        <v>759102.90271513711</v>
      </c>
      <c r="Y133" s="598">
        <v>144238.35479732711</v>
      </c>
      <c r="Z133" s="598">
        <v>182634.5641043598</v>
      </c>
      <c r="AA133" s="598">
        <v>308945.12194014143</v>
      </c>
      <c r="AB133" s="598">
        <v>388349.44614535873</v>
      </c>
      <c r="AC133" s="598">
        <v>4455.0850123494592</v>
      </c>
      <c r="AD133" s="598">
        <v>12754.170008118748</v>
      </c>
      <c r="AE133" s="598">
        <v>6884.6216342152247</v>
      </c>
      <c r="AF133" s="598">
        <v>85482.978937815322</v>
      </c>
      <c r="AG133" s="598">
        <v>28682.169911058056</v>
      </c>
      <c r="AH133" s="598">
        <v>440471.3733783022</v>
      </c>
      <c r="AI133" s="598">
        <v>1698.73500130767</v>
      </c>
      <c r="AJ133" s="598">
        <v>52761.280332970971</v>
      </c>
      <c r="AK133" s="598">
        <v>2470.2549887859423</v>
      </c>
      <c r="AL133" s="598">
        <v>202726.07232991644</v>
      </c>
      <c r="AM133" s="598">
        <v>65802.555140616605</v>
      </c>
      <c r="AN133" s="598">
        <v>212956.72360282872</v>
      </c>
      <c r="AO133" s="598">
        <v>35395.739982297549</v>
      </c>
      <c r="AP133" s="598">
        <v>128432.61056838122</v>
      </c>
      <c r="AQ133" s="598">
        <v>0</v>
      </c>
      <c r="AR133" s="598">
        <v>309470.84784704237</v>
      </c>
      <c r="AS133" s="598">
        <v>610784.57809780643</v>
      </c>
      <c r="AT133" s="598">
        <v>6785.4681297077605</v>
      </c>
      <c r="AU133" s="598">
        <v>0</v>
      </c>
      <c r="AV133" s="598">
        <v>230755.58134899774</v>
      </c>
      <c r="AW133" s="598">
        <v>298014.23083870718</v>
      </c>
      <c r="AX133" s="598">
        <v>0</v>
      </c>
      <c r="AY133" s="598">
        <v>0</v>
      </c>
      <c r="AZ133" s="598">
        <v>0</v>
      </c>
      <c r="BA133" s="598">
        <v>0</v>
      </c>
      <c r="BB133" s="598">
        <v>0</v>
      </c>
      <c r="BC133" s="598">
        <v>0</v>
      </c>
      <c r="BE133" s="987">
        <f t="shared" si="255"/>
        <v>272148332.05226994</v>
      </c>
    </row>
    <row r="134" spans="2:57" s="227" customFormat="1" outlineLevel="1">
      <c r="B134" s="597"/>
      <c r="C134" s="574">
        <v>46266</v>
      </c>
      <c r="D134" s="598">
        <v>56150698.274149679</v>
      </c>
      <c r="E134" s="598">
        <v>38071126.73352284</v>
      </c>
      <c r="F134" s="598">
        <v>44344501.34079089</v>
      </c>
      <c r="G134" s="598">
        <v>4543318.5132680414</v>
      </c>
      <c r="H134" s="598">
        <v>404517.78642200085</v>
      </c>
      <c r="I134" s="598">
        <v>528561.28509774455</v>
      </c>
      <c r="J134" s="598">
        <v>-340391.3750001124</v>
      </c>
      <c r="K134" s="598">
        <v>-97084.494969604493</v>
      </c>
      <c r="L134" s="598">
        <v>5610346.3120817719</v>
      </c>
      <c r="M134" s="598">
        <v>49671717.690028451</v>
      </c>
      <c r="N134" s="598">
        <v>5486667.7653219327</v>
      </c>
      <c r="O134" s="598">
        <v>8075292.7056265417</v>
      </c>
      <c r="P134" s="598">
        <v>49386552.913041905</v>
      </c>
      <c r="Q134" s="598">
        <v>1543776.2130070077</v>
      </c>
      <c r="R134" s="598">
        <v>2632975.8910013731</v>
      </c>
      <c r="S134" s="598">
        <v>1724426.1939179199</v>
      </c>
      <c r="T134" s="598">
        <v>1277078.8649320954</v>
      </c>
      <c r="U134" s="598">
        <v>377579.51473275688</v>
      </c>
      <c r="V134" s="598">
        <v>31582.869994396133</v>
      </c>
      <c r="W134" s="598">
        <v>7584.8899712100756</v>
      </c>
      <c r="X134" s="598">
        <v>776146.91755193262</v>
      </c>
      <c r="Y134" s="598">
        <v>145743.65978285047</v>
      </c>
      <c r="Z134" s="598">
        <v>188093.5890403855</v>
      </c>
      <c r="AA134" s="598">
        <v>316479.78207872296</v>
      </c>
      <c r="AB134" s="598">
        <v>402601.44729859865</v>
      </c>
      <c r="AC134" s="598">
        <v>4609.3700132315635</v>
      </c>
      <c r="AD134" s="598">
        <v>13133.520008698659</v>
      </c>
      <c r="AE134" s="598">
        <v>7135.0378223734551</v>
      </c>
      <c r="AF134" s="598">
        <v>89757.146004802125</v>
      </c>
      <c r="AG134" s="598">
        <v>29345.28990470506</v>
      </c>
      <c r="AH134" s="598">
        <v>451345.15826246666</v>
      </c>
      <c r="AI134" s="598">
        <v>1750.720001401075</v>
      </c>
      <c r="AJ134" s="598">
        <v>54644.160356754612</v>
      </c>
      <c r="AK134" s="598">
        <v>2554.7049879849383</v>
      </c>
      <c r="AL134" s="598">
        <v>209949.68178205335</v>
      </c>
      <c r="AM134" s="598">
        <v>69361.865507803494</v>
      </c>
      <c r="AN134" s="598">
        <v>220106.49350303077</v>
      </c>
      <c r="AO134" s="598">
        <v>36582.249981033092</v>
      </c>
      <c r="AP134" s="598">
        <v>135188.01060897988</v>
      </c>
      <c r="AQ134" s="598">
        <v>0</v>
      </c>
      <c r="AR134" s="598">
        <v>327677.04590754537</v>
      </c>
      <c r="AS134" s="598">
        <v>646713.09153336403</v>
      </c>
      <c r="AT134" s="598">
        <v>7153.3419246868862</v>
      </c>
      <c r="AU134" s="598">
        <v>0</v>
      </c>
      <c r="AV134" s="598">
        <v>238476.94644535473</v>
      </c>
      <c r="AW134" s="598">
        <v>307924.98589861486</v>
      </c>
      <c r="AX134" s="598">
        <v>0</v>
      </c>
      <c r="AY134" s="598">
        <v>0</v>
      </c>
      <c r="AZ134" s="598">
        <v>0</v>
      </c>
      <c r="BA134" s="598">
        <v>0</v>
      </c>
      <c r="BB134" s="598">
        <v>0</v>
      </c>
      <c r="BC134" s="598">
        <v>0</v>
      </c>
      <c r="BE134" s="987">
        <f t="shared" si="255"/>
        <v>274113304.10314631</v>
      </c>
    </row>
    <row r="135" spans="2:57" s="227" customFormat="1" outlineLevel="1">
      <c r="B135" s="597"/>
      <c r="C135" s="574">
        <v>46296</v>
      </c>
      <c r="D135" s="598">
        <v>56426765.149759658</v>
      </c>
      <c r="E135" s="598">
        <v>38243160.566424362</v>
      </c>
      <c r="F135" s="598">
        <v>44603946.326176949</v>
      </c>
      <c r="G135" s="598">
        <v>4564615.7381525775</v>
      </c>
      <c r="H135" s="598">
        <v>407225.22351680091</v>
      </c>
      <c r="I135" s="598">
        <v>533009.54510426091</v>
      </c>
      <c r="J135" s="598">
        <v>-340330.86000011989</v>
      </c>
      <c r="K135" s="598">
        <v>-96345.949967578126</v>
      </c>
      <c r="L135" s="598">
        <v>5644337.1022205567</v>
      </c>
      <c r="M135" s="598">
        <v>50028720.330697015</v>
      </c>
      <c r="N135" s="598">
        <v>5541503.5656767283</v>
      </c>
      <c r="O135" s="598">
        <v>8137101.3966683112</v>
      </c>
      <c r="P135" s="598">
        <v>49843639.386578023</v>
      </c>
      <c r="Q135" s="598">
        <v>1559868.9028741417</v>
      </c>
      <c r="R135" s="598">
        <v>2675621.2610681313</v>
      </c>
      <c r="S135" s="598">
        <v>1744267.1338457812</v>
      </c>
      <c r="T135" s="598">
        <v>1292456.9399275684</v>
      </c>
      <c r="U135" s="598">
        <v>383927.56971494068</v>
      </c>
      <c r="V135" s="598">
        <v>32167.709994022542</v>
      </c>
      <c r="W135" s="598">
        <v>7726.1499692907473</v>
      </c>
      <c r="X135" s="598">
        <v>793190.93238872814</v>
      </c>
      <c r="Y135" s="598">
        <v>147248.96476837384</v>
      </c>
      <c r="Z135" s="598">
        <v>193552.6139764112</v>
      </c>
      <c r="AA135" s="598">
        <v>324014.44221730449</v>
      </c>
      <c r="AB135" s="598">
        <v>416853.44845183857</v>
      </c>
      <c r="AC135" s="598">
        <v>4763.6550141136677</v>
      </c>
      <c r="AD135" s="598">
        <v>13512.870009278569</v>
      </c>
      <c r="AE135" s="598">
        <v>7385.4540105316855</v>
      </c>
      <c r="AF135" s="598">
        <v>94031.313071788929</v>
      </c>
      <c r="AG135" s="598">
        <v>30008.409898352063</v>
      </c>
      <c r="AH135" s="598">
        <v>462218.94314663112</v>
      </c>
      <c r="AI135" s="598">
        <v>1802.70500149448</v>
      </c>
      <c r="AJ135" s="598">
        <v>56527.040380538252</v>
      </c>
      <c r="AK135" s="598">
        <v>2639.1549871839343</v>
      </c>
      <c r="AL135" s="598">
        <v>217173.29123419023</v>
      </c>
      <c r="AM135" s="598">
        <v>72921.175874990397</v>
      </c>
      <c r="AN135" s="598">
        <v>227256.26340323282</v>
      </c>
      <c r="AO135" s="598">
        <v>37768.759979768634</v>
      </c>
      <c r="AP135" s="598">
        <v>141943.41064957852</v>
      </c>
      <c r="AQ135" s="598">
        <v>0</v>
      </c>
      <c r="AR135" s="598">
        <v>345883.24396804837</v>
      </c>
      <c r="AS135" s="598">
        <v>682641.60496892163</v>
      </c>
      <c r="AT135" s="598">
        <v>7521.2157196660119</v>
      </c>
      <c r="AU135" s="598">
        <v>0</v>
      </c>
      <c r="AV135" s="598">
        <v>246198.31154171171</v>
      </c>
      <c r="AW135" s="598">
        <v>317835.74095852254</v>
      </c>
      <c r="AX135" s="598">
        <v>0</v>
      </c>
      <c r="AY135" s="598">
        <v>0</v>
      </c>
      <c r="AZ135" s="598">
        <v>0</v>
      </c>
      <c r="BA135" s="598">
        <v>0</v>
      </c>
      <c r="BB135" s="598">
        <v>0</v>
      </c>
      <c r="BC135" s="598">
        <v>0</v>
      </c>
      <c r="BE135" s="987">
        <f t="shared" si="255"/>
        <v>276078276.15402257</v>
      </c>
    </row>
    <row r="136" spans="2:57" s="227" customFormat="1" outlineLevel="1">
      <c r="B136" s="597"/>
      <c r="C136" s="574">
        <v>46327</v>
      </c>
      <c r="D136" s="598">
        <v>56702832.025369637</v>
      </c>
      <c r="E136" s="598">
        <v>38415194.399325885</v>
      </c>
      <c r="F136" s="598">
        <v>44863391.311563008</v>
      </c>
      <c r="G136" s="598">
        <v>4585912.9630371137</v>
      </c>
      <c r="H136" s="598">
        <v>409932.66061160096</v>
      </c>
      <c r="I136" s="598">
        <v>537457.80511077726</v>
      </c>
      <c r="J136" s="598">
        <v>-340270.34500012739</v>
      </c>
      <c r="K136" s="598">
        <v>-95607.404965551759</v>
      </c>
      <c r="L136" s="598">
        <v>5678327.8923593415</v>
      </c>
      <c r="M136" s="598">
        <v>50385722.971365578</v>
      </c>
      <c r="N136" s="598">
        <v>5596339.3660315238</v>
      </c>
      <c r="O136" s="598">
        <v>8198910.0877100807</v>
      </c>
      <c r="P136" s="598">
        <v>50300725.860114157</v>
      </c>
      <c r="Q136" s="598">
        <v>1575961.5927412757</v>
      </c>
      <c r="R136" s="598">
        <v>2718266.6311348896</v>
      </c>
      <c r="S136" s="598">
        <v>1764108.0737736425</v>
      </c>
      <c r="T136" s="598">
        <v>1307835.0149230415</v>
      </c>
      <c r="U136" s="598">
        <v>390275.62469712447</v>
      </c>
      <c r="V136" s="598">
        <v>32752.54999364895</v>
      </c>
      <c r="W136" s="598">
        <v>7867.409967371419</v>
      </c>
      <c r="X136" s="598">
        <v>810234.94722552365</v>
      </c>
      <c r="Y136" s="598">
        <v>148754.26975389721</v>
      </c>
      <c r="Z136" s="598">
        <v>199011.6389124369</v>
      </c>
      <c r="AA136" s="598">
        <v>331549.10235588602</v>
      </c>
      <c r="AB136" s="598">
        <v>431105.44960507849</v>
      </c>
      <c r="AC136" s="598">
        <v>4917.9400149957719</v>
      </c>
      <c r="AD136" s="598">
        <v>13892.22000985848</v>
      </c>
      <c r="AE136" s="598">
        <v>7635.8701986899159</v>
      </c>
      <c r="AF136" s="598">
        <v>98305.480138775732</v>
      </c>
      <c r="AG136" s="598">
        <v>30671.529891999067</v>
      </c>
      <c r="AH136" s="598">
        <v>473092.72803079552</v>
      </c>
      <c r="AI136" s="598">
        <v>1854.690001587885</v>
      </c>
      <c r="AJ136" s="598">
        <v>58409.920404321892</v>
      </c>
      <c r="AK136" s="598">
        <v>2723.6049863829303</v>
      </c>
      <c r="AL136" s="598">
        <v>224396.90068632711</v>
      </c>
      <c r="AM136" s="598">
        <v>76480.486242177285</v>
      </c>
      <c r="AN136" s="598">
        <v>234406.03330343487</v>
      </c>
      <c r="AO136" s="598">
        <v>38955.269978504177</v>
      </c>
      <c r="AP136" s="598">
        <v>148698.81069017717</v>
      </c>
      <c r="AQ136" s="598">
        <v>0</v>
      </c>
      <c r="AR136" s="598">
        <v>364089.44202855142</v>
      </c>
      <c r="AS136" s="598">
        <v>718570.11840447923</v>
      </c>
      <c r="AT136" s="598">
        <v>7889.0895146451376</v>
      </c>
      <c r="AU136" s="598">
        <v>0</v>
      </c>
      <c r="AV136" s="598">
        <v>253919.67663806869</v>
      </c>
      <c r="AW136" s="598">
        <v>327746.49601843022</v>
      </c>
      <c r="AX136" s="598">
        <v>0</v>
      </c>
      <c r="AY136" s="598">
        <v>0</v>
      </c>
      <c r="AZ136" s="598">
        <v>0</v>
      </c>
      <c r="BA136" s="598">
        <v>0</v>
      </c>
      <c r="BB136" s="598">
        <v>0</v>
      </c>
      <c r="BC136" s="598">
        <v>0</v>
      </c>
      <c r="BE136" s="987">
        <f t="shared" si="255"/>
        <v>278043248.20489907</v>
      </c>
    </row>
    <row r="137" spans="2:57" s="227" customFormat="1" outlineLevel="1">
      <c r="B137" s="599"/>
      <c r="C137" s="566">
        <v>46357</v>
      </c>
      <c r="D137" s="600">
        <v>56978898.900979616</v>
      </c>
      <c r="E137" s="600">
        <v>38587228.232227407</v>
      </c>
      <c r="F137" s="600">
        <v>45122836.296949066</v>
      </c>
      <c r="G137" s="600">
        <v>4607210.1879216498</v>
      </c>
      <c r="H137" s="600">
        <v>412640.09770640102</v>
      </c>
      <c r="I137" s="600">
        <v>541906.06511729362</v>
      </c>
      <c r="J137" s="600">
        <v>-340209.83000013488</v>
      </c>
      <c r="K137" s="600">
        <v>-94868.859963525392</v>
      </c>
      <c r="L137" s="600">
        <v>5712318.6824981263</v>
      </c>
      <c r="M137" s="600">
        <v>50742725.612034142</v>
      </c>
      <c r="N137" s="600">
        <v>5651175.1663863193</v>
      </c>
      <c r="O137" s="600">
        <v>8260718.7787518501</v>
      </c>
      <c r="P137" s="600">
        <v>50757812.333650276</v>
      </c>
      <c r="Q137" s="600">
        <v>1592054.2826084094</v>
      </c>
      <c r="R137" s="600">
        <v>2760912.0012016478</v>
      </c>
      <c r="S137" s="600">
        <v>1783949.0137015039</v>
      </c>
      <c r="T137" s="600">
        <v>1323213.0899185145</v>
      </c>
      <c r="U137" s="600">
        <v>396623.67967930826</v>
      </c>
      <c r="V137" s="600">
        <v>33337.389993275363</v>
      </c>
      <c r="W137" s="600">
        <v>8008.6699654520908</v>
      </c>
      <c r="X137" s="600">
        <v>827278.96206231916</v>
      </c>
      <c r="Y137" s="600">
        <v>150259.57473942058</v>
      </c>
      <c r="Z137" s="600">
        <v>204470.6638484626</v>
      </c>
      <c r="AA137" s="600">
        <v>339083.76249446755</v>
      </c>
      <c r="AB137" s="600">
        <v>445357.45075831842</v>
      </c>
      <c r="AC137" s="600">
        <v>5072.2250158778761</v>
      </c>
      <c r="AD137" s="600">
        <v>14271.57001043839</v>
      </c>
      <c r="AE137" s="600">
        <v>7886.2863868481463</v>
      </c>
      <c r="AF137" s="600">
        <v>102579.64720576254</v>
      </c>
      <c r="AG137" s="600">
        <v>31334.649885646071</v>
      </c>
      <c r="AH137" s="600">
        <v>483966.51291495992</v>
      </c>
      <c r="AI137" s="600">
        <v>1906.67500168129</v>
      </c>
      <c r="AJ137" s="600">
        <v>60292.800428105533</v>
      </c>
      <c r="AK137" s="600">
        <v>2808.0549855819263</v>
      </c>
      <c r="AL137" s="600">
        <v>231620.51013846401</v>
      </c>
      <c r="AM137" s="600">
        <v>80039.796609364188</v>
      </c>
      <c r="AN137" s="600">
        <v>241555.80320363693</v>
      </c>
      <c r="AO137" s="600">
        <v>40141.779977239719</v>
      </c>
      <c r="AP137" s="600">
        <v>155454.21073077581</v>
      </c>
      <c r="AQ137" s="600">
        <v>0</v>
      </c>
      <c r="AR137" s="600">
        <v>382295.64008905448</v>
      </c>
      <c r="AS137" s="600">
        <v>754498.63184003683</v>
      </c>
      <c r="AT137" s="600">
        <v>8256.9633096242633</v>
      </c>
      <c r="AU137" s="600">
        <v>0</v>
      </c>
      <c r="AV137" s="600">
        <v>261641.04173442567</v>
      </c>
      <c r="AW137" s="600">
        <v>337657.2510783379</v>
      </c>
      <c r="AX137" s="600">
        <v>0</v>
      </c>
      <c r="AY137" s="600">
        <v>0</v>
      </c>
      <c r="AZ137" s="600">
        <v>0</v>
      </c>
      <c r="BA137" s="600">
        <v>0</v>
      </c>
      <c r="BB137" s="600">
        <v>0</v>
      </c>
      <c r="BC137" s="600">
        <v>0</v>
      </c>
      <c r="BE137" s="988">
        <f t="shared" si="255"/>
        <v>280008220.25577533</v>
      </c>
    </row>
    <row r="138" spans="2:57" s="227" customFormat="1" outlineLevel="1">
      <c r="B138" s="601"/>
      <c r="C138" s="602" t="s">
        <v>891</v>
      </c>
      <c r="D138" s="603">
        <f t="shared" ref="D138:AF138" si="256">AVERAGE(D125:D137)</f>
        <v>55322497.647319749</v>
      </c>
      <c r="E138" s="603">
        <f t="shared" ref="E138:O138" si="257">AVERAGE(E125:E137)</f>
        <v>37555025.234818272</v>
      </c>
      <c r="F138" s="603">
        <f t="shared" si="257"/>
        <v>43566166.384632714</v>
      </c>
      <c r="G138" s="603">
        <f t="shared" si="257"/>
        <v>4479426.8386144331</v>
      </c>
      <c r="H138" s="603">
        <f t="shared" si="257"/>
        <v>396395.47513760068</v>
      </c>
      <c r="I138" s="603">
        <f t="shared" ref="I138" si="258">AVERAGE(I125:I137)</f>
        <v>515216.50507819565</v>
      </c>
      <c r="J138" s="603">
        <f t="shared" si="257"/>
        <v>-340572.92000008991</v>
      </c>
      <c r="K138" s="603">
        <f t="shared" si="257"/>
        <v>-99300.129975683609</v>
      </c>
      <c r="L138" s="603">
        <f t="shared" si="257"/>
        <v>5508373.9416654166</v>
      </c>
      <c r="M138" s="603">
        <f t="shared" si="257"/>
        <v>48600709.768022761</v>
      </c>
      <c r="N138" s="603">
        <f t="shared" si="257"/>
        <v>5322160.3642575452</v>
      </c>
      <c r="O138" s="603">
        <f t="shared" si="257"/>
        <v>7889866.6325012343</v>
      </c>
      <c r="P138" s="603">
        <f t="shared" si="256"/>
        <v>48015293.492433518</v>
      </c>
      <c r="Q138" s="603">
        <f t="shared" si="256"/>
        <v>1495498.1434056063</v>
      </c>
      <c r="R138" s="603">
        <f t="shared" si="256"/>
        <v>2505039.7808010983</v>
      </c>
      <c r="S138" s="603">
        <f t="shared" ref="S138:AA138" si="259">AVERAGE(S125:S137)</f>
        <v>1664903.3741343354</v>
      </c>
      <c r="T138" s="603">
        <f t="shared" si="259"/>
        <v>1230944.6399456763</v>
      </c>
      <c r="U138" s="603">
        <f t="shared" si="259"/>
        <v>358535.34978620545</v>
      </c>
      <c r="V138" s="603">
        <f t="shared" si="259"/>
        <v>29828.349995516903</v>
      </c>
      <c r="W138" s="603">
        <f t="shared" si="259"/>
        <v>7161.1099769680604</v>
      </c>
      <c r="X138" s="603">
        <f t="shared" si="259"/>
        <v>725014.87304154609</v>
      </c>
      <c r="Y138" s="603">
        <f t="shared" si="259"/>
        <v>141227.74482628034</v>
      </c>
      <c r="Z138" s="603">
        <f t="shared" si="259"/>
        <v>171716.5142323084</v>
      </c>
      <c r="AA138" s="603">
        <f t="shared" si="259"/>
        <v>293875.80166297831</v>
      </c>
      <c r="AB138" s="603">
        <f t="shared" si="256"/>
        <v>359845.44383887888</v>
      </c>
      <c r="AC138" s="603">
        <f t="shared" si="256"/>
        <v>4146.5150105852508</v>
      </c>
      <c r="AD138" s="603">
        <f t="shared" si="256"/>
        <v>11995.470006958929</v>
      </c>
      <c r="AE138" s="603">
        <f t="shared" si="256"/>
        <v>6383.789257898763</v>
      </c>
      <c r="AF138" s="603">
        <f t="shared" si="256"/>
        <v>76934.644803841715</v>
      </c>
      <c r="AG138" s="603">
        <f>AVERAGE(AG125:AG137)</f>
        <v>27355.929923764048</v>
      </c>
      <c r="AH138" s="603">
        <f>AVERAGE(AH125:AH137)</f>
        <v>418723.80360997334</v>
      </c>
      <c r="AI138" s="603">
        <f>AVERAGE(AI125:AI137)</f>
        <v>1594.7650011208602</v>
      </c>
      <c r="AJ138" s="603">
        <f t="shared" ref="AJ138:AK138" si="260">AVERAGE(AJ125:AJ137)</f>
        <v>48995.520285403698</v>
      </c>
      <c r="AK138" s="603">
        <f t="shared" si="260"/>
        <v>2301.3549903879498</v>
      </c>
      <c r="AL138" s="603">
        <f t="shared" ref="AL138:AP138" si="261">AVERAGE(AL125:AL137)</f>
        <v>188278.85342564265</v>
      </c>
      <c r="AM138" s="603">
        <f t="shared" si="261"/>
        <v>58683.934406242799</v>
      </c>
      <c r="AN138" s="603">
        <f t="shared" si="261"/>
        <v>198657.18380242461</v>
      </c>
      <c r="AO138" s="603">
        <f t="shared" si="261"/>
        <v>33022.719984826472</v>
      </c>
      <c r="AP138" s="603">
        <f t="shared" si="261"/>
        <v>114921.81048718389</v>
      </c>
      <c r="AQ138" s="603">
        <f t="shared" ref="AQ138:AW138" si="262">AVERAGE(AQ125:AQ137)</f>
        <v>0</v>
      </c>
      <c r="AR138" s="603">
        <f t="shared" si="262"/>
        <v>273058.45172603626</v>
      </c>
      <c r="AS138" s="603">
        <f t="shared" si="262"/>
        <v>538927.55122669123</v>
      </c>
      <c r="AT138" s="603">
        <f t="shared" si="262"/>
        <v>6049.720539749509</v>
      </c>
      <c r="AU138" s="603">
        <f t="shared" si="262"/>
        <v>0</v>
      </c>
      <c r="AV138" s="603">
        <f t="shared" si="262"/>
        <v>215312.85115628381</v>
      </c>
      <c r="AW138" s="603">
        <f t="shared" si="262"/>
        <v>278192.72071889188</v>
      </c>
      <c r="AX138" s="603">
        <f t="shared" ref="AX138:BA138" si="263">AVERAGE(AX125:AX137)</f>
        <v>0</v>
      </c>
      <c r="AY138" s="603">
        <f t="shared" si="263"/>
        <v>0</v>
      </c>
      <c r="AZ138" s="603">
        <f t="shared" si="263"/>
        <v>0</v>
      </c>
      <c r="BA138" s="603">
        <f t="shared" si="263"/>
        <v>0</v>
      </c>
      <c r="BB138" s="603">
        <f t="shared" ref="BB138:BC138" si="264">AVERAGE(BB125:BB137)</f>
        <v>0</v>
      </c>
      <c r="BC138" s="603">
        <f t="shared" si="264"/>
        <v>0</v>
      </c>
      <c r="BE138" s="592">
        <f t="shared" ref="BE138" si="265">AVERAGE(BE125:BE137)</f>
        <v>268218387.950517</v>
      </c>
    </row>
    <row r="139" spans="2:57">
      <c r="D139" s="605">
        <f>D138-D41</f>
        <v>0</v>
      </c>
      <c r="E139" s="605">
        <f t="shared" ref="E139:BC139" si="266">E138-E41</f>
        <v>0</v>
      </c>
      <c r="F139" s="605">
        <f t="shared" si="266"/>
        <v>0</v>
      </c>
      <c r="G139" s="605">
        <f t="shared" si="266"/>
        <v>0</v>
      </c>
      <c r="H139" s="605">
        <f t="shared" si="266"/>
        <v>0</v>
      </c>
      <c r="I139" s="605">
        <f t="shared" si="266"/>
        <v>0</v>
      </c>
      <c r="J139" s="605">
        <f t="shared" si="266"/>
        <v>0</v>
      </c>
      <c r="K139" s="605">
        <f t="shared" si="266"/>
        <v>0</v>
      </c>
      <c r="L139" s="605">
        <f t="shared" si="266"/>
        <v>0</v>
      </c>
      <c r="M139" s="605">
        <f t="shared" si="266"/>
        <v>0</v>
      </c>
      <c r="N139" s="605">
        <f t="shared" si="266"/>
        <v>0</v>
      </c>
      <c r="O139" s="605">
        <f t="shared" si="266"/>
        <v>0</v>
      </c>
      <c r="P139" s="605">
        <f t="shared" si="266"/>
        <v>0</v>
      </c>
      <c r="Q139" s="605">
        <f t="shared" si="266"/>
        <v>0</v>
      </c>
      <c r="R139" s="605">
        <f t="shared" si="266"/>
        <v>0</v>
      </c>
      <c r="S139" s="605">
        <f t="shared" si="266"/>
        <v>0</v>
      </c>
      <c r="T139" s="605">
        <f t="shared" si="266"/>
        <v>0</v>
      </c>
      <c r="U139" s="605">
        <f t="shared" si="266"/>
        <v>0</v>
      </c>
      <c r="V139" s="605">
        <f t="shared" si="266"/>
        <v>0</v>
      </c>
      <c r="W139" s="605">
        <f t="shared" si="266"/>
        <v>0</v>
      </c>
      <c r="X139" s="605">
        <f t="shared" si="266"/>
        <v>0</v>
      </c>
      <c r="Y139" s="605">
        <f t="shared" si="266"/>
        <v>0</v>
      </c>
      <c r="Z139" s="605">
        <f t="shared" si="266"/>
        <v>0</v>
      </c>
      <c r="AA139" s="605">
        <f t="shared" si="266"/>
        <v>0</v>
      </c>
      <c r="AB139" s="605">
        <f t="shared" si="266"/>
        <v>0</v>
      </c>
      <c r="AC139" s="605">
        <f t="shared" si="266"/>
        <v>0</v>
      </c>
      <c r="AD139" s="605">
        <f t="shared" si="266"/>
        <v>0</v>
      </c>
      <c r="AE139" s="605">
        <f t="shared" si="266"/>
        <v>0</v>
      </c>
      <c r="AF139" s="605">
        <f t="shared" si="266"/>
        <v>0</v>
      </c>
      <c r="AG139" s="605">
        <f t="shared" si="266"/>
        <v>0</v>
      </c>
      <c r="AH139" s="605">
        <f t="shared" si="266"/>
        <v>0</v>
      </c>
      <c r="AI139" s="605">
        <f t="shared" si="266"/>
        <v>0</v>
      </c>
      <c r="AJ139" s="605">
        <f t="shared" si="266"/>
        <v>0</v>
      </c>
      <c r="AK139" s="605">
        <f t="shared" si="266"/>
        <v>0</v>
      </c>
      <c r="AL139" s="605">
        <f t="shared" si="266"/>
        <v>0</v>
      </c>
      <c r="AM139" s="605">
        <f t="shared" si="266"/>
        <v>0</v>
      </c>
      <c r="AN139" s="605">
        <f t="shared" si="266"/>
        <v>0</v>
      </c>
      <c r="AO139" s="605">
        <f t="shared" si="266"/>
        <v>0</v>
      </c>
      <c r="AP139" s="605">
        <f t="shared" si="266"/>
        <v>0</v>
      </c>
      <c r="AQ139" s="605">
        <f t="shared" si="266"/>
        <v>0</v>
      </c>
      <c r="AR139" s="605">
        <f t="shared" si="266"/>
        <v>0</v>
      </c>
      <c r="AS139" s="605">
        <f t="shared" si="266"/>
        <v>0</v>
      </c>
      <c r="AT139" s="605">
        <f t="shared" si="266"/>
        <v>0</v>
      </c>
      <c r="AU139" s="605">
        <f t="shared" si="266"/>
        <v>0</v>
      </c>
      <c r="AV139" s="605">
        <f t="shared" si="266"/>
        <v>0</v>
      </c>
      <c r="AW139" s="605">
        <f t="shared" si="266"/>
        <v>0</v>
      </c>
      <c r="AX139" s="605">
        <f t="shared" si="266"/>
        <v>-57.68407067226228</v>
      </c>
      <c r="AY139" s="605">
        <f t="shared" si="266"/>
        <v>0</v>
      </c>
      <c r="AZ139" s="605">
        <f t="shared" si="266"/>
        <v>0</v>
      </c>
      <c r="BA139" s="605">
        <f t="shared" si="266"/>
        <v>0</v>
      </c>
      <c r="BB139" s="605">
        <f t="shared" si="266"/>
        <v>0</v>
      </c>
      <c r="BC139" s="605">
        <f t="shared" si="266"/>
        <v>0</v>
      </c>
    </row>
  </sheetData>
  <conditionalFormatting sqref="BE25">
    <cfRule type="cellIs" dxfId="8" priority="6" operator="notEqual">
      <formula>0</formula>
    </cfRule>
  </conditionalFormatting>
  <conditionalFormatting sqref="BE58">
    <cfRule type="cellIs" dxfId="7" priority="5" operator="notEqual">
      <formula>0</formula>
    </cfRule>
  </conditionalFormatting>
  <conditionalFormatting sqref="BE63">
    <cfRule type="cellIs" dxfId="6" priority="2" operator="notEqual">
      <formula>0</formula>
    </cfRule>
  </conditionalFormatting>
  <conditionalFormatting sqref="BE68">
    <cfRule type="cellIs" dxfId="5" priority="1" operator="notEqual">
      <formula>0</formula>
    </cfRule>
  </conditionalFormatting>
  <pageMargins left="0.7" right="0.7" top="0.75" bottom="0.75" header="0.3" footer="0.3"/>
  <pageSetup scale="35" fitToWidth="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67283-AD6D-4794-BBFD-A895C259EFDB}">
  <sheetPr codeName="Sheet25">
    <pageSetUpPr fitToPage="1"/>
  </sheetPr>
  <dimension ref="A1:AO137"/>
  <sheetViews>
    <sheetView topLeftCell="A64" zoomScale="70" zoomScaleNormal="70" zoomScaleSheetLayoutView="70" workbookViewId="0">
      <pane xSplit="2" topLeftCell="K1" activePane="topRight" state="frozen"/>
      <selection activeCell="AI70" sqref="AI70"/>
      <selection pane="topRight" activeCell="AG99" sqref="AG99"/>
    </sheetView>
  </sheetViews>
  <sheetFormatPr defaultColWidth="11.42578125" defaultRowHeight="15" outlineLevelRow="1" outlineLevelCol="1"/>
  <cols>
    <col min="1" max="1" width="24" style="267" customWidth="1"/>
    <col min="2" max="2" width="98.85546875" style="267" customWidth="1"/>
    <col min="3" max="3" width="18.5703125" style="267" hidden="1" customWidth="1" outlineLevel="1"/>
    <col min="4" max="4" width="15.28515625" style="267" hidden="1" customWidth="1" outlineLevel="1"/>
    <col min="5" max="5" width="18" style="268" hidden="1" customWidth="1" outlineLevel="1"/>
    <col min="6" max="6" width="17.85546875" style="267" hidden="1" customWidth="1" outlineLevel="1"/>
    <col min="7" max="7" width="16.42578125" style="267" hidden="1" customWidth="1" outlineLevel="1"/>
    <col min="8" max="8" width="18" style="267" hidden="1" customWidth="1" outlineLevel="1"/>
    <col min="9" max="10" width="17.42578125" style="267" hidden="1" customWidth="1" outlineLevel="1"/>
    <col min="11" max="11" width="20.5703125" style="267" customWidth="1" collapsed="1"/>
    <col min="12" max="12" width="16.42578125" style="267" customWidth="1"/>
    <col min="13" max="14" width="17.85546875" style="267" customWidth="1"/>
    <col min="15" max="15" width="2.7109375" style="267" customWidth="1"/>
    <col min="16" max="17" width="17.85546875" style="267" customWidth="1"/>
    <col min="18" max="18" width="2.7109375" style="267" customWidth="1"/>
    <col min="19" max="19" width="18.5703125" style="267" hidden="1" customWidth="1" outlineLevel="1"/>
    <col min="20" max="20" width="15.28515625" style="267" hidden="1" customWidth="1" outlineLevel="1"/>
    <col min="21" max="21" width="18" style="268" hidden="1" customWidth="1" outlineLevel="1"/>
    <col min="22" max="22" width="17.85546875" style="267" hidden="1" customWidth="1" outlineLevel="1"/>
    <col min="23" max="23" width="16.42578125" style="267" hidden="1" customWidth="1" outlineLevel="1"/>
    <col min="24" max="24" width="18" style="267" hidden="1" customWidth="1" outlineLevel="1"/>
    <col min="25" max="26" width="17.42578125" style="267" hidden="1" customWidth="1" outlineLevel="1"/>
    <col min="27" max="27" width="20.5703125" style="267" customWidth="1" collapsed="1"/>
    <col min="28" max="29" width="17.85546875" style="267" customWidth="1"/>
    <col min="30" max="30" width="2.7109375" style="267" customWidth="1"/>
    <col min="31" max="33" width="17.85546875" style="267" customWidth="1"/>
    <col min="34" max="34" width="2.7109375" style="267" customWidth="1"/>
    <col min="35" max="35" width="17.85546875" style="267" customWidth="1"/>
    <col min="36" max="36" width="14.7109375" style="270" customWidth="1"/>
    <col min="37" max="38" width="18.85546875" style="267" bestFit="1" customWidth="1"/>
    <col min="39" max="39" width="19.42578125" style="267" bestFit="1" customWidth="1"/>
    <col min="40" max="40" width="19.42578125" style="267" customWidth="1"/>
    <col min="41" max="41" width="14.85546875" style="267" bestFit="1" customWidth="1"/>
    <col min="42" max="16384" width="11.42578125" style="267"/>
  </cols>
  <sheetData>
    <row r="1" spans="1:36">
      <c r="A1" s="334"/>
      <c r="B1" s="334"/>
      <c r="C1" s="334"/>
      <c r="D1" s="334"/>
      <c r="E1" s="337"/>
      <c r="F1" s="334"/>
      <c r="G1" s="334"/>
      <c r="H1" s="334"/>
      <c r="I1" s="334"/>
      <c r="J1" s="334"/>
      <c r="K1" s="334"/>
      <c r="L1" s="334"/>
      <c r="M1" s="334"/>
      <c r="N1" s="334"/>
      <c r="O1" s="334"/>
      <c r="P1" s="334"/>
      <c r="Q1" s="334"/>
      <c r="R1" s="334"/>
      <c r="S1" s="334"/>
      <c r="T1" s="334"/>
      <c r="U1" s="337"/>
      <c r="V1" s="334"/>
      <c r="W1" s="334"/>
      <c r="X1" s="334"/>
      <c r="Y1" s="334"/>
      <c r="Z1" s="334"/>
      <c r="AA1" s="334"/>
      <c r="AB1" s="334"/>
      <c r="AC1" s="334"/>
      <c r="AD1" s="334"/>
      <c r="AE1" s="334"/>
      <c r="AF1" s="334"/>
      <c r="AG1" s="334"/>
      <c r="AI1" s="334"/>
      <c r="AJ1" s="975"/>
    </row>
    <row r="2" spans="1:36" ht="15.75" hidden="1" outlineLevel="1">
      <c r="A2" s="286"/>
      <c r="B2" s="288" t="s">
        <v>537</v>
      </c>
      <c r="C2" s="288"/>
      <c r="D2" s="288"/>
      <c r="E2" s="288"/>
      <c r="F2" s="289" t="s">
        <v>536</v>
      </c>
      <c r="G2" s="280"/>
      <c r="H2" s="280"/>
      <c r="I2" s="280"/>
      <c r="J2" s="280"/>
      <c r="K2" s="282"/>
      <c r="L2" s="283"/>
      <c r="M2" s="280"/>
      <c r="N2" s="280"/>
      <c r="O2" s="284"/>
      <c r="P2" s="285"/>
      <c r="Q2" s="284"/>
      <c r="R2" s="282"/>
      <c r="S2" s="280"/>
      <c r="T2" s="280"/>
      <c r="U2" s="281"/>
      <c r="V2" s="289" t="s">
        <v>536</v>
      </c>
      <c r="W2" s="280"/>
      <c r="X2" s="280"/>
      <c r="Y2" s="280"/>
      <c r="Z2" s="280"/>
      <c r="AA2" s="282"/>
      <c r="AB2" s="283"/>
      <c r="AC2" s="280"/>
      <c r="AD2" s="284"/>
      <c r="AE2" s="285"/>
      <c r="AF2" s="285"/>
      <c r="AG2" s="285"/>
      <c r="AI2" s="285"/>
      <c r="AJ2" s="975"/>
    </row>
    <row r="3" spans="1:36" ht="15.75" hidden="1" outlineLevel="1">
      <c r="A3" s="286"/>
      <c r="B3" s="288"/>
      <c r="C3" s="288"/>
      <c r="D3" s="290" t="s">
        <v>3</v>
      </c>
      <c r="E3" s="290"/>
      <c r="F3" s="291" t="s">
        <v>728</v>
      </c>
      <c r="G3" s="280"/>
      <c r="H3" s="280"/>
      <c r="I3" s="280"/>
      <c r="J3" s="280"/>
      <c r="K3" s="282"/>
      <c r="L3" s="283"/>
      <c r="M3" s="280"/>
      <c r="N3" s="280"/>
      <c r="O3" s="284"/>
      <c r="P3" s="285"/>
      <c r="Q3" s="284"/>
      <c r="R3" s="282"/>
      <c r="S3" s="280"/>
      <c r="T3" s="280"/>
      <c r="U3" s="281"/>
      <c r="V3" s="292" t="s">
        <v>728</v>
      </c>
      <c r="W3" s="280"/>
      <c r="X3" s="280"/>
      <c r="Y3" s="280"/>
      <c r="Z3" s="280"/>
      <c r="AA3" s="282"/>
      <c r="AB3" s="283"/>
      <c r="AC3" s="280"/>
      <c r="AD3" s="284"/>
      <c r="AE3" s="285"/>
      <c r="AF3" s="285"/>
      <c r="AG3" s="285"/>
      <c r="AI3" s="285"/>
      <c r="AJ3" s="975"/>
    </row>
    <row r="4" spans="1:36" ht="15.75" hidden="1" outlineLevel="1">
      <c r="A4" s="286"/>
      <c r="B4" s="287"/>
      <c r="C4" s="280"/>
      <c r="D4" s="280"/>
      <c r="E4" s="281"/>
      <c r="F4" s="280"/>
      <c r="G4" s="280"/>
      <c r="H4" s="280"/>
      <c r="I4" s="280"/>
      <c r="J4" s="280"/>
      <c r="K4" s="282"/>
      <c r="L4" s="283"/>
      <c r="M4" s="280"/>
      <c r="N4" s="280"/>
      <c r="O4" s="284"/>
      <c r="P4" s="285"/>
      <c r="Q4" s="284"/>
      <c r="R4" s="282"/>
      <c r="S4" s="280"/>
      <c r="T4" s="280"/>
      <c r="U4" s="281"/>
      <c r="V4" s="280"/>
      <c r="W4" s="280"/>
      <c r="X4" s="280"/>
      <c r="Y4" s="280"/>
      <c r="Z4" s="280"/>
      <c r="AA4" s="282"/>
      <c r="AB4" s="283"/>
      <c r="AC4" s="280"/>
      <c r="AD4" s="284"/>
      <c r="AE4" s="285"/>
      <c r="AF4" s="285"/>
      <c r="AG4" s="285"/>
      <c r="AI4" s="285"/>
      <c r="AJ4" s="975"/>
    </row>
    <row r="5" spans="1:36" ht="15.75" hidden="1" outlineLevel="1">
      <c r="A5" s="286"/>
      <c r="B5" s="293" t="s">
        <v>62</v>
      </c>
      <c r="C5" s="280"/>
      <c r="D5" s="293" t="s">
        <v>63</v>
      </c>
      <c r="E5" s="281"/>
      <c r="F5" s="293" t="s">
        <v>64</v>
      </c>
      <c r="G5" s="280"/>
      <c r="H5" s="280"/>
      <c r="I5" s="280"/>
      <c r="J5" s="280"/>
      <c r="K5" s="282"/>
      <c r="L5" s="294" t="s">
        <v>65</v>
      </c>
      <c r="M5" s="280"/>
      <c r="N5" s="280"/>
      <c r="O5" s="284"/>
      <c r="P5" s="285"/>
      <c r="Q5" s="284"/>
      <c r="R5" s="282"/>
      <c r="S5" s="280"/>
      <c r="T5" s="293" t="s">
        <v>63</v>
      </c>
      <c r="U5" s="281"/>
      <c r="V5" s="293" t="s">
        <v>64</v>
      </c>
      <c r="W5" s="280"/>
      <c r="X5" s="280"/>
      <c r="Y5" s="280"/>
      <c r="Z5" s="280"/>
      <c r="AA5" s="282"/>
      <c r="AB5" s="294" t="s">
        <v>65</v>
      </c>
      <c r="AC5" s="280"/>
      <c r="AD5" s="284"/>
      <c r="AE5" s="285"/>
      <c r="AF5" s="285"/>
      <c r="AG5" s="285"/>
      <c r="AI5" s="285"/>
      <c r="AJ5" s="975"/>
    </row>
    <row r="6" spans="1:36" ht="15.75" hidden="1" outlineLevel="1">
      <c r="A6" s="286"/>
      <c r="B6" s="287"/>
      <c r="C6" s="280"/>
      <c r="D6" s="295" t="s">
        <v>729</v>
      </c>
      <c r="E6" s="281"/>
      <c r="F6" s="296"/>
      <c r="G6" s="280"/>
      <c r="H6" s="280"/>
      <c r="I6" s="280"/>
      <c r="J6" s="280"/>
      <c r="K6" s="282"/>
      <c r="L6" s="297"/>
      <c r="M6" s="280"/>
      <c r="N6" s="280"/>
      <c r="O6" s="284"/>
      <c r="P6" s="285"/>
      <c r="Q6" s="284"/>
      <c r="R6" s="282"/>
      <c r="S6" s="280"/>
      <c r="T6" s="295" t="s">
        <v>729</v>
      </c>
      <c r="U6" s="281"/>
      <c r="V6" s="296"/>
      <c r="W6" s="280"/>
      <c r="X6" s="280"/>
      <c r="Y6" s="280"/>
      <c r="Z6" s="280"/>
      <c r="AA6" s="282"/>
      <c r="AB6" s="297"/>
      <c r="AC6" s="280"/>
      <c r="AD6" s="284"/>
      <c r="AE6" s="285"/>
      <c r="AF6" s="285"/>
      <c r="AG6" s="285"/>
      <c r="AI6" s="285"/>
      <c r="AJ6" s="975"/>
    </row>
    <row r="7" spans="1:36" ht="15.75" hidden="1" outlineLevel="1">
      <c r="A7" s="286"/>
      <c r="B7" s="287"/>
      <c r="C7" s="280"/>
      <c r="D7" s="298" t="s">
        <v>69</v>
      </c>
      <c r="E7" s="281"/>
      <c r="F7" s="299" t="s">
        <v>68</v>
      </c>
      <c r="G7" s="280"/>
      <c r="H7" s="280"/>
      <c r="I7" s="280"/>
      <c r="J7" s="280"/>
      <c r="K7" s="282"/>
      <c r="L7" s="299" t="s">
        <v>16</v>
      </c>
      <c r="M7" s="280"/>
      <c r="N7" s="280"/>
      <c r="O7" s="284"/>
      <c r="P7" s="285"/>
      <c r="Q7" s="284"/>
      <c r="R7" s="282"/>
      <c r="S7" s="280"/>
      <c r="T7" s="298" t="s">
        <v>69</v>
      </c>
      <c r="U7" s="281"/>
      <c r="V7" s="299" t="s">
        <v>68</v>
      </c>
      <c r="W7" s="280"/>
      <c r="X7" s="280"/>
      <c r="Y7" s="280"/>
      <c r="Z7" s="280"/>
      <c r="AA7" s="282"/>
      <c r="AB7" s="299" t="s">
        <v>16</v>
      </c>
      <c r="AC7" s="280"/>
      <c r="AD7" s="284"/>
      <c r="AE7" s="285"/>
      <c r="AF7" s="285"/>
      <c r="AG7" s="285"/>
      <c r="AI7" s="285"/>
      <c r="AJ7" s="975"/>
    </row>
    <row r="8" spans="1:36" ht="15.75" hidden="1" outlineLevel="1">
      <c r="A8" s="286"/>
      <c r="B8" s="287"/>
      <c r="C8" s="280"/>
      <c r="D8" s="280"/>
      <c r="E8" s="281"/>
      <c r="F8" s="280"/>
      <c r="G8" s="280"/>
      <c r="H8" s="280"/>
      <c r="I8" s="280"/>
      <c r="J8" s="280"/>
      <c r="K8" s="282"/>
      <c r="L8" s="283"/>
      <c r="M8" s="280"/>
      <c r="N8" s="280"/>
      <c r="O8" s="284"/>
      <c r="P8" s="285"/>
      <c r="Q8" s="284"/>
      <c r="R8" s="282"/>
      <c r="S8" s="280"/>
      <c r="T8" s="280"/>
      <c r="U8" s="281"/>
      <c r="V8" s="280"/>
      <c r="W8" s="280"/>
      <c r="X8" s="280"/>
      <c r="Y8" s="280"/>
      <c r="Z8" s="280"/>
      <c r="AA8" s="282"/>
      <c r="AB8" s="283"/>
      <c r="AC8" s="280"/>
      <c r="AD8" s="284"/>
      <c r="AE8" s="285"/>
      <c r="AF8" s="285"/>
      <c r="AG8" s="285"/>
      <c r="AI8" s="285"/>
      <c r="AJ8" s="975"/>
    </row>
    <row r="9" spans="1:36" hidden="1" outlineLevel="1">
      <c r="A9" s="300">
        <v>1</v>
      </c>
      <c r="B9" s="301" t="s">
        <v>532</v>
      </c>
      <c r="C9" s="280"/>
      <c r="D9" s="302" t="s">
        <v>730</v>
      </c>
      <c r="E9" s="281"/>
      <c r="F9" s="303">
        <v>7902246092</v>
      </c>
      <c r="G9" s="297" t="s">
        <v>731</v>
      </c>
      <c r="H9" s="280"/>
      <c r="I9" s="280"/>
      <c r="J9" s="280"/>
      <c r="K9" s="282"/>
      <c r="L9" s="297"/>
      <c r="M9" s="280"/>
      <c r="N9" s="280"/>
      <c r="O9" s="284"/>
      <c r="P9" s="285"/>
      <c r="Q9" s="284"/>
      <c r="R9" s="282"/>
      <c r="S9" s="280"/>
      <c r="T9" s="302" t="s">
        <v>730</v>
      </c>
      <c r="U9" s="281"/>
      <c r="V9" s="457">
        <v>7897866211</v>
      </c>
      <c r="W9" s="297" t="s">
        <v>731</v>
      </c>
      <c r="X9" s="280"/>
      <c r="Y9" s="280"/>
      <c r="Z9" s="280"/>
      <c r="AA9" s="282"/>
      <c r="AB9" s="297"/>
      <c r="AC9" s="280"/>
      <c r="AD9" s="284"/>
      <c r="AE9" s="285"/>
      <c r="AF9" s="285"/>
      <c r="AG9" s="285"/>
      <c r="AI9" s="285"/>
      <c r="AJ9" s="975"/>
    </row>
    <row r="10" spans="1:36" hidden="1" outlineLevel="1">
      <c r="A10" s="300">
        <v>2</v>
      </c>
      <c r="B10" s="301" t="s">
        <v>531</v>
      </c>
      <c r="C10" s="280"/>
      <c r="D10" s="302" t="s">
        <v>732</v>
      </c>
      <c r="E10" s="281"/>
      <c r="F10" s="303">
        <v>5575741411.3800001</v>
      </c>
      <c r="G10" s="297" t="s">
        <v>733</v>
      </c>
      <c r="H10" s="280"/>
      <c r="I10" s="280"/>
      <c r="J10" s="280"/>
      <c r="K10" s="282"/>
      <c r="L10" s="297"/>
      <c r="M10" s="280"/>
      <c r="N10" s="280"/>
      <c r="O10" s="284"/>
      <c r="P10" s="285"/>
      <c r="Q10" s="284"/>
      <c r="R10" s="282"/>
      <c r="S10" s="280"/>
      <c r="T10" s="302" t="s">
        <v>732</v>
      </c>
      <c r="U10" s="281"/>
      <c r="V10" s="457">
        <v>5604719744</v>
      </c>
      <c r="W10" s="297" t="s">
        <v>733</v>
      </c>
      <c r="X10" s="280"/>
      <c r="Y10" s="280"/>
      <c r="Z10" s="280"/>
      <c r="AA10" s="282"/>
      <c r="AB10" s="297"/>
      <c r="AC10" s="280"/>
      <c r="AD10" s="284"/>
      <c r="AE10" s="285"/>
      <c r="AF10" s="285"/>
      <c r="AG10" s="285"/>
      <c r="AI10" s="285"/>
      <c r="AJ10" s="975"/>
    </row>
    <row r="11" spans="1:36" hidden="1" outlineLevel="1">
      <c r="A11" s="300"/>
      <c r="B11" s="297"/>
      <c r="C11" s="280"/>
      <c r="D11" s="302"/>
      <c r="E11" s="281"/>
      <c r="F11" s="297"/>
      <c r="G11" s="297"/>
      <c r="H11" s="280"/>
      <c r="I11" s="280"/>
      <c r="J11" s="280"/>
      <c r="K11" s="282"/>
      <c r="L11" s="297"/>
      <c r="M11" s="280"/>
      <c r="N11" s="280"/>
      <c r="O11" s="284"/>
      <c r="P11" s="285"/>
      <c r="Q11" s="284"/>
      <c r="R11" s="282"/>
      <c r="S11" s="280"/>
      <c r="T11" s="302"/>
      <c r="U11" s="281"/>
      <c r="V11" s="297"/>
      <c r="W11" s="297"/>
      <c r="X11" s="280"/>
      <c r="Y11" s="280"/>
      <c r="Z11" s="280"/>
      <c r="AA11" s="282"/>
      <c r="AB11" s="297"/>
      <c r="AC11" s="280"/>
      <c r="AD11" s="284"/>
      <c r="AE11" s="285"/>
      <c r="AF11" s="285"/>
      <c r="AG11" s="285"/>
      <c r="AI11" s="285"/>
      <c r="AJ11" s="975"/>
    </row>
    <row r="12" spans="1:36" hidden="1" outlineLevel="1">
      <c r="A12" s="300"/>
      <c r="B12" s="301" t="s">
        <v>530</v>
      </c>
      <c r="C12" s="280"/>
      <c r="D12" s="302"/>
      <c r="E12" s="281"/>
      <c r="F12" s="296"/>
      <c r="G12" s="297"/>
      <c r="H12" s="280"/>
      <c r="I12" s="280"/>
      <c r="J12" s="280"/>
      <c r="K12" s="282"/>
      <c r="L12" s="296"/>
      <c r="M12" s="280"/>
      <c r="N12" s="280"/>
      <c r="O12" s="284"/>
      <c r="P12" s="285"/>
      <c r="Q12" s="284"/>
      <c r="R12" s="282"/>
      <c r="S12" s="280"/>
      <c r="T12" s="302"/>
      <c r="U12" s="281"/>
      <c r="V12" s="296"/>
      <c r="W12" s="297"/>
      <c r="X12" s="280"/>
      <c r="Y12" s="280"/>
      <c r="Z12" s="280"/>
      <c r="AA12" s="282"/>
      <c r="AB12" s="296"/>
      <c r="AC12" s="280"/>
      <c r="AD12" s="284"/>
      <c r="AE12" s="285"/>
      <c r="AF12" s="285"/>
      <c r="AG12" s="285"/>
      <c r="AI12" s="285"/>
      <c r="AJ12" s="975"/>
    </row>
    <row r="13" spans="1:36" hidden="1" outlineLevel="1">
      <c r="A13" s="300">
        <v>3</v>
      </c>
      <c r="B13" s="301" t="s">
        <v>529</v>
      </c>
      <c r="C13" s="280"/>
      <c r="D13" s="302" t="s">
        <v>734</v>
      </c>
      <c r="E13" s="281"/>
      <c r="F13" s="303">
        <v>169527105.6445322</v>
      </c>
      <c r="G13" s="304" t="s">
        <v>735</v>
      </c>
      <c r="H13" s="280"/>
      <c r="I13" s="280"/>
      <c r="J13" s="280"/>
      <c r="K13" s="282"/>
      <c r="L13" s="297"/>
      <c r="M13" s="280"/>
      <c r="N13" s="280"/>
      <c r="O13" s="284"/>
      <c r="P13" s="285"/>
      <c r="Q13" s="284"/>
      <c r="R13" s="282"/>
      <c r="S13" s="280"/>
      <c r="T13" s="302" t="s">
        <v>734</v>
      </c>
      <c r="U13" s="281"/>
      <c r="V13" s="457">
        <v>166442433.07710424</v>
      </c>
      <c r="W13" s="304" t="s">
        <v>735</v>
      </c>
      <c r="X13" s="280"/>
      <c r="Y13" s="280"/>
      <c r="Z13" s="280"/>
      <c r="AA13" s="282"/>
      <c r="AB13" s="297"/>
      <c r="AC13" s="280"/>
      <c r="AD13" s="284"/>
      <c r="AE13" s="285"/>
      <c r="AF13" s="285"/>
      <c r="AG13" s="285"/>
      <c r="AI13" s="285"/>
      <c r="AJ13" s="975"/>
    </row>
    <row r="14" spans="1:36" hidden="1" outlineLevel="1">
      <c r="A14" s="300" t="s">
        <v>527</v>
      </c>
      <c r="B14" s="301" t="s">
        <v>773</v>
      </c>
      <c r="C14" s="280"/>
      <c r="D14" s="302" t="s">
        <v>774</v>
      </c>
      <c r="E14" s="281"/>
      <c r="F14" s="303">
        <v>17076841</v>
      </c>
      <c r="G14" s="304"/>
      <c r="H14" s="280"/>
      <c r="I14" s="280"/>
      <c r="J14" s="280"/>
      <c r="K14" s="282"/>
      <c r="L14" s="297"/>
      <c r="M14" s="280"/>
      <c r="N14" s="280"/>
      <c r="O14" s="284"/>
      <c r="P14" s="285"/>
      <c r="Q14" s="284"/>
      <c r="R14" s="282"/>
      <c r="S14" s="280"/>
      <c r="T14" s="302" t="s">
        <v>774</v>
      </c>
      <c r="U14" s="281"/>
      <c r="V14" s="457">
        <v>19068477</v>
      </c>
      <c r="W14" s="304"/>
      <c r="X14" s="280"/>
      <c r="Y14" s="280"/>
      <c r="Z14" s="280"/>
      <c r="AA14" s="282"/>
      <c r="AB14" s="297"/>
      <c r="AC14" s="280"/>
      <c r="AD14" s="284"/>
      <c r="AE14" s="285"/>
      <c r="AF14" s="285"/>
      <c r="AG14" s="285"/>
      <c r="AI14" s="285"/>
      <c r="AJ14" s="975"/>
    </row>
    <row r="15" spans="1:36" hidden="1" outlineLevel="1">
      <c r="A15" s="300" t="s">
        <v>524</v>
      </c>
      <c r="B15" s="301" t="s">
        <v>775</v>
      </c>
      <c r="C15" s="280"/>
      <c r="D15" s="302"/>
      <c r="E15" s="281"/>
      <c r="F15" s="349">
        <f>F13-F14</f>
        <v>152450264.6445322</v>
      </c>
      <c r="G15" s="304"/>
      <c r="H15" s="280"/>
      <c r="I15" s="280"/>
      <c r="J15" s="280"/>
      <c r="K15" s="282"/>
      <c r="L15" s="297"/>
      <c r="M15" s="280"/>
      <c r="N15" s="280"/>
      <c r="O15" s="284"/>
      <c r="P15" s="285"/>
      <c r="Q15" s="284"/>
      <c r="R15" s="282"/>
      <c r="S15" s="280"/>
      <c r="T15" s="302"/>
      <c r="U15" s="281"/>
      <c r="V15" s="349">
        <f>+V13-V14</f>
        <v>147373956.07710424</v>
      </c>
      <c r="W15" s="304"/>
      <c r="X15" s="280"/>
      <c r="Y15" s="280"/>
      <c r="Z15" s="280"/>
      <c r="AA15" s="282"/>
      <c r="AB15" s="297"/>
      <c r="AC15" s="280"/>
      <c r="AD15" s="284"/>
      <c r="AE15" s="285"/>
      <c r="AF15" s="285"/>
      <c r="AG15" s="285"/>
      <c r="AI15" s="285"/>
      <c r="AJ15" s="975"/>
    </row>
    <row r="16" spans="1:36" hidden="1" outlineLevel="1">
      <c r="A16" s="300">
        <v>4</v>
      </c>
      <c r="B16" s="301" t="s">
        <v>521</v>
      </c>
      <c r="C16" s="280"/>
      <c r="D16" s="302" t="s">
        <v>736</v>
      </c>
      <c r="E16" s="281"/>
      <c r="F16" s="305">
        <f>IF(F15=0,0,F15/F9)</f>
        <v>1.9292016835424593E-2</v>
      </c>
      <c r="G16" s="297"/>
      <c r="H16" s="280"/>
      <c r="I16" s="280"/>
      <c r="J16" s="280"/>
      <c r="K16" s="282"/>
      <c r="L16" s="275">
        <f>F16</f>
        <v>1.9292016835424593E-2</v>
      </c>
      <c r="M16" s="280"/>
      <c r="N16" s="280"/>
      <c r="O16" s="284"/>
      <c r="P16" s="285"/>
      <c r="Q16" s="284"/>
      <c r="R16" s="282"/>
      <c r="S16" s="280"/>
      <c r="T16" s="302" t="s">
        <v>736</v>
      </c>
      <c r="U16" s="281"/>
      <c r="V16" s="305">
        <f>IF(V15=0,0,V15/V9)</f>
        <v>1.8659971204860949E-2</v>
      </c>
      <c r="W16" s="297"/>
      <c r="X16" s="280"/>
      <c r="Y16" s="280"/>
      <c r="Z16" s="280"/>
      <c r="AA16" s="282"/>
      <c r="AB16" s="275">
        <f>V16</f>
        <v>1.8659971204860949E-2</v>
      </c>
      <c r="AC16" s="280"/>
      <c r="AD16" s="284"/>
      <c r="AE16" s="285"/>
      <c r="AF16" s="285"/>
      <c r="AG16" s="285"/>
      <c r="AI16" s="285"/>
      <c r="AJ16" s="975"/>
    </row>
    <row r="17" spans="1:36" hidden="1" outlineLevel="1">
      <c r="A17" s="300"/>
      <c r="B17" s="297"/>
      <c r="C17" s="280"/>
      <c r="D17" s="302"/>
      <c r="E17" s="281"/>
      <c r="F17" s="297"/>
      <c r="G17" s="297"/>
      <c r="H17" s="280"/>
      <c r="I17" s="280"/>
      <c r="J17" s="280"/>
      <c r="K17" s="282"/>
      <c r="L17" s="275"/>
      <c r="M17" s="280"/>
      <c r="N17" s="280"/>
      <c r="O17" s="284"/>
      <c r="P17" s="285"/>
      <c r="Q17" s="284"/>
      <c r="R17" s="282"/>
      <c r="S17" s="280"/>
      <c r="T17" s="302"/>
      <c r="U17" s="281"/>
      <c r="V17" s="297"/>
      <c r="W17" s="297"/>
      <c r="X17" s="280"/>
      <c r="Y17" s="280"/>
      <c r="Z17" s="280"/>
      <c r="AA17" s="282"/>
      <c r="AB17" s="297"/>
      <c r="AC17" s="280"/>
      <c r="AD17" s="284"/>
      <c r="AE17" s="285"/>
      <c r="AF17" s="285"/>
      <c r="AG17" s="285"/>
      <c r="AI17" s="285"/>
      <c r="AJ17" s="975"/>
    </row>
    <row r="18" spans="1:36" ht="30" hidden="1" outlineLevel="1">
      <c r="A18" s="300"/>
      <c r="B18" s="530" t="s">
        <v>977</v>
      </c>
      <c r="C18" s="280"/>
      <c r="D18" s="302"/>
      <c r="E18" s="281"/>
      <c r="F18" s="297"/>
      <c r="G18" s="297"/>
      <c r="H18" s="280"/>
      <c r="I18" s="280"/>
      <c r="J18" s="280"/>
      <c r="K18" s="282"/>
      <c r="L18" s="279"/>
      <c r="M18" s="280"/>
      <c r="N18" s="280"/>
      <c r="O18" s="284"/>
      <c r="P18" s="285"/>
      <c r="Q18" s="284"/>
      <c r="R18" s="282"/>
      <c r="S18" s="280"/>
      <c r="T18" s="302"/>
      <c r="U18" s="281"/>
      <c r="V18" s="297"/>
      <c r="W18" s="297"/>
      <c r="X18" s="280"/>
      <c r="Y18" s="280"/>
      <c r="Z18" s="280"/>
      <c r="AA18" s="282"/>
      <c r="AB18" s="297"/>
      <c r="AC18" s="280"/>
      <c r="AD18" s="284"/>
      <c r="AE18" s="285"/>
      <c r="AF18" s="285"/>
      <c r="AG18" s="285"/>
      <c r="AI18" s="285"/>
      <c r="AJ18" s="975"/>
    </row>
    <row r="19" spans="1:36" hidden="1" outlineLevel="1">
      <c r="A19" s="300" t="s">
        <v>519</v>
      </c>
      <c r="B19" s="297" t="s">
        <v>518</v>
      </c>
      <c r="C19" s="280"/>
      <c r="D19" s="302" t="s">
        <v>737</v>
      </c>
      <c r="E19" s="281"/>
      <c r="F19" s="303">
        <v>25622925</v>
      </c>
      <c r="G19" s="297"/>
      <c r="H19" s="280"/>
      <c r="I19" s="280"/>
      <c r="J19" s="280"/>
      <c r="K19" s="282"/>
      <c r="M19" s="280"/>
      <c r="N19" s="280"/>
      <c r="O19" s="284"/>
      <c r="P19" s="285"/>
      <c r="Q19" s="284"/>
      <c r="R19" s="282"/>
      <c r="S19" s="280"/>
      <c r="T19" s="302" t="s">
        <v>737</v>
      </c>
      <c r="U19" s="281"/>
      <c r="V19" s="457">
        <v>21656703</v>
      </c>
      <c r="W19" s="297"/>
      <c r="X19" s="280"/>
      <c r="Y19" s="280"/>
      <c r="Z19" s="280"/>
      <c r="AA19" s="282"/>
      <c r="AB19" s="297"/>
      <c r="AC19" s="280"/>
      <c r="AD19" s="284"/>
      <c r="AE19" s="285"/>
      <c r="AF19" s="285"/>
      <c r="AG19" s="285"/>
      <c r="AI19" s="285"/>
      <c r="AJ19" s="975"/>
    </row>
    <row r="20" spans="1:36" hidden="1" outlineLevel="1">
      <c r="A20" s="300" t="s">
        <v>517</v>
      </c>
      <c r="B20" s="297" t="s">
        <v>516</v>
      </c>
      <c r="C20" s="280"/>
      <c r="D20" s="302" t="s">
        <v>515</v>
      </c>
      <c r="E20" s="281"/>
      <c r="F20" s="81">
        <f>IF(F19=0,0,F19/F9)</f>
        <v>3.2424863389081101E-3</v>
      </c>
      <c r="G20" s="297"/>
      <c r="H20" s="280"/>
      <c r="I20" s="280"/>
      <c r="J20" s="280"/>
      <c r="K20" s="282"/>
      <c r="L20" s="275">
        <f>F20</f>
        <v>3.2424863389081101E-3</v>
      </c>
      <c r="M20" s="280"/>
      <c r="N20" s="280"/>
      <c r="O20" s="284"/>
      <c r="P20" s="285"/>
      <c r="Q20" s="284"/>
      <c r="R20" s="282"/>
      <c r="S20" s="280"/>
      <c r="T20" s="302" t="s">
        <v>515</v>
      </c>
      <c r="U20" s="281"/>
      <c r="V20" s="81">
        <f>IF(V19=0,0,V19/V9)</f>
        <v>2.7420954497604619E-3</v>
      </c>
      <c r="W20" s="297"/>
      <c r="X20" s="280"/>
      <c r="Y20" s="280"/>
      <c r="Z20" s="280"/>
      <c r="AA20" s="282"/>
      <c r="AB20" s="275">
        <f>+V20</f>
        <v>2.7420954497604619E-3</v>
      </c>
      <c r="AC20" s="280"/>
      <c r="AD20" s="284"/>
      <c r="AE20" s="285"/>
      <c r="AF20" s="285"/>
      <c r="AG20" s="285"/>
      <c r="AI20" s="285"/>
      <c r="AJ20" s="975"/>
    </row>
    <row r="21" spans="1:36" hidden="1" outlineLevel="1">
      <c r="A21" s="300"/>
      <c r="B21" s="297"/>
      <c r="C21" s="280"/>
      <c r="D21" s="302"/>
      <c r="E21" s="281"/>
      <c r="F21" s="297"/>
      <c r="G21" s="297"/>
      <c r="H21" s="280"/>
      <c r="I21" s="280"/>
      <c r="J21" s="280"/>
      <c r="K21" s="282"/>
      <c r="L21" s="275"/>
      <c r="M21" s="280"/>
      <c r="N21" s="280"/>
      <c r="O21" s="284"/>
      <c r="P21" s="285"/>
      <c r="Q21" s="284"/>
      <c r="R21" s="282"/>
      <c r="S21" s="280"/>
      <c r="T21" s="302"/>
      <c r="U21" s="281"/>
      <c r="V21" s="297"/>
      <c r="W21" s="297"/>
      <c r="X21" s="280"/>
      <c r="Y21" s="280"/>
      <c r="Z21" s="280"/>
      <c r="AA21" s="282"/>
      <c r="AB21" s="297"/>
      <c r="AC21" s="280"/>
      <c r="AD21" s="284"/>
      <c r="AE21" s="285"/>
      <c r="AF21" s="285"/>
      <c r="AG21" s="285"/>
      <c r="AI21" s="285"/>
      <c r="AJ21" s="975"/>
    </row>
    <row r="22" spans="1:36" hidden="1" outlineLevel="1">
      <c r="A22" s="306"/>
      <c r="B22" s="301" t="s">
        <v>514</v>
      </c>
      <c r="C22" s="280"/>
      <c r="D22" s="307"/>
      <c r="E22" s="281"/>
      <c r="F22" s="296"/>
      <c r="G22" s="297"/>
      <c r="H22" s="280"/>
      <c r="I22" s="280"/>
      <c r="J22" s="280"/>
      <c r="K22" s="282"/>
      <c r="L22" s="279"/>
      <c r="M22" s="280"/>
      <c r="N22" s="280"/>
      <c r="O22" s="284"/>
      <c r="P22" s="285"/>
      <c r="Q22" s="284"/>
      <c r="R22" s="282"/>
      <c r="S22" s="280"/>
      <c r="T22" s="307"/>
      <c r="U22" s="281"/>
      <c r="V22" s="296"/>
      <c r="W22" s="297"/>
      <c r="X22" s="280"/>
      <c r="Y22" s="280"/>
      <c r="Z22" s="280"/>
      <c r="AA22" s="282"/>
      <c r="AB22" s="296"/>
      <c r="AC22" s="280"/>
      <c r="AD22" s="284"/>
      <c r="AE22" s="285"/>
      <c r="AF22" s="285"/>
      <c r="AG22" s="285"/>
      <c r="AI22" s="285"/>
      <c r="AJ22" s="975"/>
    </row>
    <row r="23" spans="1:36" hidden="1" outlineLevel="1">
      <c r="A23" s="306" t="s">
        <v>513</v>
      </c>
      <c r="B23" s="301" t="s">
        <v>512</v>
      </c>
      <c r="C23" s="280"/>
      <c r="D23" s="302" t="s">
        <v>738</v>
      </c>
      <c r="E23" s="281"/>
      <c r="F23" s="303">
        <v>33537221</v>
      </c>
      <c r="G23" s="297" t="s">
        <v>739</v>
      </c>
      <c r="H23" s="280"/>
      <c r="I23" s="280"/>
      <c r="J23" s="280"/>
      <c r="K23" s="282"/>
      <c r="M23" s="280"/>
      <c r="N23" s="280"/>
      <c r="O23" s="284"/>
      <c r="P23" s="285"/>
      <c r="Q23" s="284"/>
      <c r="R23" s="282"/>
      <c r="S23" s="280"/>
      <c r="T23" s="302" t="s">
        <v>738</v>
      </c>
      <c r="U23" s="281"/>
      <c r="V23" s="457">
        <v>32415836</v>
      </c>
      <c r="W23" s="297" t="s">
        <v>739</v>
      </c>
      <c r="X23" s="280"/>
      <c r="Y23" s="280"/>
      <c r="Z23" s="280"/>
      <c r="AA23" s="282"/>
      <c r="AB23" s="297"/>
      <c r="AC23" s="280"/>
      <c r="AD23" s="284"/>
      <c r="AE23" s="285"/>
      <c r="AF23" s="285"/>
      <c r="AG23" s="285"/>
      <c r="AI23" s="285"/>
      <c r="AJ23" s="975"/>
    </row>
    <row r="24" spans="1:36" hidden="1" outlineLevel="1">
      <c r="A24" s="306" t="s">
        <v>510</v>
      </c>
      <c r="B24" s="301" t="s">
        <v>509</v>
      </c>
      <c r="C24" s="280"/>
      <c r="D24" s="302" t="s">
        <v>508</v>
      </c>
      <c r="E24" s="281"/>
      <c r="F24" s="305">
        <f>IF(F23=0,0,F23/F9)</f>
        <v>4.244011210173787E-3</v>
      </c>
      <c r="G24" s="297"/>
      <c r="H24" s="280"/>
      <c r="I24" s="280"/>
      <c r="J24" s="280"/>
      <c r="K24" s="282"/>
      <c r="L24" s="275">
        <f>F24</f>
        <v>4.244011210173787E-3</v>
      </c>
      <c r="M24" s="280"/>
      <c r="N24" s="280"/>
      <c r="O24" s="284"/>
      <c r="P24" s="285"/>
      <c r="Q24" s="284"/>
      <c r="R24" s="282"/>
      <c r="S24" s="280"/>
      <c r="T24" s="302" t="s">
        <v>508</v>
      </c>
      <c r="U24" s="281"/>
      <c r="V24" s="305">
        <f>IF(V23=0,0,V23/V9)</f>
        <v>4.1043789719876281E-3</v>
      </c>
      <c r="W24" s="297"/>
      <c r="X24" s="280"/>
      <c r="Y24" s="280"/>
      <c r="Z24" s="280"/>
      <c r="AA24" s="282"/>
      <c r="AB24" s="275">
        <f>V24</f>
        <v>4.1043789719876281E-3</v>
      </c>
      <c r="AC24" s="280"/>
      <c r="AD24" s="284"/>
      <c r="AE24" s="285"/>
      <c r="AF24" s="285"/>
      <c r="AG24" s="285"/>
      <c r="AI24" s="285"/>
      <c r="AJ24" s="975"/>
    </row>
    <row r="25" spans="1:36" hidden="1" outlineLevel="1">
      <c r="A25" s="306"/>
      <c r="B25" s="301"/>
      <c r="C25" s="280"/>
      <c r="D25" s="302"/>
      <c r="E25" s="281"/>
      <c r="F25" s="296"/>
      <c r="G25" s="297"/>
      <c r="H25" s="280"/>
      <c r="I25" s="280"/>
      <c r="J25" s="280"/>
      <c r="K25" s="282"/>
      <c r="L25" s="279"/>
      <c r="M25" s="280"/>
      <c r="N25" s="280"/>
      <c r="O25" s="284"/>
      <c r="P25" s="285"/>
      <c r="Q25" s="284"/>
      <c r="R25" s="282"/>
      <c r="S25" s="280"/>
      <c r="T25" s="302"/>
      <c r="U25" s="281"/>
      <c r="V25" s="296"/>
      <c r="W25" s="297"/>
      <c r="X25" s="280"/>
      <c r="Y25" s="280"/>
      <c r="Z25" s="280"/>
      <c r="AA25" s="282"/>
      <c r="AB25" s="296"/>
      <c r="AC25" s="280"/>
      <c r="AD25" s="284"/>
      <c r="AE25" s="285"/>
      <c r="AF25" s="285"/>
      <c r="AG25" s="285"/>
      <c r="AI25" s="285"/>
      <c r="AJ25" s="975"/>
    </row>
    <row r="26" spans="1:36" ht="15.75" hidden="1" outlineLevel="1">
      <c r="A26" s="308" t="s">
        <v>507</v>
      </c>
      <c r="B26" s="309" t="s">
        <v>482</v>
      </c>
      <c r="C26" s="280"/>
      <c r="D26" s="295" t="s">
        <v>506</v>
      </c>
      <c r="E26" s="281"/>
      <c r="F26" s="310"/>
      <c r="G26" s="297"/>
      <c r="H26" s="280"/>
      <c r="I26" s="280"/>
      <c r="J26" s="280"/>
      <c r="K26" s="282"/>
      <c r="L26" s="80">
        <f>L16+L20+L24</f>
        <v>2.6778514384506489E-2</v>
      </c>
      <c r="M26" s="280"/>
      <c r="N26" s="280"/>
      <c r="O26" s="284"/>
      <c r="P26" s="285"/>
      <c r="Q26" s="284"/>
      <c r="R26" s="282"/>
      <c r="S26" s="280"/>
      <c r="T26" s="295" t="s">
        <v>506</v>
      </c>
      <c r="U26" s="281"/>
      <c r="V26" s="310"/>
      <c r="W26" s="297"/>
      <c r="X26" s="280"/>
      <c r="Y26" s="280"/>
      <c r="Z26" s="280"/>
      <c r="AA26" s="282"/>
      <c r="AB26" s="80">
        <f>AB16+AB20+AB24</f>
        <v>2.5506445626609038E-2</v>
      </c>
      <c r="AC26" s="280"/>
      <c r="AD26" s="284"/>
      <c r="AE26" s="285"/>
      <c r="AF26" s="285"/>
      <c r="AG26" s="285"/>
      <c r="AI26" s="285"/>
      <c r="AJ26" s="975"/>
    </row>
    <row r="27" spans="1:36" hidden="1" outlineLevel="1">
      <c r="A27" s="306"/>
      <c r="B27" s="301"/>
      <c r="C27" s="280"/>
      <c r="D27" s="302"/>
      <c r="E27" s="281"/>
      <c r="F27" s="296"/>
      <c r="G27" s="297"/>
      <c r="H27" s="280"/>
      <c r="I27" s="280"/>
      <c r="J27" s="280"/>
      <c r="K27" s="282"/>
      <c r="L27" s="279"/>
      <c r="M27" s="280"/>
      <c r="N27" s="280"/>
      <c r="O27" s="284"/>
      <c r="P27" s="285"/>
      <c r="Q27" s="284"/>
      <c r="R27" s="282"/>
      <c r="S27" s="280"/>
      <c r="T27" s="302"/>
      <c r="U27" s="281"/>
      <c r="V27" s="296"/>
      <c r="W27" s="297"/>
      <c r="X27" s="280"/>
      <c r="Y27" s="280"/>
      <c r="Z27" s="280"/>
      <c r="AA27" s="282"/>
      <c r="AB27" s="296"/>
      <c r="AC27" s="280"/>
      <c r="AD27" s="284"/>
      <c r="AE27" s="285"/>
      <c r="AF27" s="285"/>
      <c r="AG27" s="285"/>
      <c r="AI27" s="285"/>
      <c r="AJ27" s="975"/>
    </row>
    <row r="28" spans="1:36" hidden="1" outlineLevel="1">
      <c r="A28" s="306"/>
      <c r="B28" s="296" t="s">
        <v>505</v>
      </c>
      <c r="C28" s="280"/>
      <c r="D28" s="302"/>
      <c r="E28" s="281"/>
      <c r="F28" s="296"/>
      <c r="G28" s="297"/>
      <c r="H28" s="280"/>
      <c r="I28" s="280"/>
      <c r="J28" s="280"/>
      <c r="K28" s="282"/>
      <c r="L28" s="279"/>
      <c r="M28" s="280"/>
      <c r="N28" s="280"/>
      <c r="O28" s="284"/>
      <c r="P28" s="285"/>
      <c r="Q28" s="284"/>
      <c r="R28" s="282"/>
      <c r="S28" s="280"/>
      <c r="T28" s="302"/>
      <c r="U28" s="281"/>
      <c r="V28" s="296"/>
      <c r="W28" s="297"/>
      <c r="X28" s="280"/>
      <c r="Y28" s="280"/>
      <c r="Z28" s="280"/>
      <c r="AA28" s="282"/>
      <c r="AB28" s="296"/>
      <c r="AC28" s="280"/>
      <c r="AD28" s="284"/>
      <c r="AE28" s="285"/>
      <c r="AF28" s="285"/>
      <c r="AG28" s="285"/>
      <c r="AI28" s="285"/>
      <c r="AJ28" s="975"/>
    </row>
    <row r="29" spans="1:36" hidden="1" outlineLevel="1">
      <c r="A29" s="306" t="s">
        <v>504</v>
      </c>
      <c r="B29" s="296" t="s">
        <v>440</v>
      </c>
      <c r="C29" s="280"/>
      <c r="D29" s="302" t="s">
        <v>740</v>
      </c>
      <c r="E29" s="281"/>
      <c r="F29" s="303">
        <v>77963743.137508184</v>
      </c>
      <c r="G29" s="297" t="s">
        <v>741</v>
      </c>
      <c r="H29" s="280"/>
      <c r="I29" s="280"/>
      <c r="J29" s="280"/>
      <c r="K29" s="282"/>
      <c r="L29" s="279"/>
      <c r="M29" s="280"/>
      <c r="N29" s="280"/>
      <c r="O29" s="284"/>
      <c r="P29" s="285"/>
      <c r="Q29" s="284"/>
      <c r="R29" s="282"/>
      <c r="S29" s="280"/>
      <c r="T29" s="302" t="s">
        <v>740</v>
      </c>
      <c r="U29" s="281"/>
      <c r="V29" s="457">
        <v>77982435.882568091</v>
      </c>
      <c r="W29" s="297" t="s">
        <v>741</v>
      </c>
      <c r="X29" s="280"/>
      <c r="Y29" s="280"/>
      <c r="Z29" s="280"/>
      <c r="AA29" s="282"/>
      <c r="AB29" s="296"/>
      <c r="AC29" s="280"/>
      <c r="AD29" s="284"/>
      <c r="AE29" s="285"/>
      <c r="AF29" s="285"/>
      <c r="AG29" s="285"/>
      <c r="AI29" s="285"/>
      <c r="AJ29" s="975"/>
    </row>
    <row r="30" spans="1:36" hidden="1" outlineLevel="1">
      <c r="A30" s="306" t="s">
        <v>502</v>
      </c>
      <c r="B30" s="296" t="s">
        <v>501</v>
      </c>
      <c r="C30" s="280"/>
      <c r="D30" s="302" t="s">
        <v>500</v>
      </c>
      <c r="E30" s="281"/>
      <c r="F30" s="305">
        <f>IF(F29=0,0,F29/F10)</f>
        <v>1.3982668381712506E-2</v>
      </c>
      <c r="G30" s="297"/>
      <c r="H30" s="280"/>
      <c r="I30" s="280"/>
      <c r="J30" s="280"/>
      <c r="K30" s="282"/>
      <c r="L30" s="275">
        <f>F30</f>
        <v>1.3982668381712506E-2</v>
      </c>
      <c r="M30" s="280"/>
      <c r="N30" s="280"/>
      <c r="O30" s="284"/>
      <c r="P30" s="285"/>
      <c r="Q30" s="284"/>
      <c r="R30" s="282"/>
      <c r="S30" s="280"/>
      <c r="T30" s="302" t="s">
        <v>500</v>
      </c>
      <c r="U30" s="281"/>
      <c r="V30" s="305">
        <f>IF(V29=0,0,V29/V10)</f>
        <v>1.3913708346621674E-2</v>
      </c>
      <c r="W30" s="297"/>
      <c r="X30" s="280"/>
      <c r="Y30" s="280"/>
      <c r="Z30" s="280"/>
      <c r="AA30" s="282"/>
      <c r="AB30" s="275">
        <f>V30</f>
        <v>1.3913708346621674E-2</v>
      </c>
      <c r="AC30" s="280"/>
      <c r="AD30" s="284"/>
      <c r="AE30" s="285"/>
      <c r="AF30" s="285"/>
      <c r="AG30" s="285"/>
      <c r="AI30" s="285"/>
      <c r="AJ30" s="975"/>
    </row>
    <row r="31" spans="1:36" hidden="1" outlineLevel="1">
      <c r="A31" s="306"/>
      <c r="B31" s="296"/>
      <c r="C31" s="280"/>
      <c r="D31" s="302"/>
      <c r="E31" s="281"/>
      <c r="F31" s="296"/>
      <c r="G31" s="297"/>
      <c r="H31" s="280"/>
      <c r="I31" s="280"/>
      <c r="J31" s="280"/>
      <c r="K31" s="282"/>
      <c r="L31" s="279"/>
      <c r="M31" s="280"/>
      <c r="N31" s="280"/>
      <c r="O31" s="284"/>
      <c r="P31" s="285"/>
      <c r="Q31" s="284"/>
      <c r="R31" s="282"/>
      <c r="S31" s="280"/>
      <c r="T31" s="302"/>
      <c r="U31" s="281"/>
      <c r="V31" s="296"/>
      <c r="W31" s="297"/>
      <c r="X31" s="280"/>
      <c r="Y31" s="280"/>
      <c r="Z31" s="280"/>
      <c r="AA31" s="282"/>
      <c r="AB31" s="296"/>
      <c r="AC31" s="280"/>
      <c r="AD31" s="284"/>
      <c r="AE31" s="285"/>
      <c r="AF31" s="285"/>
      <c r="AG31" s="285"/>
      <c r="AI31" s="285"/>
      <c r="AJ31" s="975"/>
    </row>
    <row r="32" spans="1:36" hidden="1" outlineLevel="1">
      <c r="A32" s="306"/>
      <c r="B32" s="301" t="s">
        <v>183</v>
      </c>
      <c r="C32" s="280"/>
      <c r="D32" s="311"/>
      <c r="E32" s="281"/>
      <c r="F32" s="297"/>
      <c r="G32" s="297"/>
      <c r="H32" s="280"/>
      <c r="I32" s="280"/>
      <c r="J32" s="280"/>
      <c r="K32" s="282"/>
      <c r="M32" s="280"/>
      <c r="N32" s="280"/>
      <c r="O32" s="284"/>
      <c r="P32" s="285"/>
      <c r="Q32" s="284"/>
      <c r="R32" s="282"/>
      <c r="S32" s="280"/>
      <c r="T32" s="311"/>
      <c r="U32" s="281"/>
      <c r="V32" s="297"/>
      <c r="W32" s="297"/>
      <c r="X32" s="280"/>
      <c r="Y32" s="280"/>
      <c r="Z32" s="280"/>
      <c r="AA32" s="282"/>
      <c r="AB32" s="297"/>
      <c r="AC32" s="280"/>
      <c r="AD32" s="284"/>
      <c r="AE32" s="285"/>
      <c r="AF32" s="285"/>
      <c r="AG32" s="285"/>
      <c r="AI32" s="285"/>
      <c r="AJ32" s="975"/>
    </row>
    <row r="33" spans="1:41" hidden="1" outlineLevel="1">
      <c r="A33" s="306" t="s">
        <v>499</v>
      </c>
      <c r="B33" s="301" t="s">
        <v>498</v>
      </c>
      <c r="C33" s="280"/>
      <c r="D33" s="302" t="s">
        <v>742</v>
      </c>
      <c r="E33" s="281"/>
      <c r="F33" s="303">
        <v>368082116.46735197</v>
      </c>
      <c r="G33" s="297" t="s">
        <v>743</v>
      </c>
      <c r="H33" s="280"/>
      <c r="I33" s="280"/>
      <c r="J33" s="280"/>
      <c r="K33" s="282"/>
      <c r="L33" s="279"/>
      <c r="M33" s="280"/>
      <c r="N33" s="280"/>
      <c r="O33" s="284"/>
      <c r="P33" s="285"/>
      <c r="Q33" s="284"/>
      <c r="R33" s="282"/>
      <c r="S33" s="280"/>
      <c r="T33" s="302" t="s">
        <v>742</v>
      </c>
      <c r="U33" s="281"/>
      <c r="V33" s="457">
        <v>370676280.84874725</v>
      </c>
      <c r="W33" s="297" t="s">
        <v>743</v>
      </c>
      <c r="X33" s="280"/>
      <c r="Y33" s="280"/>
      <c r="Z33" s="280"/>
      <c r="AA33" s="282"/>
      <c r="AB33" s="296"/>
      <c r="AC33" s="280"/>
      <c r="AD33" s="284"/>
      <c r="AE33" s="285"/>
      <c r="AF33" s="285"/>
      <c r="AG33" s="285"/>
      <c r="AI33" s="285"/>
      <c r="AJ33" s="975"/>
    </row>
    <row r="34" spans="1:41" hidden="1" outlineLevel="1">
      <c r="A34" s="306" t="s">
        <v>496</v>
      </c>
      <c r="B34" s="296" t="s">
        <v>495</v>
      </c>
      <c r="C34" s="280"/>
      <c r="D34" s="302" t="s">
        <v>494</v>
      </c>
      <c r="E34" s="281"/>
      <c r="F34" s="81">
        <f>IF(F33=0,0,F33/F10)</f>
        <v>6.6014918790190336E-2</v>
      </c>
      <c r="G34" s="297"/>
      <c r="H34" s="280"/>
      <c r="I34" s="280"/>
      <c r="J34" s="280"/>
      <c r="K34" s="282"/>
      <c r="L34" s="275">
        <f>F34</f>
        <v>6.6014918790190336E-2</v>
      </c>
      <c r="M34" s="280"/>
      <c r="N34" s="280"/>
      <c r="O34" s="284"/>
      <c r="P34" s="285"/>
      <c r="Q34" s="284"/>
      <c r="R34" s="282"/>
      <c r="S34" s="280"/>
      <c r="T34" s="302" t="s">
        <v>494</v>
      </c>
      <c r="U34" s="281"/>
      <c r="V34" s="81">
        <f>IF(V33=0,0,V33/V10)</f>
        <v>6.6136452450734212E-2</v>
      </c>
      <c r="W34" s="297"/>
      <c r="X34" s="280"/>
      <c r="Y34" s="280"/>
      <c r="Z34" s="280"/>
      <c r="AA34" s="282"/>
      <c r="AB34" s="275">
        <f>V34</f>
        <v>6.6136452450734212E-2</v>
      </c>
      <c r="AC34" s="280"/>
      <c r="AD34" s="284"/>
      <c r="AE34" s="285"/>
      <c r="AF34" s="285"/>
      <c r="AG34" s="285"/>
      <c r="AI34" s="285"/>
      <c r="AJ34" s="975"/>
    </row>
    <row r="35" spans="1:41" hidden="1" outlineLevel="1">
      <c r="A35" s="306"/>
      <c r="B35" s="301"/>
      <c r="C35" s="280"/>
      <c r="D35" s="302"/>
      <c r="E35" s="281"/>
      <c r="F35" s="296"/>
      <c r="G35" s="297"/>
      <c r="H35" s="280"/>
      <c r="I35" s="280"/>
      <c r="J35" s="280"/>
      <c r="K35" s="282"/>
      <c r="L35" s="279"/>
      <c r="M35" s="280"/>
      <c r="N35" s="280"/>
      <c r="O35" s="284"/>
      <c r="P35" s="285"/>
      <c r="Q35" s="284"/>
      <c r="R35" s="282"/>
      <c r="S35" s="280"/>
      <c r="T35" s="302"/>
      <c r="U35" s="281"/>
      <c r="V35" s="296"/>
      <c r="W35" s="297"/>
      <c r="X35" s="280"/>
      <c r="Y35" s="280"/>
      <c r="Z35" s="280"/>
      <c r="AA35" s="282"/>
      <c r="AB35" s="296"/>
      <c r="AC35" s="280"/>
      <c r="AD35" s="284"/>
      <c r="AE35" s="285"/>
      <c r="AF35" s="285"/>
      <c r="AG35" s="285"/>
      <c r="AI35" s="285"/>
      <c r="AJ35" s="975"/>
    </row>
    <row r="36" spans="1:41" ht="15.75" hidden="1" outlineLevel="1">
      <c r="A36" s="308" t="s">
        <v>493</v>
      </c>
      <c r="B36" s="309" t="s">
        <v>479</v>
      </c>
      <c r="C36" s="280"/>
      <c r="D36" s="295" t="s">
        <v>492</v>
      </c>
      <c r="E36" s="281"/>
      <c r="F36" s="310"/>
      <c r="G36" s="297"/>
      <c r="H36" s="280"/>
      <c r="I36" s="280"/>
      <c r="J36" s="280"/>
      <c r="K36" s="282"/>
      <c r="L36" s="80">
        <f>L30+L34</f>
        <v>7.9997587171902834E-2</v>
      </c>
      <c r="M36" s="280"/>
      <c r="N36" s="280"/>
      <c r="O36" s="284"/>
      <c r="P36" s="285"/>
      <c r="Q36" s="284"/>
      <c r="R36" s="282"/>
      <c r="S36" s="280"/>
      <c r="T36" s="295" t="s">
        <v>492</v>
      </c>
      <c r="U36" s="281"/>
      <c r="V36" s="310"/>
      <c r="W36" s="297"/>
      <c r="X36" s="280"/>
      <c r="Y36" s="280"/>
      <c r="Z36" s="280"/>
      <c r="AA36" s="282"/>
      <c r="AB36" s="80">
        <f>AB30+AB34</f>
        <v>8.0050160797355885E-2</v>
      </c>
      <c r="AC36" s="280"/>
      <c r="AD36" s="284"/>
      <c r="AE36" s="285"/>
      <c r="AF36" s="285"/>
      <c r="AG36" s="285"/>
      <c r="AI36" s="285"/>
      <c r="AJ36" s="975"/>
    </row>
    <row r="37" spans="1:41" ht="15.75" hidden="1" outlineLevel="1">
      <c r="A37" s="286"/>
      <c r="B37" s="287"/>
      <c r="C37" s="280"/>
      <c r="D37" s="280"/>
      <c r="E37" s="281"/>
      <c r="F37" s="280"/>
      <c r="G37" s="280"/>
      <c r="H37" s="280"/>
      <c r="I37" s="280"/>
      <c r="J37" s="280"/>
      <c r="K37" s="282"/>
      <c r="L37" s="283"/>
      <c r="M37" s="280"/>
      <c r="N37" s="280"/>
      <c r="O37" s="284"/>
      <c r="P37" s="285"/>
      <c r="Q37" s="284"/>
      <c r="R37" s="282"/>
      <c r="S37" s="280"/>
      <c r="T37" s="280"/>
      <c r="U37" s="281"/>
      <c r="V37" s="280"/>
      <c r="W37" s="280"/>
      <c r="X37" s="280"/>
      <c r="Y37" s="280"/>
      <c r="Z37" s="280"/>
      <c r="AA37" s="282"/>
      <c r="AB37" s="283"/>
      <c r="AC37" s="280"/>
      <c r="AD37" s="284"/>
      <c r="AE37" s="285"/>
      <c r="AF37" s="285"/>
      <c r="AG37" s="285"/>
      <c r="AI37" s="285"/>
      <c r="AJ37" s="975"/>
    </row>
    <row r="38" spans="1:41" ht="15.75" hidden="1" outlineLevel="1">
      <c r="A38" s="286"/>
      <c r="B38" s="287"/>
      <c r="C38" s="280"/>
      <c r="D38" s="280"/>
      <c r="E38" s="281"/>
      <c r="F38" s="280"/>
      <c r="G38" s="280"/>
      <c r="H38" s="280"/>
      <c r="I38" s="280"/>
      <c r="J38" s="280"/>
      <c r="K38" s="282"/>
      <c r="L38" s="283"/>
      <c r="M38" s="280"/>
      <c r="N38" s="280"/>
      <c r="O38" s="284"/>
      <c r="P38" s="285"/>
      <c r="Q38" s="284"/>
      <c r="R38" s="282"/>
      <c r="S38" s="280"/>
      <c r="T38" s="280"/>
      <c r="U38" s="281"/>
      <c r="V38" s="280"/>
      <c r="W38" s="280"/>
      <c r="X38" s="280"/>
      <c r="Y38" s="280"/>
      <c r="Z38" s="280"/>
      <c r="AA38" s="282"/>
      <c r="AB38" s="283"/>
      <c r="AC38" s="280"/>
      <c r="AD38" s="284"/>
      <c r="AE38" s="285"/>
      <c r="AF38" s="285"/>
      <c r="AG38" s="285"/>
      <c r="AI38" s="285"/>
      <c r="AJ38" s="975"/>
    </row>
    <row r="39" spans="1:41" collapsed="1">
      <c r="C39" s="312"/>
      <c r="D39" s="312"/>
      <c r="E39" s="313"/>
      <c r="F39" s="312"/>
      <c r="G39" s="312"/>
      <c r="H39" s="312"/>
      <c r="I39" s="312"/>
      <c r="J39" s="312"/>
      <c r="K39" s="312"/>
      <c r="L39" s="312"/>
      <c r="M39" s="312"/>
      <c r="N39" s="312"/>
      <c r="Q39" s="270"/>
      <c r="S39" s="312"/>
      <c r="T39" s="312"/>
      <c r="U39" s="313"/>
      <c r="V39" s="312"/>
      <c r="W39" s="312"/>
      <c r="X39" s="312"/>
      <c r="Y39" s="312"/>
      <c r="Z39" s="312"/>
      <c r="AA39" s="312"/>
      <c r="AB39" s="312"/>
      <c r="AC39" s="312"/>
      <c r="AD39" s="270"/>
      <c r="AE39" s="274"/>
      <c r="AF39" s="274"/>
      <c r="AG39" s="274"/>
      <c r="AI39" s="285"/>
    </row>
    <row r="40" spans="1:41" ht="18.75">
      <c r="A40" s="269" t="s">
        <v>345</v>
      </c>
      <c r="C40" s="1006" t="str">
        <f>A43&amp;" Projected Revenue Requirement Calculation"</f>
        <v>2024 Projected Revenue Requirement Calculation</v>
      </c>
      <c r="D40" s="1006"/>
      <c r="E40" s="1006"/>
      <c r="F40" s="1006"/>
      <c r="G40" s="1006"/>
      <c r="H40" s="1006"/>
      <c r="I40" s="1006"/>
      <c r="J40" s="1006"/>
      <c r="K40" s="1006"/>
      <c r="L40" s="1006"/>
      <c r="M40" s="1006"/>
      <c r="N40" s="1006"/>
      <c r="O40" s="270"/>
      <c r="P40" s="1007" t="s">
        <v>723</v>
      </c>
      <c r="Q40" s="1007"/>
      <c r="S40" s="1008" t="str">
        <f>+A43&amp;" Actual Revenue Requirement"</f>
        <v>2024 Actual Revenue Requirement</v>
      </c>
      <c r="T40" s="1008"/>
      <c r="U40" s="1008"/>
      <c r="V40" s="1008"/>
      <c r="W40" s="1008"/>
      <c r="X40" s="1008"/>
      <c r="Y40" s="1008"/>
      <c r="Z40" s="1008"/>
      <c r="AA40" s="1008"/>
      <c r="AB40" s="1008"/>
      <c r="AC40" s="1008"/>
      <c r="AD40" s="270"/>
      <c r="AE40" s="1007" t="str">
        <f>A43&amp;" Annual True-up Calculation"</f>
        <v>2024 Annual True-up Calculation</v>
      </c>
      <c r="AF40" s="1007"/>
      <c r="AG40" s="1007"/>
      <c r="AI40" s="285"/>
    </row>
    <row r="41" spans="1:41" ht="15.75">
      <c r="A41" s="339"/>
      <c r="C41" s="339"/>
      <c r="D41" s="339"/>
      <c r="E41" s="339"/>
      <c r="F41" s="339"/>
      <c r="G41" s="339"/>
      <c r="H41" s="339"/>
      <c r="I41" s="339"/>
      <c r="J41" s="339"/>
      <c r="K41" s="339"/>
      <c r="L41" s="339"/>
      <c r="M41" s="339"/>
      <c r="N41" s="339"/>
      <c r="O41" s="270"/>
      <c r="P41" s="465">
        <v>98138158.019999996</v>
      </c>
      <c r="Q41" s="272" t="s">
        <v>767</v>
      </c>
      <c r="S41" s="340"/>
      <c r="T41" s="340"/>
      <c r="U41" s="340"/>
      <c r="V41" s="340"/>
      <c r="W41" s="340"/>
      <c r="X41" s="340"/>
      <c r="Y41" s="340"/>
      <c r="Z41" s="340"/>
      <c r="AA41" s="340"/>
      <c r="AB41" s="340"/>
      <c r="AC41" s="340"/>
      <c r="AD41" s="270"/>
      <c r="AE41" s="341"/>
      <c r="AF41" s="341"/>
      <c r="AG41" s="341"/>
      <c r="AI41" s="285"/>
    </row>
    <row r="42" spans="1:41" ht="15.75">
      <c r="A42" s="339"/>
      <c r="C42" s="339"/>
      <c r="D42" s="339"/>
      <c r="E42" s="339"/>
      <c r="F42" s="339"/>
      <c r="G42" s="339"/>
      <c r="H42" s="339"/>
      <c r="I42" s="339"/>
      <c r="J42" s="339"/>
      <c r="K42" s="339"/>
      <c r="L42" s="339"/>
      <c r="M42" s="339"/>
      <c r="N42" s="339"/>
      <c r="O42" s="270"/>
      <c r="P42" s="78">
        <f>+L99</f>
        <v>-3606764.3973067612</v>
      </c>
      <c r="Q42" s="272" t="s">
        <v>361</v>
      </c>
      <c r="S42" s="340"/>
      <c r="T42" s="340"/>
      <c r="U42" s="340"/>
      <c r="V42" s="340"/>
      <c r="W42" s="340"/>
      <c r="X42" s="340"/>
      <c r="Y42" s="340"/>
      <c r="Z42" s="340"/>
      <c r="AA42" s="340"/>
      <c r="AB42" s="340"/>
      <c r="AC42" s="340"/>
      <c r="AD42" s="270"/>
      <c r="AE42" s="341"/>
      <c r="AF42" s="275">
        <f>'GG TU Interest'!E15</f>
        <v>8.1771428571428578E-2</v>
      </c>
      <c r="AG42" s="272" t="s">
        <v>726</v>
      </c>
      <c r="AI42" s="285"/>
    </row>
    <row r="43" spans="1:41" ht="15.75">
      <c r="A43" s="271">
        <v>2024</v>
      </c>
      <c r="C43" s="314" t="str">
        <f>+A43&amp;" Annual Expense Factor "</f>
        <v xml:space="preserve">2024 Annual Expense Factor </v>
      </c>
      <c r="D43" s="184">
        <f>+L26</f>
        <v>2.6778514384506489E-2</v>
      </c>
      <c r="F43" s="314" t="str">
        <f>A43&amp;" Annual Return Factor "</f>
        <v xml:space="preserve">2024 Annual Return Factor </v>
      </c>
      <c r="G43" s="184">
        <f>+L36</f>
        <v>7.9997587171902834E-2</v>
      </c>
      <c r="H43" s="312"/>
      <c r="I43" s="312"/>
      <c r="J43" s="312"/>
      <c r="K43" s="312"/>
      <c r="L43" s="279"/>
      <c r="M43" s="279"/>
      <c r="N43" s="279"/>
      <c r="O43" s="315"/>
      <c r="P43" s="276">
        <f>+P41+P42</f>
        <v>94531393.622693241</v>
      </c>
      <c r="Q43" s="270"/>
      <c r="S43" s="314" t="s">
        <v>744</v>
      </c>
      <c r="T43" s="184">
        <f>+AB26</f>
        <v>2.5506445626609038E-2</v>
      </c>
      <c r="V43" s="314" t="s">
        <v>745</v>
      </c>
      <c r="W43" s="184">
        <f>+AB36</f>
        <v>8.0050160797355885E-2</v>
      </c>
      <c r="X43" s="312"/>
      <c r="Y43" s="312"/>
      <c r="Z43" s="312"/>
      <c r="AA43" s="312"/>
      <c r="AB43" s="279"/>
      <c r="AC43" s="272"/>
      <c r="AD43" s="272"/>
      <c r="AE43" s="272"/>
      <c r="AF43" s="78">
        <f>'GG TU Interest'!E21</f>
        <v>-96990.83</v>
      </c>
      <c r="AG43" s="272" t="s">
        <v>724</v>
      </c>
      <c r="AI43" s="285"/>
    </row>
    <row r="44" spans="1:41">
      <c r="A44" s="316" t="s">
        <v>281</v>
      </c>
      <c r="B44" s="316" t="s">
        <v>283</v>
      </c>
      <c r="C44" s="317" t="s">
        <v>746</v>
      </c>
      <c r="D44" s="316" t="s">
        <v>747</v>
      </c>
      <c r="E44" s="316" t="s">
        <v>748</v>
      </c>
      <c r="F44" s="316" t="s">
        <v>749</v>
      </c>
      <c r="G44" s="316" t="s">
        <v>750</v>
      </c>
      <c r="H44" s="316" t="s">
        <v>751</v>
      </c>
      <c r="I44" s="316" t="s">
        <v>752</v>
      </c>
      <c r="J44" s="316" t="s">
        <v>776</v>
      </c>
      <c r="K44" s="316" t="s">
        <v>285</v>
      </c>
      <c r="L44" s="316" t="s">
        <v>287</v>
      </c>
      <c r="M44" s="316" t="s">
        <v>288</v>
      </c>
      <c r="N44" s="316" t="s">
        <v>290</v>
      </c>
      <c r="O44" s="270"/>
      <c r="P44" s="318">
        <v>0</v>
      </c>
      <c r="Q44" s="319" t="s">
        <v>294</v>
      </c>
      <c r="S44" s="316" t="s">
        <v>753</v>
      </c>
      <c r="T44" s="316" t="s">
        <v>754</v>
      </c>
      <c r="U44" s="316" t="s">
        <v>755</v>
      </c>
      <c r="V44" s="316" t="s">
        <v>756</v>
      </c>
      <c r="W44" s="316" t="s">
        <v>757</v>
      </c>
      <c r="X44" s="316" t="s">
        <v>758</v>
      </c>
      <c r="Y44" s="316" t="s">
        <v>759</v>
      </c>
      <c r="Z44" s="316" t="s">
        <v>777</v>
      </c>
      <c r="AA44" s="316" t="s">
        <v>296</v>
      </c>
      <c r="AB44" s="316" t="s">
        <v>298</v>
      </c>
      <c r="AC44" s="316" t="s">
        <v>300</v>
      </c>
      <c r="AD44" s="270"/>
      <c r="AE44" s="318" t="s">
        <v>309</v>
      </c>
      <c r="AF44" s="318" t="s">
        <v>310</v>
      </c>
      <c r="AG44" s="318" t="s">
        <v>312</v>
      </c>
      <c r="AI44" s="285"/>
    </row>
    <row r="45" spans="1:41" ht="60">
      <c r="A45" s="320" t="s">
        <v>484</v>
      </c>
      <c r="B45" s="273" t="s">
        <v>485</v>
      </c>
      <c r="C45" s="328" t="s">
        <v>760</v>
      </c>
      <c r="D45" s="321" t="s">
        <v>744</v>
      </c>
      <c r="E45" s="322" t="s">
        <v>481</v>
      </c>
      <c r="F45" s="321" t="s">
        <v>480</v>
      </c>
      <c r="G45" s="321" t="s">
        <v>745</v>
      </c>
      <c r="H45" s="323" t="s">
        <v>478</v>
      </c>
      <c r="I45" s="321" t="s">
        <v>477</v>
      </c>
      <c r="J45" s="348" t="s">
        <v>476</v>
      </c>
      <c r="K45" s="324" t="s">
        <v>475</v>
      </c>
      <c r="L45" s="325" t="s">
        <v>761</v>
      </c>
      <c r="M45" s="324" t="s">
        <v>473</v>
      </c>
      <c r="N45" s="324" t="s">
        <v>762</v>
      </c>
      <c r="O45" s="326"/>
      <c r="P45" s="324" t="s">
        <v>763</v>
      </c>
      <c r="Q45" s="324" t="s">
        <v>725</v>
      </c>
      <c r="R45" s="327"/>
      <c r="S45" s="328" t="s">
        <v>764</v>
      </c>
      <c r="T45" s="321" t="s">
        <v>744</v>
      </c>
      <c r="U45" s="322" t="s">
        <v>481</v>
      </c>
      <c r="V45" s="321" t="s">
        <v>480</v>
      </c>
      <c r="W45" s="321" t="s">
        <v>745</v>
      </c>
      <c r="X45" s="323" t="s">
        <v>478</v>
      </c>
      <c r="Y45" s="321" t="s">
        <v>477</v>
      </c>
      <c r="Z45" s="348" t="s">
        <v>476</v>
      </c>
      <c r="AA45" s="324" t="s">
        <v>475</v>
      </c>
      <c r="AB45" s="325" t="s">
        <v>761</v>
      </c>
      <c r="AC45" s="324" t="s">
        <v>473</v>
      </c>
      <c r="AD45" s="326"/>
      <c r="AE45" s="324" t="s">
        <v>765</v>
      </c>
      <c r="AF45" s="324" t="s">
        <v>766</v>
      </c>
      <c r="AG45" s="324" t="str">
        <f>"Total "&amp;A43&amp;" True-up"</f>
        <v>Total 2024 True-up</v>
      </c>
      <c r="AH45" s="327"/>
      <c r="AI45" s="285"/>
      <c r="AJ45" s="979" t="s">
        <v>1243</v>
      </c>
      <c r="AK45" s="976"/>
      <c r="AL45" s="976"/>
      <c r="AM45" s="976"/>
      <c r="AN45" s="976"/>
    </row>
    <row r="46" spans="1:41">
      <c r="A46" s="329"/>
      <c r="B46" s="435"/>
      <c r="C46" s="329"/>
      <c r="D46" s="312"/>
      <c r="E46" s="330"/>
      <c r="F46" s="312"/>
      <c r="G46" s="312"/>
      <c r="H46" s="331"/>
      <c r="I46" s="312"/>
      <c r="J46" s="331"/>
      <c r="K46" s="331"/>
      <c r="L46" s="279"/>
      <c r="M46" s="332"/>
      <c r="N46" s="332"/>
      <c r="O46" s="270"/>
      <c r="P46" s="332"/>
      <c r="Q46" s="332"/>
      <c r="S46" s="333"/>
      <c r="T46" s="312"/>
      <c r="U46" s="330"/>
      <c r="V46" s="312"/>
      <c r="W46" s="312"/>
      <c r="X46" s="331"/>
      <c r="Y46" s="312"/>
      <c r="Z46" s="331"/>
      <c r="AA46" s="331"/>
      <c r="AB46" s="279"/>
      <c r="AC46" s="332"/>
      <c r="AD46" s="270"/>
      <c r="AE46" s="332"/>
      <c r="AF46" s="332"/>
      <c r="AG46" s="332"/>
      <c r="AI46" s="285"/>
      <c r="AJ46" s="980"/>
    </row>
    <row r="47" spans="1:41">
      <c r="A47" s="436">
        <v>345</v>
      </c>
      <c r="B47" s="346" t="s">
        <v>863</v>
      </c>
      <c r="C47" s="978">
        <v>141509891.46000001</v>
      </c>
      <c r="D47" s="444">
        <f>D$43</f>
        <v>2.6778514384506489E-2</v>
      </c>
      <c r="E47" s="451">
        <f t="shared" ref="E47:E69" si="0">C47*D47</f>
        <v>3789424.6640115622</v>
      </c>
      <c r="F47" s="440">
        <v>92789716.769999996</v>
      </c>
      <c r="G47" s="444">
        <f>G$43</f>
        <v>7.9997587171902834E-2</v>
      </c>
      <c r="H47" s="439">
        <f t="shared" ref="H47:H69" si="1">F47*G47</f>
        <v>7422953.4559642486</v>
      </c>
      <c r="I47" s="440">
        <v>3311331.46</v>
      </c>
      <c r="J47" s="456">
        <v>0</v>
      </c>
      <c r="K47" s="439">
        <f t="shared" ref="K47:K69" si="2">E47+H47+I47+J47</f>
        <v>14523709.57997581</v>
      </c>
      <c r="L47" s="440">
        <v>-452223.75258767017</v>
      </c>
      <c r="M47" s="441">
        <f t="shared" ref="M47:M69" si="3">K47+L47</f>
        <v>14071485.827388139</v>
      </c>
      <c r="N47" s="442">
        <f>IF(ISERR(M47/$M$99),0,M47/$M$99)</f>
        <v>0.14856878866064399</v>
      </c>
      <c r="O47" s="443"/>
      <c r="P47" s="441">
        <f>$P$43*N47</f>
        <v>14044414.640926061</v>
      </c>
      <c r="Q47" s="442">
        <f>IF(ISERR(P47/P$99),0,P47/P$99)</f>
        <v>0.14856878866064396</v>
      </c>
      <c r="R47" s="443"/>
      <c r="S47" s="458">
        <v>141497040.90000004</v>
      </c>
      <c r="T47" s="444">
        <f>T$43</f>
        <v>2.5506445626609038E-2</v>
      </c>
      <c r="U47" s="445">
        <f t="shared" ref="U47:U69" si="4">S47*T47</f>
        <v>3609086.5800419259</v>
      </c>
      <c r="V47" s="458">
        <v>92788937.476153821</v>
      </c>
      <c r="W47" s="444">
        <f>W$43</f>
        <v>8.0050160797355885E-2</v>
      </c>
      <c r="X47" s="439">
        <f t="shared" ref="X47:X69" si="5">V47*W47</f>
        <v>7427769.3651819145</v>
      </c>
      <c r="Y47" s="458">
        <v>3314877.1199999992</v>
      </c>
      <c r="Z47" s="458">
        <v>0</v>
      </c>
      <c r="AA47" s="439">
        <f t="shared" ref="AA47:AA69" si="6">U47+X47+Y47+Z47</f>
        <v>14351733.065223839</v>
      </c>
      <c r="AB47" s="446">
        <f>L47</f>
        <v>-452223.75258767017</v>
      </c>
      <c r="AC47" s="441">
        <f t="shared" ref="AC47:AC69" si="7">AA47+AB47</f>
        <v>13899509.312636169</v>
      </c>
      <c r="AD47" s="443"/>
      <c r="AE47" s="441">
        <f>+AC47-P47</f>
        <v>-144905.32828989252</v>
      </c>
      <c r="AF47" s="441">
        <f t="shared" ref="AF47:AF90" si="8">IF(ISERR((AE47/$AE$99)*$AF$43),0,(AE47/$AE$99)*$AF$43)</f>
        <v>-25464.965850042165</v>
      </c>
      <c r="AG47" s="441">
        <f t="shared" ref="AG47:AG69" si="9">+AE47+AF47</f>
        <v>-170370.2941399347</v>
      </c>
      <c r="AI47" s="285"/>
      <c r="AJ47" s="980" t="str">
        <f>IF(ISNA(VLOOKUP(A47,'ATC Att GG ER21-2601'!$D$74:$D$126,1,FALSE)),"No","Yes")</f>
        <v>Yes</v>
      </c>
      <c r="AK47" s="421"/>
      <c r="AL47" s="421"/>
      <c r="AM47" s="977"/>
      <c r="AN47" s="977"/>
      <c r="AO47" s="977"/>
    </row>
    <row r="48" spans="1:41">
      <c r="A48" s="436">
        <v>1453</v>
      </c>
      <c r="B48" s="346" t="s">
        <v>864</v>
      </c>
      <c r="C48" s="978">
        <v>8744623.3699999992</v>
      </c>
      <c r="D48" s="444">
        <f t="shared" ref="D48:D96" si="10">D$43</f>
        <v>2.6778514384506489E-2</v>
      </c>
      <c r="E48" s="451">
        <f t="shared" si="0"/>
        <v>234168.02270063659</v>
      </c>
      <c r="F48" s="440">
        <v>4776173.24</v>
      </c>
      <c r="G48" s="444">
        <f t="shared" ref="G48:G96" si="11">G$43</f>
        <v>7.9997587171902834E-2</v>
      </c>
      <c r="H48" s="439">
        <f t="shared" si="1"/>
        <v>382082.33511500963</v>
      </c>
      <c r="I48" s="440">
        <v>255343</v>
      </c>
      <c r="J48" s="456">
        <v>0</v>
      </c>
      <c r="K48" s="439">
        <f t="shared" si="2"/>
        <v>871593.35781564622</v>
      </c>
      <c r="L48" s="440">
        <v>-29584.832131295043</v>
      </c>
      <c r="M48" s="441">
        <f t="shared" si="3"/>
        <v>842008.52568435122</v>
      </c>
      <c r="N48" s="442">
        <f t="shared" ref="N48:N96" si="12">IF(ISERR(M48/$M$99),0,M48/$M$99)</f>
        <v>8.8900481610390374E-3</v>
      </c>
      <c r="O48" s="443"/>
      <c r="P48" s="441">
        <f t="shared" ref="P48:P69" si="13">+$P$43*N48</f>
        <v>840388.64203588141</v>
      </c>
      <c r="Q48" s="442">
        <f t="shared" ref="Q48:Q96" si="14">IF(ISERR(P48/P$99),0,P48/P$99)</f>
        <v>8.8900481610390356E-3</v>
      </c>
      <c r="R48" s="443"/>
      <c r="S48" s="458">
        <v>8744623.3700000029</v>
      </c>
      <c r="T48" s="444">
        <f t="shared" ref="T48:T96" si="15">T$43</f>
        <v>2.5506445626609038E-2</v>
      </c>
      <c r="U48" s="445">
        <f t="shared" si="4"/>
        <v>223044.26051207975</v>
      </c>
      <c r="V48" s="458">
        <v>4775949.4769999925</v>
      </c>
      <c r="W48" s="444">
        <f t="shared" ref="W48:W96" si="16">W$43</f>
        <v>8.0050160797355885E-2</v>
      </c>
      <c r="X48" s="439">
        <f t="shared" si="5"/>
        <v>382315.52359389712</v>
      </c>
      <c r="Y48" s="458">
        <v>255566.7600000001</v>
      </c>
      <c r="Z48" s="458">
        <v>0</v>
      </c>
      <c r="AA48" s="439">
        <f t="shared" si="6"/>
        <v>860926.54410597694</v>
      </c>
      <c r="AB48" s="446">
        <f t="shared" ref="AB48:AB69" si="17">L48</f>
        <v>-29584.832131295043</v>
      </c>
      <c r="AC48" s="441">
        <f t="shared" si="7"/>
        <v>831341.71197468194</v>
      </c>
      <c r="AD48" s="443"/>
      <c r="AE48" s="441">
        <f t="shared" ref="AE48:AE69" si="18">+AC48-P48</f>
        <v>-9046.9300611994695</v>
      </c>
      <c r="AF48" s="441">
        <f t="shared" si="8"/>
        <v>-1589.8640013794015</v>
      </c>
      <c r="AG48" s="441">
        <f t="shared" si="9"/>
        <v>-10636.794062578871</v>
      </c>
      <c r="AI48" s="285"/>
      <c r="AJ48" s="980" t="str">
        <f>IF(ISNA(VLOOKUP(A48,'ATC Att GG ER21-2601'!$D$74:$D$126,1,FALSE)),"No","Yes")</f>
        <v>Yes</v>
      </c>
      <c r="AK48" s="421"/>
      <c r="AL48" s="421"/>
      <c r="AM48" s="977"/>
      <c r="AN48" s="977"/>
      <c r="AO48" s="977"/>
    </row>
    <row r="49" spans="1:41">
      <c r="A49" s="436">
        <v>352</v>
      </c>
      <c r="B49" s="346" t="s">
        <v>865</v>
      </c>
      <c r="C49" s="978">
        <v>88185651.480000004</v>
      </c>
      <c r="D49" s="444">
        <f t="shared" si="10"/>
        <v>2.6778514384506489E-2</v>
      </c>
      <c r="E49" s="451">
        <f t="shared" si="0"/>
        <v>2361480.7366642561</v>
      </c>
      <c r="F49" s="440">
        <v>54748227.329999998</v>
      </c>
      <c r="G49" s="444">
        <f t="shared" si="11"/>
        <v>7.9997587171902834E-2</v>
      </c>
      <c r="H49" s="439">
        <f t="shared" si="1"/>
        <v>4379726.0883388277</v>
      </c>
      <c r="I49" s="440">
        <v>2065047.37</v>
      </c>
      <c r="J49" s="456">
        <v>0</v>
      </c>
      <c r="K49" s="439">
        <f t="shared" si="2"/>
        <v>8806254.1950030848</v>
      </c>
      <c r="L49" s="440">
        <v>-280355.78846246336</v>
      </c>
      <c r="M49" s="441">
        <f t="shared" si="3"/>
        <v>8525898.4065406211</v>
      </c>
      <c r="N49" s="442">
        <f t="shared" si="12"/>
        <v>9.0017672194789719E-2</v>
      </c>
      <c r="O49" s="443"/>
      <c r="P49" s="441">
        <f t="shared" si="13"/>
        <v>8509496.0032442361</v>
      </c>
      <c r="Q49" s="442">
        <f t="shared" si="14"/>
        <v>9.0017672194789705E-2</v>
      </c>
      <c r="R49" s="443"/>
      <c r="S49" s="458">
        <v>88185651.480000004</v>
      </c>
      <c r="T49" s="444">
        <f t="shared" si="15"/>
        <v>2.5506445626609038E-2</v>
      </c>
      <c r="U49" s="445">
        <f t="shared" si="4"/>
        <v>2249302.524521715</v>
      </c>
      <c r="V49" s="458">
        <v>54749900.520769119</v>
      </c>
      <c r="W49" s="444">
        <f t="shared" si="16"/>
        <v>8.0050160797355885E-2</v>
      </c>
      <c r="X49" s="439">
        <f t="shared" si="5"/>
        <v>4382738.3403268065</v>
      </c>
      <c r="Y49" s="458">
        <v>2065047.12</v>
      </c>
      <c r="Z49" s="458">
        <v>0</v>
      </c>
      <c r="AA49" s="439">
        <f t="shared" si="6"/>
        <v>8697087.9848485216</v>
      </c>
      <c r="AB49" s="446">
        <f t="shared" si="17"/>
        <v>-280355.78846246336</v>
      </c>
      <c r="AC49" s="441">
        <f t="shared" si="7"/>
        <v>8416732.1963860579</v>
      </c>
      <c r="AD49" s="443"/>
      <c r="AE49" s="441">
        <f t="shared" si="18"/>
        <v>-92763.806858178228</v>
      </c>
      <c r="AF49" s="441">
        <f t="shared" si="8"/>
        <v>-16301.865512064722</v>
      </c>
      <c r="AG49" s="441">
        <f t="shared" si="9"/>
        <v>-109065.67237024294</v>
      </c>
      <c r="AI49" s="285"/>
      <c r="AJ49" s="980" t="str">
        <f>IF(ISNA(VLOOKUP(A49,'ATC Att GG ER21-2601'!$D$74:$D$126,1,FALSE)),"No","Yes")</f>
        <v>Yes</v>
      </c>
      <c r="AK49" s="421"/>
      <c r="AL49" s="421"/>
      <c r="AM49" s="977"/>
      <c r="AN49" s="977"/>
      <c r="AO49" s="977"/>
    </row>
    <row r="50" spans="1:41">
      <c r="A50" s="436">
        <v>356</v>
      </c>
      <c r="B50" s="346" t="s">
        <v>871</v>
      </c>
      <c r="C50" s="978">
        <v>140957801.28999999</v>
      </c>
      <c r="D50" s="444">
        <f t="shared" si="10"/>
        <v>2.6778514384506489E-2</v>
      </c>
      <c r="E50" s="451">
        <f t="shared" si="0"/>
        <v>3774640.5094526722</v>
      </c>
      <c r="F50" s="440">
        <v>103497733.39</v>
      </c>
      <c r="G50" s="444">
        <f t="shared" si="11"/>
        <v>7.9997587171902834E-2</v>
      </c>
      <c r="H50" s="439">
        <f t="shared" si="1"/>
        <v>8279568.9489608835</v>
      </c>
      <c r="I50" s="440">
        <v>3115167.41</v>
      </c>
      <c r="J50" s="456">
        <v>0</v>
      </c>
      <c r="K50" s="439">
        <f t="shared" si="2"/>
        <v>15169376.868413556</v>
      </c>
      <c r="L50" s="440">
        <v>-458122.48581591179</v>
      </c>
      <c r="M50" s="441">
        <f t="shared" si="3"/>
        <v>14711254.382597644</v>
      </c>
      <c r="N50" s="442">
        <f t="shared" si="12"/>
        <v>0.15532355787525287</v>
      </c>
      <c r="O50" s="443"/>
      <c r="P50" s="441">
        <f t="shared" si="13"/>
        <v>14682952.388382703</v>
      </c>
      <c r="Q50" s="442">
        <f t="shared" si="14"/>
        <v>0.15532355787525284</v>
      </c>
      <c r="R50" s="443"/>
      <c r="S50" s="458">
        <v>140834725.01000005</v>
      </c>
      <c r="T50" s="444">
        <f t="shared" si="15"/>
        <v>2.5506445626609038E-2</v>
      </c>
      <c r="U50" s="445">
        <f t="shared" si="4"/>
        <v>3592193.2558060023</v>
      </c>
      <c r="V50" s="458">
        <v>103486604.56000012</v>
      </c>
      <c r="W50" s="444">
        <f t="shared" si="16"/>
        <v>8.0050160797355885E-2</v>
      </c>
      <c r="X50" s="439">
        <f t="shared" si="5"/>
        <v>8284119.3354003923</v>
      </c>
      <c r="Y50" s="458">
        <v>3114511.9</v>
      </c>
      <c r="Z50" s="458">
        <v>0</v>
      </c>
      <c r="AA50" s="439">
        <f t="shared" si="6"/>
        <v>14990824.491206395</v>
      </c>
      <c r="AB50" s="446">
        <f t="shared" si="17"/>
        <v>-458122.48581591179</v>
      </c>
      <c r="AC50" s="441">
        <f t="shared" si="7"/>
        <v>14532702.005390482</v>
      </c>
      <c r="AD50" s="443"/>
      <c r="AE50" s="441">
        <f t="shared" si="18"/>
        <v>-150250.38299222104</v>
      </c>
      <c r="AF50" s="441">
        <f t="shared" si="8"/>
        <v>-26404.280070352284</v>
      </c>
      <c r="AG50" s="441">
        <f t="shared" si="9"/>
        <v>-176654.66306257332</v>
      </c>
      <c r="AI50" s="285"/>
      <c r="AJ50" s="980" t="str">
        <f>IF(ISNA(VLOOKUP(A50,'ATC Att GG ER21-2601'!$D$74:$D$126,1,FALSE)),"No","Yes")</f>
        <v>Yes</v>
      </c>
      <c r="AK50" s="421"/>
      <c r="AL50" s="421"/>
      <c r="AM50" s="977"/>
      <c r="AN50" s="977"/>
      <c r="AO50" s="977"/>
    </row>
    <row r="51" spans="1:41">
      <c r="A51" s="436">
        <v>1616</v>
      </c>
      <c r="B51" s="346" t="s">
        <v>872</v>
      </c>
      <c r="C51" s="978">
        <v>1250002.32</v>
      </c>
      <c r="D51" s="444">
        <f t="shared" si="10"/>
        <v>2.6778514384506489E-2</v>
      </c>
      <c r="E51" s="451">
        <f t="shared" si="0"/>
        <v>33473.205106786481</v>
      </c>
      <c r="F51" s="440">
        <v>1071998.8700000001</v>
      </c>
      <c r="G51" s="444">
        <f t="shared" si="11"/>
        <v>7.9997587171902834E-2</v>
      </c>
      <c r="H51" s="439">
        <f t="shared" si="1"/>
        <v>85757.323051006344</v>
      </c>
      <c r="I51" s="440">
        <v>32375.06</v>
      </c>
      <c r="J51" s="456">
        <v>0</v>
      </c>
      <c r="K51" s="439">
        <f t="shared" si="2"/>
        <v>151605.58815779284</v>
      </c>
      <c r="L51" s="440">
        <v>-4304.5085988394212</v>
      </c>
      <c r="M51" s="441">
        <f t="shared" si="3"/>
        <v>147301.07955895341</v>
      </c>
      <c r="N51" s="442">
        <f t="shared" si="12"/>
        <v>1.5552261663714364E-3</v>
      </c>
      <c r="O51" s="443"/>
      <c r="P51" s="441">
        <f t="shared" si="13"/>
        <v>147017.69690557045</v>
      </c>
      <c r="Q51" s="442">
        <f t="shared" si="14"/>
        <v>1.555226166371436E-3</v>
      </c>
      <c r="R51" s="443"/>
      <c r="S51" s="458">
        <v>1250002.32</v>
      </c>
      <c r="T51" s="444">
        <f t="shared" si="15"/>
        <v>2.5506445626609038E-2</v>
      </c>
      <c r="U51" s="445">
        <f t="shared" si="4"/>
        <v>31883.116208215153</v>
      </c>
      <c r="V51" s="458">
        <v>926325.39000000176</v>
      </c>
      <c r="W51" s="444">
        <f t="shared" si="16"/>
        <v>8.0050160797355885E-2</v>
      </c>
      <c r="X51" s="439">
        <f t="shared" si="5"/>
        <v>74152.496420173542</v>
      </c>
      <c r="Y51" s="458">
        <v>32420.16</v>
      </c>
      <c r="Z51" s="458">
        <v>0</v>
      </c>
      <c r="AA51" s="439">
        <f t="shared" si="6"/>
        <v>138455.77262838869</v>
      </c>
      <c r="AB51" s="446">
        <f t="shared" si="17"/>
        <v>-4304.5085988394212</v>
      </c>
      <c r="AC51" s="441">
        <f t="shared" si="7"/>
        <v>134151.26402954926</v>
      </c>
      <c r="AD51" s="443"/>
      <c r="AE51" s="441">
        <f t="shared" si="18"/>
        <v>-12866.432876021194</v>
      </c>
      <c r="AF51" s="441">
        <f t="shared" si="8"/>
        <v>-2261.0850661355103</v>
      </c>
      <c r="AG51" s="441">
        <f t="shared" si="9"/>
        <v>-15127.517942156705</v>
      </c>
      <c r="AI51" s="285"/>
      <c r="AJ51" s="980" t="str">
        <f>IF(ISNA(VLOOKUP(A51,'ATC Att GG ER21-2601'!$D$74:$D$126,1,FALSE)),"No","Yes")</f>
        <v>Yes</v>
      </c>
      <c r="AK51" s="421"/>
      <c r="AL51" s="421"/>
      <c r="AM51" s="977"/>
      <c r="AN51" s="977"/>
      <c r="AO51" s="977"/>
    </row>
    <row r="52" spans="1:41">
      <c r="A52" s="436">
        <v>2452</v>
      </c>
      <c r="B52" s="346" t="s">
        <v>873</v>
      </c>
      <c r="C52" s="978">
        <v>1964606.76</v>
      </c>
      <c r="D52" s="444">
        <f t="shared" si="10"/>
        <v>2.6778514384506489E-2</v>
      </c>
      <c r="E52" s="451">
        <f t="shared" si="0"/>
        <v>52609.25038255869</v>
      </c>
      <c r="F52" s="440">
        <v>1733554.56</v>
      </c>
      <c r="G52" s="444">
        <f t="shared" si="11"/>
        <v>7.9997587171902834E-2</v>
      </c>
      <c r="H52" s="439">
        <f t="shared" si="1"/>
        <v>138680.18203084965</v>
      </c>
      <c r="I52" s="440">
        <v>53633.760000000002</v>
      </c>
      <c r="J52" s="456">
        <v>0</v>
      </c>
      <c r="K52" s="439">
        <f t="shared" si="2"/>
        <v>244923.19241340837</v>
      </c>
      <c r="L52" s="440">
        <v>-7276.8841318146378</v>
      </c>
      <c r="M52" s="441">
        <f t="shared" si="3"/>
        <v>237646.30828159372</v>
      </c>
      <c r="N52" s="442">
        <f t="shared" si="12"/>
        <v>2.50910419725191E-3</v>
      </c>
      <c r="O52" s="443"/>
      <c r="P52" s="441">
        <f t="shared" si="13"/>
        <v>237189.11651077206</v>
      </c>
      <c r="Q52" s="442">
        <f t="shared" si="14"/>
        <v>2.5091041972519095E-3</v>
      </c>
      <c r="R52" s="443"/>
      <c r="S52" s="458">
        <v>1964606.7600000005</v>
      </c>
      <c r="T52" s="444">
        <f t="shared" si="15"/>
        <v>2.5506445626609038E-2</v>
      </c>
      <c r="U52" s="445">
        <f t="shared" si="4"/>
        <v>50110.135501608565</v>
      </c>
      <c r="V52" s="458">
        <v>1556229.2550000006</v>
      </c>
      <c r="W52" s="444">
        <f t="shared" si="16"/>
        <v>8.0050160797355885E-2</v>
      </c>
      <c r="X52" s="439">
        <f t="shared" si="5"/>
        <v>124576.4021002994</v>
      </c>
      <c r="Y52" s="458">
        <v>53540.640000000007</v>
      </c>
      <c r="Z52" s="458">
        <v>0</v>
      </c>
      <c r="AA52" s="439">
        <f t="shared" si="6"/>
        <v>228227.17760190798</v>
      </c>
      <c r="AB52" s="446">
        <f t="shared" si="17"/>
        <v>-7276.8841318146378</v>
      </c>
      <c r="AC52" s="441">
        <f t="shared" si="7"/>
        <v>220950.29347009334</v>
      </c>
      <c r="AD52" s="443"/>
      <c r="AE52" s="441">
        <f t="shared" si="18"/>
        <v>-16238.823040678719</v>
      </c>
      <c r="AF52" s="441">
        <f t="shared" si="8"/>
        <v>-2853.7327029720095</v>
      </c>
      <c r="AG52" s="441">
        <f t="shared" si="9"/>
        <v>-19092.55574365073</v>
      </c>
      <c r="AI52" s="285"/>
      <c r="AJ52" s="980" t="str">
        <f>IF(ISNA(VLOOKUP(A52,'ATC Att GG ER21-2601'!$D$74:$D$126,1,FALSE)),"No","Yes")</f>
        <v>Yes</v>
      </c>
      <c r="AK52" s="421"/>
      <c r="AL52" s="421"/>
      <c r="AM52" s="421"/>
      <c r="AN52" s="977"/>
      <c r="AO52" s="977"/>
    </row>
    <row r="53" spans="1:41">
      <c r="A53" s="436">
        <v>2837</v>
      </c>
      <c r="B53" s="346" t="s">
        <v>874</v>
      </c>
      <c r="C53" s="978">
        <v>520817.72</v>
      </c>
      <c r="D53" s="444">
        <f t="shared" si="10"/>
        <v>2.6778514384506489E-2</v>
      </c>
      <c r="E53" s="451">
        <f t="shared" si="0"/>
        <v>13946.724806725872</v>
      </c>
      <c r="F53" s="440">
        <v>465142.52</v>
      </c>
      <c r="G53" s="444">
        <f t="shared" si="11"/>
        <v>7.9997587171902834E-2</v>
      </c>
      <c r="H53" s="439">
        <f t="shared" si="1"/>
        <v>37210.279291058556</v>
      </c>
      <c r="I53" s="440">
        <v>14634.98</v>
      </c>
      <c r="J53" s="456">
        <v>0</v>
      </c>
      <c r="K53" s="439">
        <f t="shared" si="2"/>
        <v>65791.984097784429</v>
      </c>
      <c r="L53" s="440">
        <v>-1935.8433527667908</v>
      </c>
      <c r="M53" s="441">
        <f t="shared" si="3"/>
        <v>63856.140745017641</v>
      </c>
      <c r="N53" s="442">
        <f t="shared" si="12"/>
        <v>6.7420239734497078E-4</v>
      </c>
      <c r="O53" s="443"/>
      <c r="P53" s="441">
        <f t="shared" si="13"/>
        <v>63733.292204780868</v>
      </c>
      <c r="Q53" s="442">
        <f t="shared" si="14"/>
        <v>6.7420239734497067E-4</v>
      </c>
      <c r="R53" s="443"/>
      <c r="S53" s="458">
        <v>492172.46115384618</v>
      </c>
      <c r="T53" s="444">
        <f t="shared" si="15"/>
        <v>2.5506445626609038E-2</v>
      </c>
      <c r="U53" s="445">
        <f t="shared" si="4"/>
        <v>12553.570119334927</v>
      </c>
      <c r="V53" s="458">
        <v>428292.89807692298</v>
      </c>
      <c r="W53" s="444">
        <f t="shared" si="16"/>
        <v>8.0050160797355885E-2</v>
      </c>
      <c r="X53" s="439">
        <f t="shared" si="5"/>
        <v>34284.915359423241</v>
      </c>
      <c r="Y53" s="458">
        <v>14239.13</v>
      </c>
      <c r="Z53" s="458">
        <v>0</v>
      </c>
      <c r="AA53" s="439">
        <f t="shared" si="6"/>
        <v>61077.615478758169</v>
      </c>
      <c r="AB53" s="446">
        <f t="shared" si="17"/>
        <v>-1935.8433527667908</v>
      </c>
      <c r="AC53" s="441">
        <f t="shared" si="7"/>
        <v>59141.772125991381</v>
      </c>
      <c r="AD53" s="443"/>
      <c r="AE53" s="441">
        <f t="shared" si="18"/>
        <v>-4591.5200787894864</v>
      </c>
      <c r="AF53" s="441">
        <f t="shared" si="8"/>
        <v>-806.89166772560156</v>
      </c>
      <c r="AG53" s="441">
        <f t="shared" si="9"/>
        <v>-5398.4117465150885</v>
      </c>
      <c r="AI53" s="285"/>
      <c r="AJ53" s="980" t="str">
        <f>IF(ISNA(VLOOKUP(A53,'ATC Att GG ER21-2601'!$D$74:$D$126,1,FALSE)),"No","Yes")</f>
        <v>Yes</v>
      </c>
      <c r="AK53" s="421"/>
      <c r="AL53" s="421"/>
      <c r="AM53" s="977"/>
      <c r="AN53" s="977"/>
      <c r="AO53" s="977"/>
    </row>
    <row r="54" spans="1:41">
      <c r="A54" s="436">
        <v>2793</v>
      </c>
      <c r="B54" s="346" t="s">
        <v>875</v>
      </c>
      <c r="C54" s="978">
        <v>8871.1299999999992</v>
      </c>
      <c r="D54" s="444">
        <f t="shared" si="10"/>
        <v>2.6778514384506489E-2</v>
      </c>
      <c r="E54" s="451">
        <f t="shared" si="0"/>
        <v>237.55568231182704</v>
      </c>
      <c r="F54" s="440">
        <v>187595.15</v>
      </c>
      <c r="G54" s="444">
        <f t="shared" si="11"/>
        <v>7.9997587171902834E-2</v>
      </c>
      <c r="H54" s="439">
        <f t="shared" si="1"/>
        <v>15007.159365151187</v>
      </c>
      <c r="I54" s="440">
        <v>449.77</v>
      </c>
      <c r="J54" s="456">
        <v>0</v>
      </c>
      <c r="K54" s="439">
        <f t="shared" si="2"/>
        <v>15694.485047463015</v>
      </c>
      <c r="L54" s="440">
        <v>-496.67885388711142</v>
      </c>
      <c r="M54" s="441">
        <f t="shared" si="3"/>
        <v>15197.806193575903</v>
      </c>
      <c r="N54" s="442">
        <f t="shared" si="12"/>
        <v>1.6046064247771805E-4</v>
      </c>
      <c r="O54" s="443"/>
      <c r="P54" s="441">
        <f t="shared" si="13"/>
        <v>15168.568155011415</v>
      </c>
      <c r="Q54" s="442">
        <f t="shared" si="14"/>
        <v>1.6046064247771802E-4</v>
      </c>
      <c r="R54" s="443"/>
      <c r="S54" s="458">
        <v>8871.130000000001</v>
      </c>
      <c r="T54" s="444">
        <f t="shared" si="15"/>
        <v>2.5506445626609038E-2</v>
      </c>
      <c r="U54" s="445">
        <f t="shared" si="4"/>
        <v>226.27099499158027</v>
      </c>
      <c r="V54" s="458">
        <v>366771.63266266725</v>
      </c>
      <c r="W54" s="444">
        <f t="shared" si="16"/>
        <v>8.0050160797355885E-2</v>
      </c>
      <c r="X54" s="439">
        <f t="shared" si="5"/>
        <v>29360.128170555261</v>
      </c>
      <c r="Y54" s="458">
        <v>447.06</v>
      </c>
      <c r="Z54" s="458">
        <v>0</v>
      </c>
      <c r="AA54" s="439">
        <f t="shared" si="6"/>
        <v>30033.459165546843</v>
      </c>
      <c r="AB54" s="446">
        <f t="shared" si="17"/>
        <v>-496.67885388711142</v>
      </c>
      <c r="AC54" s="441">
        <f t="shared" si="7"/>
        <v>29536.780311659732</v>
      </c>
      <c r="AD54" s="443"/>
      <c r="AE54" s="441">
        <f t="shared" si="18"/>
        <v>14368.212156648317</v>
      </c>
      <c r="AF54" s="441">
        <f t="shared" si="8"/>
        <v>2525.0005380287412</v>
      </c>
      <c r="AG54" s="441">
        <f t="shared" si="9"/>
        <v>16893.212694677059</v>
      </c>
      <c r="AI54" s="285"/>
      <c r="AJ54" s="980" t="str">
        <f>IF(ISNA(VLOOKUP(A54,'ATC Att GG ER21-2601'!$D$74:$D$126,1,FALSE)),"No","Yes")</f>
        <v>Yes</v>
      </c>
      <c r="AK54" s="421"/>
      <c r="AL54" s="421"/>
      <c r="AM54" s="977"/>
      <c r="AN54" s="977"/>
      <c r="AO54" s="977"/>
    </row>
    <row r="55" spans="1:41">
      <c r="A55" s="436">
        <v>1950</v>
      </c>
      <c r="B55" s="346" t="s">
        <v>876</v>
      </c>
      <c r="C55" s="978">
        <v>14491294.220000001</v>
      </c>
      <c r="D55" s="444">
        <f t="shared" si="10"/>
        <v>2.6778514384506489E-2</v>
      </c>
      <c r="E55" s="451">
        <f t="shared" si="0"/>
        <v>388055.33072038577</v>
      </c>
      <c r="F55" s="440">
        <v>9755224.8100000005</v>
      </c>
      <c r="G55" s="444">
        <f t="shared" si="11"/>
        <v>7.9997587171902834E-2</v>
      </c>
      <c r="H55" s="439">
        <f t="shared" si="1"/>
        <v>780394.44711948431</v>
      </c>
      <c r="I55" s="440">
        <v>408654.5</v>
      </c>
      <c r="J55" s="456">
        <v>0</v>
      </c>
      <c r="K55" s="439">
        <f t="shared" si="2"/>
        <v>1577104.2778398702</v>
      </c>
      <c r="L55" s="440">
        <v>-52402.134209280906</v>
      </c>
      <c r="M55" s="441">
        <f t="shared" si="3"/>
        <v>1524702.1436305894</v>
      </c>
      <c r="N55" s="442">
        <f t="shared" si="12"/>
        <v>1.6098026414992288E-2</v>
      </c>
      <c r="O55" s="443"/>
      <c r="P55" s="441">
        <f t="shared" si="13"/>
        <v>1521768.8715841493</v>
      </c>
      <c r="Q55" s="442">
        <f t="shared" si="14"/>
        <v>1.6098026414992285E-2</v>
      </c>
      <c r="R55" s="443"/>
      <c r="S55" s="458">
        <v>14493538.029230766</v>
      </c>
      <c r="T55" s="444">
        <f t="shared" si="15"/>
        <v>2.5506445626609038E-2</v>
      </c>
      <c r="U55" s="445">
        <f t="shared" si="4"/>
        <v>369678.63967976486</v>
      </c>
      <c r="V55" s="458">
        <v>9777756.511538459</v>
      </c>
      <c r="W55" s="444">
        <f t="shared" si="16"/>
        <v>8.0050160797355885E-2</v>
      </c>
      <c r="X55" s="439">
        <f t="shared" si="5"/>
        <v>782710.98098604719</v>
      </c>
      <c r="Y55" s="458">
        <v>408829.72000000009</v>
      </c>
      <c r="Z55" s="458">
        <v>0</v>
      </c>
      <c r="AA55" s="439">
        <f t="shared" si="6"/>
        <v>1561219.3406658121</v>
      </c>
      <c r="AB55" s="446">
        <f t="shared" si="17"/>
        <v>-52402.134209280906</v>
      </c>
      <c r="AC55" s="441">
        <f t="shared" si="7"/>
        <v>1508817.2064565313</v>
      </c>
      <c r="AD55" s="443"/>
      <c r="AE55" s="441">
        <f t="shared" si="18"/>
        <v>-12951.665127618005</v>
      </c>
      <c r="AF55" s="441">
        <f t="shared" si="8"/>
        <v>-2276.0633723292817</v>
      </c>
      <c r="AG55" s="441">
        <f t="shared" si="9"/>
        <v>-15227.728499947287</v>
      </c>
      <c r="AI55" s="285"/>
      <c r="AJ55" s="980" t="str">
        <f>IF(ISNA(VLOOKUP(A55,'ATC Att GG ER21-2601'!$D$74:$D$126,1,FALSE)),"No","Yes")</f>
        <v>Yes</v>
      </c>
      <c r="AK55" s="421"/>
      <c r="AL55" s="421"/>
      <c r="AM55" s="421"/>
      <c r="AN55" s="977"/>
      <c r="AO55" s="977"/>
    </row>
    <row r="56" spans="1:41">
      <c r="A56" s="436">
        <v>2846</v>
      </c>
      <c r="B56" s="346" t="s">
        <v>878</v>
      </c>
      <c r="C56" s="978">
        <v>120346501.62</v>
      </c>
      <c r="D56" s="444">
        <f t="shared" si="10"/>
        <v>2.6778514384506489E-2</v>
      </c>
      <c r="E56" s="451">
        <f t="shared" si="0"/>
        <v>3222700.5247562034</v>
      </c>
      <c r="F56" s="440">
        <v>80071397.689999998</v>
      </c>
      <c r="G56" s="444">
        <f t="shared" si="11"/>
        <v>7.9997587171902834E-2</v>
      </c>
      <c r="H56" s="439">
        <f t="shared" si="1"/>
        <v>6405518.6166818738</v>
      </c>
      <c r="I56" s="440">
        <v>4296370.1100000003</v>
      </c>
      <c r="J56" s="456">
        <v>0</v>
      </c>
      <c r="K56" s="439">
        <f t="shared" si="2"/>
        <v>13924589.251438078</v>
      </c>
      <c r="L56" s="440">
        <v>-516818.07013362163</v>
      </c>
      <c r="M56" s="441">
        <f t="shared" si="3"/>
        <v>13407771.181304457</v>
      </c>
      <c r="N56" s="442">
        <f t="shared" si="12"/>
        <v>0.14156119314482038</v>
      </c>
      <c r="O56" s="443"/>
      <c r="P56" s="441">
        <f t="shared" si="13"/>
        <v>13381976.870871119</v>
      </c>
      <c r="Q56" s="442">
        <f t="shared" si="14"/>
        <v>0.14156119314482035</v>
      </c>
      <c r="R56" s="443"/>
      <c r="S56" s="458">
        <v>120237113.0407692</v>
      </c>
      <c r="T56" s="444">
        <f t="shared" si="15"/>
        <v>2.5506445626609038E-2</v>
      </c>
      <c r="U56" s="445">
        <f t="shared" si="4"/>
        <v>3066821.3860748243</v>
      </c>
      <c r="V56" s="458">
        <v>80093228.76692307</v>
      </c>
      <c r="W56" s="444">
        <f t="shared" si="16"/>
        <v>8.0050160797355885E-2</v>
      </c>
      <c r="X56" s="439">
        <f t="shared" si="5"/>
        <v>6411475.841571602</v>
      </c>
      <c r="Y56" s="458">
        <v>4291411.34</v>
      </c>
      <c r="Z56" s="458">
        <v>0</v>
      </c>
      <c r="AA56" s="439">
        <f t="shared" si="6"/>
        <v>13769708.567646425</v>
      </c>
      <c r="AB56" s="446">
        <f t="shared" si="17"/>
        <v>-516818.07013362163</v>
      </c>
      <c r="AC56" s="441">
        <f t="shared" si="7"/>
        <v>13252890.497512804</v>
      </c>
      <c r="AD56" s="443"/>
      <c r="AE56" s="441">
        <f t="shared" si="18"/>
        <v>-129086.37335831486</v>
      </c>
      <c r="AF56" s="441">
        <f t="shared" si="8"/>
        <v>-22685.018750304767</v>
      </c>
      <c r="AG56" s="441">
        <f t="shared" si="9"/>
        <v>-151771.39210861962</v>
      </c>
      <c r="AI56" s="285"/>
      <c r="AJ56" s="980" t="str">
        <f>IF(ISNA(VLOOKUP(A56,'ATC Att GG ER21-2601'!$D$74:$D$126,1,FALSE)),"No","Yes")</f>
        <v>Yes</v>
      </c>
      <c r="AK56" s="421"/>
      <c r="AL56" s="421"/>
      <c r="AM56" s="977"/>
      <c r="AN56" s="977"/>
      <c r="AO56" s="977"/>
    </row>
    <row r="57" spans="1:41">
      <c r="A57" s="436">
        <v>3206</v>
      </c>
      <c r="B57" s="346" t="s">
        <v>877</v>
      </c>
      <c r="C57" s="978">
        <v>26028567.75</v>
      </c>
      <c r="D57" s="444">
        <f t="shared" si="10"/>
        <v>2.6778514384506489E-2</v>
      </c>
      <c r="E57" s="451">
        <f t="shared" si="0"/>
        <v>697006.37590147671</v>
      </c>
      <c r="F57" s="440">
        <v>21750866.190000001</v>
      </c>
      <c r="G57" s="444">
        <f t="shared" si="11"/>
        <v>7.9997587171902834E-2</v>
      </c>
      <c r="H57" s="439">
        <f t="shared" si="1"/>
        <v>1740016.8140989193</v>
      </c>
      <c r="I57" s="440">
        <v>684551.33</v>
      </c>
      <c r="J57" s="456">
        <v>0</v>
      </c>
      <c r="K57" s="439">
        <f t="shared" si="2"/>
        <v>3121574.5200003963</v>
      </c>
      <c r="L57" s="440">
        <v>-89442.48629560876</v>
      </c>
      <c r="M57" s="441">
        <f t="shared" si="3"/>
        <v>3032132.0337047875</v>
      </c>
      <c r="N57" s="442">
        <f t="shared" si="12"/>
        <v>3.2013689871318342E-2</v>
      </c>
      <c r="O57" s="443"/>
      <c r="P57" s="441">
        <f t="shared" si="13"/>
        <v>3026298.7185404217</v>
      </c>
      <c r="Q57" s="442">
        <f t="shared" si="14"/>
        <v>3.2013689871318335E-2</v>
      </c>
      <c r="R57" s="443"/>
      <c r="S57" s="458">
        <v>25996758.602307696</v>
      </c>
      <c r="T57" s="444">
        <f t="shared" si="15"/>
        <v>2.5506445626609038E-2</v>
      </c>
      <c r="U57" s="445">
        <f t="shared" si="4"/>
        <v>663084.90975784208</v>
      </c>
      <c r="V57" s="458">
        <v>21748519.950000003</v>
      </c>
      <c r="W57" s="444">
        <f t="shared" si="16"/>
        <v>8.0050160797355885E-2</v>
      </c>
      <c r="X57" s="439">
        <f t="shared" si="5"/>
        <v>1740972.5191020025</v>
      </c>
      <c r="Y57" s="458">
        <v>681627.78999999992</v>
      </c>
      <c r="Z57" s="458">
        <v>0</v>
      </c>
      <c r="AA57" s="439">
        <f t="shared" si="6"/>
        <v>3085685.2188598448</v>
      </c>
      <c r="AB57" s="446">
        <f t="shared" si="17"/>
        <v>-89442.48629560876</v>
      </c>
      <c r="AC57" s="441">
        <f t="shared" si="7"/>
        <v>2996242.732564236</v>
      </c>
      <c r="AD57" s="443"/>
      <c r="AE57" s="441">
        <f t="shared" si="18"/>
        <v>-30055.98597618565</v>
      </c>
      <c r="AF57" s="441">
        <f t="shared" si="8"/>
        <v>-5281.8944997090239</v>
      </c>
      <c r="AG57" s="441">
        <f t="shared" si="9"/>
        <v>-35337.880475894672</v>
      </c>
      <c r="AI57" s="285"/>
      <c r="AJ57" s="980" t="str">
        <f>IF(ISNA(VLOOKUP(A57,'ATC Att GG ER21-2601'!$D$74:$D$126,1,FALSE)),"No","Yes")</f>
        <v>Yes</v>
      </c>
      <c r="AK57" s="421"/>
      <c r="AL57" s="421"/>
      <c r="AM57" s="421"/>
      <c r="AN57" s="977"/>
      <c r="AO57" s="977"/>
    </row>
    <row r="58" spans="1:41">
      <c r="A58" s="436">
        <v>1270</v>
      </c>
      <c r="B58" s="346" t="s">
        <v>879</v>
      </c>
      <c r="C58" s="978">
        <v>0</v>
      </c>
      <c r="D58" s="444">
        <f t="shared" si="10"/>
        <v>2.6778514384506489E-2</v>
      </c>
      <c r="E58" s="451">
        <f t="shared" si="0"/>
        <v>0</v>
      </c>
      <c r="F58" s="440">
        <v>0</v>
      </c>
      <c r="G58" s="444">
        <f t="shared" si="11"/>
        <v>7.9997587171902834E-2</v>
      </c>
      <c r="H58" s="439">
        <f t="shared" si="1"/>
        <v>0</v>
      </c>
      <c r="I58" s="440">
        <v>0</v>
      </c>
      <c r="J58" s="456">
        <v>0</v>
      </c>
      <c r="K58" s="439">
        <f t="shared" si="2"/>
        <v>0</v>
      </c>
      <c r="L58" s="440">
        <v>0.10949890439723151</v>
      </c>
      <c r="M58" s="441">
        <f t="shared" si="3"/>
        <v>0.10949890439723151</v>
      </c>
      <c r="N58" s="442">
        <f t="shared" si="12"/>
        <v>1.1561053172011712E-9</v>
      </c>
      <c r="O58" s="443"/>
      <c r="P58" s="441">
        <f t="shared" si="13"/>
        <v>0.10928824680963255</v>
      </c>
      <c r="Q58" s="442">
        <f t="shared" si="14"/>
        <v>1.156105317201171E-9</v>
      </c>
      <c r="R58" s="443"/>
      <c r="S58" s="458">
        <v>0</v>
      </c>
      <c r="T58" s="444">
        <f t="shared" si="15"/>
        <v>2.5506445626609038E-2</v>
      </c>
      <c r="U58" s="445">
        <f t="shared" si="4"/>
        <v>0</v>
      </c>
      <c r="V58" s="458">
        <v>0</v>
      </c>
      <c r="W58" s="444">
        <f t="shared" si="16"/>
        <v>8.0050160797355885E-2</v>
      </c>
      <c r="X58" s="439">
        <f t="shared" si="5"/>
        <v>0</v>
      </c>
      <c r="Y58" s="458">
        <v>0</v>
      </c>
      <c r="Z58" s="458">
        <v>0</v>
      </c>
      <c r="AA58" s="439">
        <f t="shared" si="6"/>
        <v>0</v>
      </c>
      <c r="AB58" s="446">
        <f t="shared" si="17"/>
        <v>0.10949890439723151</v>
      </c>
      <c r="AC58" s="441">
        <f t="shared" si="7"/>
        <v>0.10949890439723151</v>
      </c>
      <c r="AD58" s="443"/>
      <c r="AE58" s="441">
        <f t="shared" si="18"/>
        <v>2.1065758759895858E-4</v>
      </c>
      <c r="AF58" s="441">
        <f t="shared" si="8"/>
        <v>3.7019951837298473E-5</v>
      </c>
      <c r="AG58" s="441">
        <f t="shared" si="9"/>
        <v>2.4767753943625708E-4</v>
      </c>
      <c r="AI58" s="285"/>
      <c r="AJ58" s="980" t="str">
        <f>IF(ISNA(VLOOKUP(A58,'ATC Att GG ER21-2601'!$D$74:$D$126,1,FALSE)),"No","Yes")</f>
        <v>No</v>
      </c>
      <c r="AK58" s="421"/>
      <c r="AL58" s="421"/>
      <c r="AM58" s="977"/>
      <c r="AN58" s="977"/>
      <c r="AO58" s="977"/>
    </row>
    <row r="59" spans="1:41">
      <c r="A59" s="436">
        <v>3125</v>
      </c>
      <c r="B59" s="346" t="s">
        <v>880</v>
      </c>
      <c r="C59" s="978">
        <v>26454545.489999998</v>
      </c>
      <c r="D59" s="444">
        <f t="shared" si="10"/>
        <v>2.6778514384506489E-2</v>
      </c>
      <c r="E59" s="451">
        <f t="shared" si="0"/>
        <v>708413.42693954625</v>
      </c>
      <c r="F59" s="440">
        <v>19893668.350000001</v>
      </c>
      <c r="G59" s="444">
        <f t="shared" si="11"/>
        <v>7.9997587171902834E-2</v>
      </c>
      <c r="H59" s="439">
        <f t="shared" si="1"/>
        <v>1591445.4679980495</v>
      </c>
      <c r="I59" s="440">
        <v>756600</v>
      </c>
      <c r="J59" s="456">
        <v>0</v>
      </c>
      <c r="K59" s="439">
        <f t="shared" si="2"/>
        <v>3056458.8949375958</v>
      </c>
      <c r="L59" s="440">
        <v>-97851.75926692436</v>
      </c>
      <c r="M59" s="441">
        <f t="shared" si="3"/>
        <v>2958607.1356706712</v>
      </c>
      <c r="N59" s="442">
        <f t="shared" si="12"/>
        <v>3.1237403331906489E-2</v>
      </c>
      <c r="O59" s="443"/>
      <c r="P59" s="441">
        <f t="shared" si="13"/>
        <v>2952915.2701192815</v>
      </c>
      <c r="Q59" s="442">
        <f t="shared" si="14"/>
        <v>3.1237403331906482E-2</v>
      </c>
      <c r="R59" s="443"/>
      <c r="S59" s="458">
        <v>26371611.734615389</v>
      </c>
      <c r="T59" s="444">
        <f t="shared" si="15"/>
        <v>2.5506445626609038E-2</v>
      </c>
      <c r="U59" s="445">
        <f t="shared" si="4"/>
        <v>672646.0807950123</v>
      </c>
      <c r="V59" s="458">
        <v>19886423.097692315</v>
      </c>
      <c r="W59" s="444">
        <f t="shared" si="16"/>
        <v>8.0050160797355885E-2</v>
      </c>
      <c r="X59" s="439">
        <f t="shared" si="5"/>
        <v>1591911.3666545218</v>
      </c>
      <c r="Y59" s="458">
        <v>751225.04999999981</v>
      </c>
      <c r="Z59" s="458">
        <v>0</v>
      </c>
      <c r="AA59" s="439">
        <f t="shared" si="6"/>
        <v>3015782.497449534</v>
      </c>
      <c r="AB59" s="446">
        <f t="shared" si="17"/>
        <v>-97851.75926692436</v>
      </c>
      <c r="AC59" s="441">
        <f t="shared" si="7"/>
        <v>2917930.7381826094</v>
      </c>
      <c r="AD59" s="443"/>
      <c r="AE59" s="441">
        <f t="shared" si="18"/>
        <v>-34984.531936672051</v>
      </c>
      <c r="AF59" s="441">
        <f t="shared" si="8"/>
        <v>-6148.0134758385148</v>
      </c>
      <c r="AG59" s="441">
        <f t="shared" si="9"/>
        <v>-41132.545412510568</v>
      </c>
      <c r="AI59" s="285"/>
      <c r="AJ59" s="980" t="str">
        <f>IF(ISNA(VLOOKUP(A59,'ATC Att GG ER21-2601'!$D$74:$D$126,1,FALSE)),"No","Yes")</f>
        <v>Yes</v>
      </c>
      <c r="AK59" s="421"/>
      <c r="AL59" s="421"/>
      <c r="AM59" s="977"/>
      <c r="AN59" s="977"/>
      <c r="AO59" s="977"/>
    </row>
    <row r="60" spans="1:41">
      <c r="A60" s="436">
        <v>3679</v>
      </c>
      <c r="B60" s="346" t="s">
        <v>881</v>
      </c>
      <c r="C60" s="978">
        <v>227016479.65000001</v>
      </c>
      <c r="D60" s="444">
        <f t="shared" si="10"/>
        <v>2.6778514384506489E-2</v>
      </c>
      <c r="E60" s="451">
        <f t="shared" si="0"/>
        <v>6079164.0658275494</v>
      </c>
      <c r="F60" s="440">
        <v>189428360.08000001</v>
      </c>
      <c r="G60" s="444">
        <f t="shared" si="11"/>
        <v>7.9997587171902834E-2</v>
      </c>
      <c r="H60" s="439">
        <f t="shared" si="1"/>
        <v>15153811.748330399</v>
      </c>
      <c r="I60" s="440">
        <v>5638793.1100000003</v>
      </c>
      <c r="J60" s="456">
        <v>0</v>
      </c>
      <c r="K60" s="439">
        <f t="shared" si="2"/>
        <v>26871768.924157947</v>
      </c>
      <c r="L60" s="440">
        <v>-816465.78601798951</v>
      </c>
      <c r="M60" s="441">
        <f t="shared" si="3"/>
        <v>26055303.138139959</v>
      </c>
      <c r="N60" s="442">
        <f t="shared" si="12"/>
        <v>0.27509567027278464</v>
      </c>
      <c r="O60" s="443"/>
      <c r="P60" s="441">
        <f t="shared" si="13"/>
        <v>26005177.090455238</v>
      </c>
      <c r="Q60" s="442">
        <f t="shared" si="14"/>
        <v>0.27509567027278459</v>
      </c>
      <c r="R60" s="443"/>
      <c r="S60" s="458">
        <v>226880655.95615387</v>
      </c>
      <c r="T60" s="444">
        <f t="shared" si="15"/>
        <v>2.5506445626609038E-2</v>
      </c>
      <c r="U60" s="445">
        <f t="shared" si="4"/>
        <v>5786919.1148750307</v>
      </c>
      <c r="V60" s="458">
        <v>189546822.09076929</v>
      </c>
      <c r="W60" s="444">
        <f t="shared" si="16"/>
        <v>8.0050160797355885E-2</v>
      </c>
      <c r="X60" s="439">
        <f t="shared" si="5"/>
        <v>15173253.58699389</v>
      </c>
      <c r="Y60" s="458">
        <v>5513295.1299999999</v>
      </c>
      <c r="Z60" s="458">
        <v>0</v>
      </c>
      <c r="AA60" s="439">
        <f t="shared" si="6"/>
        <v>26473467.83186892</v>
      </c>
      <c r="AB60" s="446">
        <f t="shared" si="17"/>
        <v>-816465.78601798951</v>
      </c>
      <c r="AC60" s="441">
        <f t="shared" si="7"/>
        <v>25657002.045850933</v>
      </c>
      <c r="AD60" s="443"/>
      <c r="AE60" s="441">
        <f t="shared" si="18"/>
        <v>-348175.04460430518</v>
      </c>
      <c r="AF60" s="441">
        <f t="shared" si="8"/>
        <v>-61186.608700461285</v>
      </c>
      <c r="AG60" s="441">
        <f t="shared" si="9"/>
        <v>-409361.65330476646</v>
      </c>
      <c r="AI60" s="285"/>
      <c r="AJ60" s="980" t="str">
        <f>IF(ISNA(VLOOKUP(A60,'ATC Att GG ER21-2601'!$D$74:$D$126,1,FALSE)),"No","Yes")</f>
        <v>Yes</v>
      </c>
      <c r="AK60" s="421"/>
      <c r="AL60" s="421"/>
      <c r="AM60" s="977"/>
      <c r="AN60" s="977"/>
      <c r="AO60" s="977"/>
    </row>
    <row r="61" spans="1:41">
      <c r="A61" s="436">
        <v>12284</v>
      </c>
      <c r="B61" s="346" t="s">
        <v>882</v>
      </c>
      <c r="C61" s="978">
        <v>7453660.7699999996</v>
      </c>
      <c r="D61" s="444">
        <f t="shared" si="10"/>
        <v>2.6778514384506489E-2</v>
      </c>
      <c r="E61" s="451">
        <f t="shared" si="0"/>
        <v>199597.9621466767</v>
      </c>
      <c r="F61" s="440">
        <v>6797532.5</v>
      </c>
      <c r="G61" s="444">
        <f t="shared" si="11"/>
        <v>7.9997587171902834E-2</v>
      </c>
      <c r="H61" s="439">
        <f t="shared" si="1"/>
        <v>543786.19872259255</v>
      </c>
      <c r="I61" s="440">
        <v>193640.59</v>
      </c>
      <c r="J61" s="456">
        <v>0</v>
      </c>
      <c r="K61" s="439">
        <f t="shared" si="2"/>
        <v>937024.75086926925</v>
      </c>
      <c r="L61" s="440">
        <v>-25819.598112623436</v>
      </c>
      <c r="M61" s="441">
        <f t="shared" si="3"/>
        <v>911205.15275664581</v>
      </c>
      <c r="N61" s="442">
        <f t="shared" si="12"/>
        <v>9.6206361877507352E-3</v>
      </c>
      <c r="O61" s="443"/>
      <c r="P61" s="441">
        <f t="shared" si="13"/>
        <v>909452.14636499167</v>
      </c>
      <c r="Q61" s="442">
        <f t="shared" si="14"/>
        <v>9.6206361877507335E-3</v>
      </c>
      <c r="R61" s="443"/>
      <c r="S61" s="458">
        <v>7445003.0550000006</v>
      </c>
      <c r="T61" s="444">
        <f t="shared" si="15"/>
        <v>2.5506445626609038E-2</v>
      </c>
      <c r="U61" s="445">
        <f t="shared" si="4"/>
        <v>189895.5656122957</v>
      </c>
      <c r="V61" s="458">
        <v>6335763.6219230779</v>
      </c>
      <c r="W61" s="444">
        <f t="shared" si="16"/>
        <v>8.0050160797355885E-2</v>
      </c>
      <c r="X61" s="439">
        <f t="shared" si="5"/>
        <v>507178.89670898032</v>
      </c>
      <c r="Y61" s="458">
        <v>193252.86</v>
      </c>
      <c r="Z61" s="458">
        <v>0</v>
      </c>
      <c r="AA61" s="439">
        <f t="shared" si="6"/>
        <v>890327.32232127606</v>
      </c>
      <c r="AB61" s="446">
        <f t="shared" si="17"/>
        <v>-25819.598112623436</v>
      </c>
      <c r="AC61" s="441">
        <f t="shared" si="7"/>
        <v>864507.72420865262</v>
      </c>
      <c r="AD61" s="443"/>
      <c r="AE61" s="441">
        <f t="shared" si="18"/>
        <v>-44944.422156339046</v>
      </c>
      <c r="AF61" s="441">
        <f t="shared" si="8"/>
        <v>-7898.3167069701476</v>
      </c>
      <c r="AG61" s="441">
        <f t="shared" si="9"/>
        <v>-52842.73886330919</v>
      </c>
      <c r="AI61" s="285"/>
      <c r="AJ61" s="980" t="str">
        <f>IF(ISNA(VLOOKUP(A61,'ATC Att GG ER21-2601'!$D$74:$D$126,1,FALSE)),"No","Yes")</f>
        <v>Yes</v>
      </c>
      <c r="AK61" s="977"/>
      <c r="AL61" s="977"/>
      <c r="AM61" s="977"/>
      <c r="AN61" s="977"/>
      <c r="AO61" s="977"/>
    </row>
    <row r="62" spans="1:41">
      <c r="A62" s="436">
        <v>13103</v>
      </c>
      <c r="B62" s="346" t="s">
        <v>883</v>
      </c>
      <c r="C62" s="978">
        <v>20336003.149999999</v>
      </c>
      <c r="D62" s="444">
        <f t="shared" si="10"/>
        <v>2.6778514384506489E-2</v>
      </c>
      <c r="E62" s="451">
        <f t="shared" si="0"/>
        <v>544567.9528756442</v>
      </c>
      <c r="F62" s="440">
        <v>19003058.239999998</v>
      </c>
      <c r="G62" s="444">
        <f t="shared" si="11"/>
        <v>7.9997587171902834E-2</v>
      </c>
      <c r="H62" s="439">
        <f t="shared" si="1"/>
        <v>1520198.8080871464</v>
      </c>
      <c r="I62" s="440">
        <v>529989.25</v>
      </c>
      <c r="J62" s="456">
        <v>0</v>
      </c>
      <c r="K62" s="439">
        <f t="shared" si="2"/>
        <v>2594756.0109627908</v>
      </c>
      <c r="L62" s="440">
        <v>12873.4990846172</v>
      </c>
      <c r="M62" s="441">
        <f t="shared" si="3"/>
        <v>2607629.5100474078</v>
      </c>
      <c r="N62" s="442">
        <f t="shared" si="12"/>
        <v>2.7531730645632965E-2</v>
      </c>
      <c r="O62" s="443"/>
      <c r="P62" s="441">
        <f t="shared" si="13"/>
        <v>2602612.8667762959</v>
      </c>
      <c r="Q62" s="442">
        <f t="shared" si="14"/>
        <v>2.7531730645632958E-2</v>
      </c>
      <c r="R62" s="443"/>
      <c r="S62" s="458">
        <v>20226084.806538459</v>
      </c>
      <c r="T62" s="444">
        <f t="shared" si="15"/>
        <v>2.5506445626609038E-2</v>
      </c>
      <c r="U62" s="445">
        <f t="shared" si="4"/>
        <v>515895.53235715639</v>
      </c>
      <c r="V62" s="458">
        <v>18291556.242307689</v>
      </c>
      <c r="W62" s="444">
        <f t="shared" si="16"/>
        <v>8.0050160797355885E-2</v>
      </c>
      <c r="X62" s="439">
        <f t="shared" si="5"/>
        <v>1464242.0184306093</v>
      </c>
      <c r="Y62" s="458">
        <v>527513.89499999979</v>
      </c>
      <c r="Z62" s="458">
        <v>0</v>
      </c>
      <c r="AA62" s="439">
        <f t="shared" si="6"/>
        <v>2507651.4457877651</v>
      </c>
      <c r="AB62" s="446">
        <f t="shared" si="17"/>
        <v>12873.4990846172</v>
      </c>
      <c r="AC62" s="441">
        <f t="shared" si="7"/>
        <v>2520524.9448723821</v>
      </c>
      <c r="AD62" s="443"/>
      <c r="AE62" s="441">
        <f t="shared" si="18"/>
        <v>-82087.921903913841</v>
      </c>
      <c r="AF62" s="441">
        <f t="shared" si="8"/>
        <v>-14425.736807981144</v>
      </c>
      <c r="AG62" s="441">
        <f t="shared" si="9"/>
        <v>-96513.658711894983</v>
      </c>
      <c r="AI62" s="285"/>
      <c r="AJ62" s="980" t="str">
        <f>IF(ISNA(VLOOKUP(A62,'ATC Att GG ER21-2601'!$D$74:$D$126,1,FALSE)),"No","Yes")</f>
        <v>Yes</v>
      </c>
      <c r="AK62" s="977"/>
      <c r="AL62" s="977"/>
      <c r="AM62" s="977"/>
      <c r="AN62" s="977"/>
      <c r="AO62" s="977"/>
    </row>
    <row r="63" spans="1:41">
      <c r="A63" s="436">
        <v>13769</v>
      </c>
      <c r="B63" s="346" t="s">
        <v>885</v>
      </c>
      <c r="C63" s="978">
        <v>8423892.3200000003</v>
      </c>
      <c r="D63" s="444">
        <f t="shared" si="10"/>
        <v>2.6778514384506489E-2</v>
      </c>
      <c r="E63" s="451">
        <f t="shared" si="0"/>
        <v>225579.32166465375</v>
      </c>
      <c r="F63" s="440">
        <v>7685854.9100000001</v>
      </c>
      <c r="G63" s="444">
        <f t="shared" si="11"/>
        <v>7.9997587171902834E-2</v>
      </c>
      <c r="H63" s="439">
        <f t="shared" si="1"/>
        <v>614849.84815332247</v>
      </c>
      <c r="I63" s="440">
        <v>242608.1</v>
      </c>
      <c r="J63" s="456">
        <v>0</v>
      </c>
      <c r="K63" s="439">
        <f t="shared" si="2"/>
        <v>1083037.2698179763</v>
      </c>
      <c r="L63" s="440">
        <v>-29928.556771453201</v>
      </c>
      <c r="M63" s="441">
        <f t="shared" si="3"/>
        <v>1053108.713046523</v>
      </c>
      <c r="N63" s="442">
        <f t="shared" si="12"/>
        <v>1.1118874562682384E-2</v>
      </c>
      <c r="O63" s="443"/>
      <c r="P63" s="441">
        <f t="shared" si="13"/>
        <v>1051082.7079262796</v>
      </c>
      <c r="Q63" s="442">
        <f t="shared" si="14"/>
        <v>1.1118874562682382E-2</v>
      </c>
      <c r="R63" s="443"/>
      <c r="S63" s="458">
        <v>8420217.2611538451</v>
      </c>
      <c r="T63" s="444">
        <f t="shared" si="15"/>
        <v>2.5506445626609038E-2</v>
      </c>
      <c r="U63" s="445">
        <f t="shared" si="4"/>
        <v>214769.81373585542</v>
      </c>
      <c r="V63" s="458">
        <v>7191381.006538461</v>
      </c>
      <c r="W63" s="444">
        <f t="shared" si="16"/>
        <v>8.0050160797355885E-2</v>
      </c>
      <c r="X63" s="439">
        <f t="shared" si="5"/>
        <v>575671.20592845476</v>
      </c>
      <c r="Y63" s="458">
        <v>242447.96999999997</v>
      </c>
      <c r="Z63" s="458">
        <v>0</v>
      </c>
      <c r="AA63" s="439">
        <f t="shared" si="6"/>
        <v>1032888.9896643101</v>
      </c>
      <c r="AB63" s="446">
        <f t="shared" si="17"/>
        <v>-29928.556771453201</v>
      </c>
      <c r="AC63" s="441">
        <f t="shared" si="7"/>
        <v>1002960.4328928569</v>
      </c>
      <c r="AD63" s="443"/>
      <c r="AE63" s="441">
        <f t="shared" si="18"/>
        <v>-48122.275033422746</v>
      </c>
      <c r="AF63" s="441">
        <f t="shared" si="8"/>
        <v>-8456.7772960072944</v>
      </c>
      <c r="AG63" s="441">
        <f t="shared" si="9"/>
        <v>-56579.052329430036</v>
      </c>
      <c r="AI63" s="285"/>
      <c r="AJ63" s="980" t="str">
        <f>IF(ISNA(VLOOKUP(A63,'ATC Att GG ER21-2601'!$D$74:$D$126,1,FALSE)),"No","Yes")</f>
        <v>Yes</v>
      </c>
      <c r="AK63" s="977"/>
      <c r="AL63" s="977"/>
      <c r="AM63" s="977"/>
      <c r="AN63" s="977"/>
      <c r="AO63" s="977"/>
    </row>
    <row r="64" spans="1:41">
      <c r="A64" s="436">
        <v>13784</v>
      </c>
      <c r="B64" s="346" t="s">
        <v>884</v>
      </c>
      <c r="C64" s="978">
        <v>6702807.2199999997</v>
      </c>
      <c r="D64" s="444">
        <f t="shared" si="10"/>
        <v>2.6778514384506489E-2</v>
      </c>
      <c r="E64" s="451">
        <f t="shared" si="0"/>
        <v>179491.21955734395</v>
      </c>
      <c r="F64" s="440">
        <v>6141333.5</v>
      </c>
      <c r="G64" s="444">
        <f t="shared" si="11"/>
        <v>7.9997587171902834E-2</v>
      </c>
      <c r="H64" s="439">
        <f t="shared" si="1"/>
        <v>491291.86201797711</v>
      </c>
      <c r="I64" s="440">
        <v>189689.44</v>
      </c>
      <c r="J64" s="456">
        <v>0</v>
      </c>
      <c r="K64" s="439">
        <f t="shared" si="2"/>
        <v>860472.52157532098</v>
      </c>
      <c r="L64" s="440">
        <v>-29090.750834317965</v>
      </c>
      <c r="M64" s="441">
        <f t="shared" si="3"/>
        <v>831381.77074100298</v>
      </c>
      <c r="N64" s="442">
        <f t="shared" si="12"/>
        <v>8.7778493407656422E-3</v>
      </c>
      <c r="O64" s="443"/>
      <c r="P64" s="441">
        <f>+$P$43*N64</f>
        <v>829782.33119261533</v>
      </c>
      <c r="Q64" s="442">
        <f t="shared" si="14"/>
        <v>8.7778493407656404E-3</v>
      </c>
      <c r="R64" s="443"/>
      <c r="S64" s="458">
        <v>6683343.1130769234</v>
      </c>
      <c r="T64" s="444">
        <f t="shared" si="15"/>
        <v>2.5506445626609038E-2</v>
      </c>
      <c r="U64" s="445">
        <f t="shared" si="4"/>
        <v>170468.32771766852</v>
      </c>
      <c r="V64" s="458">
        <v>5770476.7603846174</v>
      </c>
      <c r="W64" s="444">
        <f t="shared" si="16"/>
        <v>8.0050160797355885E-2</v>
      </c>
      <c r="X64" s="439">
        <f t="shared" si="5"/>
        <v>461927.59254619386</v>
      </c>
      <c r="Y64" s="458">
        <v>188433.94999999998</v>
      </c>
      <c r="Z64" s="458">
        <v>0</v>
      </c>
      <c r="AA64" s="439">
        <f t="shared" si="6"/>
        <v>820829.87026386231</v>
      </c>
      <c r="AB64" s="446">
        <f t="shared" si="17"/>
        <v>-29090.750834317965</v>
      </c>
      <c r="AC64" s="441">
        <f t="shared" si="7"/>
        <v>791739.11942954431</v>
      </c>
      <c r="AD64" s="443"/>
      <c r="AE64" s="441">
        <f t="shared" si="18"/>
        <v>-38043.211763071013</v>
      </c>
      <c r="AF64" s="441">
        <f t="shared" si="8"/>
        <v>-6685.5311657997845</v>
      </c>
      <c r="AG64" s="441">
        <f t="shared" si="9"/>
        <v>-44728.742928870794</v>
      </c>
      <c r="AI64" s="285"/>
      <c r="AJ64" s="980" t="str">
        <f>IF(ISNA(VLOOKUP(A64,'ATC Att GG ER21-2601'!$D$74:$D$126,1,FALSE)),"No","Yes")</f>
        <v>Yes</v>
      </c>
      <c r="AK64" s="977"/>
      <c r="AL64" s="977"/>
      <c r="AM64" s="977"/>
      <c r="AN64" s="977"/>
      <c r="AO64" s="977"/>
    </row>
    <row r="65" spans="1:41">
      <c r="A65" s="436">
        <v>14925</v>
      </c>
      <c r="B65" s="346" t="s">
        <v>886</v>
      </c>
      <c r="C65" s="978">
        <v>2664959.21</v>
      </c>
      <c r="D65" s="444">
        <f t="shared" si="10"/>
        <v>2.6778514384506489E-2</v>
      </c>
      <c r="E65" s="451">
        <f>C65*D65</f>
        <v>71363.64853910805</v>
      </c>
      <c r="F65" s="440">
        <v>2523819.2999999998</v>
      </c>
      <c r="G65" s="444">
        <f t="shared" si="11"/>
        <v>7.9997587171902834E-2</v>
      </c>
      <c r="H65" s="439">
        <f>F65*G65</f>
        <v>201899.45445788078</v>
      </c>
      <c r="I65" s="440">
        <v>76217.83</v>
      </c>
      <c r="J65" s="456">
        <v>0</v>
      </c>
      <c r="K65" s="439">
        <f>E65+H65+I65+J65</f>
        <v>349480.93299698882</v>
      </c>
      <c r="L65" s="440">
        <v>-5125.0564415986582</v>
      </c>
      <c r="M65" s="441">
        <f>K65+L65</f>
        <v>344355.87655539019</v>
      </c>
      <c r="N65" s="442">
        <f t="shared" si="12"/>
        <v>3.6357592990238384E-3</v>
      </c>
      <c r="O65" s="443"/>
      <c r="P65" s="441">
        <f>+$P$43*N65</f>
        <v>343693.39341338974</v>
      </c>
      <c r="Q65" s="442">
        <f t="shared" si="14"/>
        <v>3.6357592990238379E-3</v>
      </c>
      <c r="R65" s="443"/>
      <c r="S65" s="458">
        <v>2664959.21</v>
      </c>
      <c r="T65" s="444">
        <f t="shared" si="15"/>
        <v>2.5506445626609038E-2</v>
      </c>
      <c r="U65" s="445">
        <f>S65*T65</f>
        <v>67973.637186995969</v>
      </c>
      <c r="V65" s="458">
        <v>2458830.9399999995</v>
      </c>
      <c r="W65" s="444">
        <f t="shared" si="16"/>
        <v>8.0050160797355885E-2</v>
      </c>
      <c r="X65" s="439">
        <f>V65*W65</f>
        <v>196829.81212051367</v>
      </c>
      <c r="Y65" s="458">
        <v>76284.12000000001</v>
      </c>
      <c r="Z65" s="458">
        <v>0</v>
      </c>
      <c r="AA65" s="439">
        <f>U65+X65+Y65+Z65</f>
        <v>341087.56930750964</v>
      </c>
      <c r="AB65" s="446">
        <f>L65</f>
        <v>-5125.0564415986582</v>
      </c>
      <c r="AC65" s="441">
        <f>AA65+AB65</f>
        <v>335962.51286591101</v>
      </c>
      <c r="AD65" s="443"/>
      <c r="AE65" s="441">
        <f>+AC65-P65</f>
        <v>-7730.8805474787368</v>
      </c>
      <c r="AF65" s="441">
        <f t="shared" si="8"/>
        <v>-1358.5877859401887</v>
      </c>
      <c r="AG65" s="441">
        <f>+AE65+AF65</f>
        <v>-9089.4683334189249</v>
      </c>
      <c r="AI65" s="285"/>
      <c r="AJ65" s="980" t="str">
        <f>IF(ISNA(VLOOKUP(A65,'ATC Att GG ER21-2601'!$D$74:$D$126,1,FALSE)),"No","Yes")</f>
        <v>Yes</v>
      </c>
      <c r="AK65" s="977"/>
      <c r="AL65" s="977"/>
      <c r="AM65" s="977"/>
      <c r="AN65" s="977"/>
      <c r="AO65" s="977"/>
    </row>
    <row r="66" spans="1:41">
      <c r="A66" s="436">
        <v>16494</v>
      </c>
      <c r="B66" s="346" t="s">
        <v>866</v>
      </c>
      <c r="C66" s="978">
        <v>216107.65</v>
      </c>
      <c r="D66" s="444">
        <f t="shared" si="10"/>
        <v>2.6778514384506489E-2</v>
      </c>
      <c r="E66" s="451">
        <f>C66*D66</f>
        <v>5787.0418141268938</v>
      </c>
      <c r="F66" s="440">
        <v>204697.09</v>
      </c>
      <c r="G66" s="444">
        <f t="shared" si="11"/>
        <v>7.9997587171902834E-2</v>
      </c>
      <c r="H66" s="439">
        <f>F66*G66</f>
        <v>16375.273301109839</v>
      </c>
      <c r="I66" s="440">
        <v>7023.5</v>
      </c>
      <c r="J66" s="456">
        <v>0</v>
      </c>
      <c r="K66" s="439">
        <f>E66+H66+I66+J66</f>
        <v>29185.815115236732</v>
      </c>
      <c r="L66" s="440">
        <v>-1653.0921848791136</v>
      </c>
      <c r="M66" s="441">
        <f>K66+L66</f>
        <v>27532.722930357617</v>
      </c>
      <c r="N66" s="442">
        <f t="shared" si="12"/>
        <v>2.9069448276249451E-4</v>
      </c>
      <c r="O66" s="443"/>
      <c r="P66" s="441">
        <f>+$P$43*N66</f>
        <v>27479.754573966584</v>
      </c>
      <c r="Q66" s="442">
        <f t="shared" si="14"/>
        <v>2.9069448276249446E-4</v>
      </c>
      <c r="R66" s="443"/>
      <c r="S66" s="458">
        <v>216107.64500000002</v>
      </c>
      <c r="T66" s="444">
        <f t="shared" si="15"/>
        <v>2.5506445626609038E-2</v>
      </c>
      <c r="U66" s="445">
        <f>S66*T66</f>
        <v>5512.1378966870288</v>
      </c>
      <c r="V66" s="458">
        <v>200315.45500000005</v>
      </c>
      <c r="W66" s="444">
        <f t="shared" si="16"/>
        <v>8.0050160797355885E-2</v>
      </c>
      <c r="X66" s="439">
        <f>V66*W66</f>
        <v>16035.284382945511</v>
      </c>
      <c r="Y66" s="458">
        <v>7018.0800000000008</v>
      </c>
      <c r="Z66" s="458">
        <v>0</v>
      </c>
      <c r="AA66" s="439">
        <f>U66+X66+Y66+Z66</f>
        <v>28565.502279632543</v>
      </c>
      <c r="AB66" s="446">
        <f>L66</f>
        <v>-1653.0921848791136</v>
      </c>
      <c r="AC66" s="441">
        <f>AA66+AB66</f>
        <v>26912.410094753428</v>
      </c>
      <c r="AD66" s="443"/>
      <c r="AE66" s="441">
        <f>+AC66-P66</f>
        <v>-567.34447921315586</v>
      </c>
      <c r="AF66" s="441">
        <f t="shared" si="8"/>
        <v>-99.702391615786482</v>
      </c>
      <c r="AG66" s="441">
        <f>+AE66+AF66</f>
        <v>-667.04687082894236</v>
      </c>
      <c r="AI66" s="285"/>
      <c r="AJ66" s="980" t="str">
        <f>IF(ISNA(VLOOKUP(A66,'ATC Att GG ER21-2601'!$D$74:$D$126,1,FALSE)),"No","Yes")</f>
        <v>Yes</v>
      </c>
      <c r="AK66" s="977"/>
      <c r="AL66" s="977"/>
      <c r="AM66" s="977"/>
      <c r="AN66" s="977"/>
      <c r="AO66" s="977"/>
    </row>
    <row r="67" spans="1:41">
      <c r="A67" s="536">
        <v>17064</v>
      </c>
      <c r="B67" s="346" t="s">
        <v>867</v>
      </c>
      <c r="C67" s="978">
        <v>52197.69</v>
      </c>
      <c r="D67" s="444">
        <f t="shared" si="10"/>
        <v>2.6778514384506489E-2</v>
      </c>
      <c r="E67" s="451">
        <f>C67*D67</f>
        <v>1397.7765925030105</v>
      </c>
      <c r="F67" s="440">
        <v>49708.71</v>
      </c>
      <c r="G67" s="444">
        <f t="shared" si="11"/>
        <v>7.9997587171902834E-2</v>
      </c>
      <c r="H67" s="439">
        <f>F67*G67</f>
        <v>3976.5768614278381</v>
      </c>
      <c r="I67" s="440">
        <v>1451.1</v>
      </c>
      <c r="J67" s="456">
        <v>0</v>
      </c>
      <c r="K67" s="439">
        <f>E67+H67+I67+J67</f>
        <v>6825.4534539308479</v>
      </c>
      <c r="L67" s="440">
        <v>233.51898827642412</v>
      </c>
      <c r="M67" s="441">
        <f>K67+L67</f>
        <v>7058.9724422072723</v>
      </c>
      <c r="N67" s="442">
        <f t="shared" si="12"/>
        <v>7.4529655062180691E-5</v>
      </c>
      <c r="O67" s="443"/>
      <c r="P67" s="441">
        <f>+$P$43*N67</f>
        <v>7045.3921592465549</v>
      </c>
      <c r="Q67" s="442">
        <f t="shared" si="14"/>
        <v>7.4529655062180678E-5</v>
      </c>
      <c r="R67" s="443"/>
      <c r="S67" s="458">
        <v>52197.685000000005</v>
      </c>
      <c r="T67" s="444">
        <f t="shared" si="15"/>
        <v>2.5506445626609038E-2</v>
      </c>
      <c r="U67" s="445">
        <f>S67*T67</f>
        <v>1331.3774142873663</v>
      </c>
      <c r="V67" s="458">
        <v>48426.814999999995</v>
      </c>
      <c r="W67" s="444">
        <f t="shared" si="16"/>
        <v>8.0050160797355885E-2</v>
      </c>
      <c r="X67" s="439">
        <f>V67*W67</f>
        <v>3876.5743276538055</v>
      </c>
      <c r="Y67" s="458">
        <v>1695.12</v>
      </c>
      <c r="Z67" s="458">
        <v>0</v>
      </c>
      <c r="AA67" s="439">
        <f>U67+X67+Y67+Z67</f>
        <v>6903.0717419411712</v>
      </c>
      <c r="AB67" s="446">
        <f>L67</f>
        <v>233.51898827642412</v>
      </c>
      <c r="AC67" s="441">
        <f>AA67+AB67</f>
        <v>7136.5907302175956</v>
      </c>
      <c r="AD67" s="443"/>
      <c r="AE67" s="441">
        <f>+AC67-P67</f>
        <v>91.198570971040681</v>
      </c>
      <c r="AF67" s="441">
        <f t="shared" si="8"/>
        <v>16.026798481172122</v>
      </c>
      <c r="AG67" s="441">
        <f>+AE67+AF67</f>
        <v>107.2253694522128</v>
      </c>
      <c r="AI67" s="285"/>
      <c r="AJ67" s="980" t="str">
        <f>IF(ISNA(VLOOKUP(A67,'ATC Att GG ER21-2601'!$D$74:$D$126,1,FALSE)),"No","Yes")</f>
        <v>Yes</v>
      </c>
      <c r="AK67" s="977"/>
      <c r="AL67" s="977"/>
      <c r="AM67" s="977"/>
      <c r="AN67" s="977"/>
      <c r="AO67" s="977"/>
    </row>
    <row r="68" spans="1:41">
      <c r="A68" s="436">
        <v>17525</v>
      </c>
      <c r="B68" s="346" t="s">
        <v>868</v>
      </c>
      <c r="C68" s="978">
        <v>6259270.4699999997</v>
      </c>
      <c r="D68" s="444">
        <f t="shared" si="10"/>
        <v>2.6778514384506489E-2</v>
      </c>
      <c r="E68" s="451">
        <f t="shared" si="0"/>
        <v>167613.96431741168</v>
      </c>
      <c r="F68" s="440">
        <v>6020218.0700000003</v>
      </c>
      <c r="G68" s="444">
        <f t="shared" si="11"/>
        <v>7.9997587171902834E-2</v>
      </c>
      <c r="H68" s="439">
        <f t="shared" si="1"/>
        <v>481602.91984868963</v>
      </c>
      <c r="I68" s="440">
        <v>177137.35</v>
      </c>
      <c r="J68" s="456">
        <v>0</v>
      </c>
      <c r="K68" s="439">
        <f t="shared" si="2"/>
        <v>826354.23416610132</v>
      </c>
      <c r="L68" s="440">
        <v>-12526.571634528882</v>
      </c>
      <c r="M68" s="441">
        <f t="shared" si="3"/>
        <v>813827.66253157239</v>
      </c>
      <c r="N68" s="442">
        <f t="shared" si="12"/>
        <v>8.5925105197850685E-3</v>
      </c>
      <c r="O68" s="443"/>
      <c r="P68" s="441">
        <f t="shared" si="13"/>
        <v>812261.99415293476</v>
      </c>
      <c r="Q68" s="442">
        <f t="shared" si="14"/>
        <v>8.5925105197850668E-3</v>
      </c>
      <c r="R68" s="443"/>
      <c r="S68" s="458">
        <v>7076057.9996153843</v>
      </c>
      <c r="T68" s="444">
        <f t="shared" si="15"/>
        <v>2.5506445626609038E-2</v>
      </c>
      <c r="U68" s="445">
        <f t="shared" si="4"/>
        <v>180485.08861792172</v>
      </c>
      <c r="V68" s="458">
        <v>6759654.3715384621</v>
      </c>
      <c r="W68" s="444">
        <f t="shared" si="16"/>
        <v>8.0050160797355885E-2</v>
      </c>
      <c r="X68" s="439">
        <f t="shared" si="5"/>
        <v>541111.41937620356</v>
      </c>
      <c r="Y68" s="458">
        <v>198212.88500000001</v>
      </c>
      <c r="Z68" s="458">
        <v>0</v>
      </c>
      <c r="AA68" s="439">
        <f t="shared" si="6"/>
        <v>919809.39299412526</v>
      </c>
      <c r="AB68" s="446">
        <f t="shared" si="17"/>
        <v>-12526.571634528882</v>
      </c>
      <c r="AC68" s="441">
        <f t="shared" si="7"/>
        <v>907282.82135959633</v>
      </c>
      <c r="AD68" s="443"/>
      <c r="AE68" s="441">
        <f t="shared" si="18"/>
        <v>95020.827206661575</v>
      </c>
      <c r="AF68" s="441">
        <f t="shared" si="8"/>
        <v>16698.503418864093</v>
      </c>
      <c r="AG68" s="441">
        <f t="shared" si="9"/>
        <v>111719.33062552568</v>
      </c>
      <c r="AI68" s="285"/>
      <c r="AJ68" s="980" t="str">
        <f>IF(ISNA(VLOOKUP(A68,'ATC Att GG ER21-2601'!$D$74:$D$126,1,FALSE)),"No","Yes")</f>
        <v>Yes</v>
      </c>
      <c r="AK68" s="977"/>
      <c r="AL68" s="977"/>
      <c r="AM68" s="977"/>
      <c r="AN68" s="977"/>
      <c r="AO68" s="977"/>
    </row>
    <row r="69" spans="1:41">
      <c r="A69" s="436">
        <v>17526</v>
      </c>
      <c r="B69" s="346" t="s">
        <v>869</v>
      </c>
      <c r="C69" s="978">
        <v>539931.55000000005</v>
      </c>
      <c r="D69" s="444">
        <f t="shared" si="10"/>
        <v>2.6778514384506489E-2</v>
      </c>
      <c r="E69" s="451">
        <f t="shared" si="0"/>
        <v>14458.564778323886</v>
      </c>
      <c r="F69" s="440">
        <v>478325.33</v>
      </c>
      <c r="G69" s="444">
        <f t="shared" si="11"/>
        <v>7.9997587171902834E-2</v>
      </c>
      <c r="H69" s="439">
        <f t="shared" si="1"/>
        <v>38264.872283204189</v>
      </c>
      <c r="I69" s="440">
        <v>18087.71</v>
      </c>
      <c r="J69" s="456">
        <v>0</v>
      </c>
      <c r="K69" s="439">
        <f t="shared" si="2"/>
        <v>70811.147061528085</v>
      </c>
      <c r="L69" s="440">
        <v>1787.3202535858602</v>
      </c>
      <c r="M69" s="441">
        <f t="shared" si="3"/>
        <v>72598.467315113943</v>
      </c>
      <c r="N69" s="442">
        <f t="shared" si="12"/>
        <v>7.6650514948696351E-4</v>
      </c>
      <c r="O69" s="443"/>
      <c r="P69" s="441">
        <f t="shared" si="13"/>
        <v>72458.799999973475</v>
      </c>
      <c r="Q69" s="442">
        <f t="shared" si="14"/>
        <v>7.665051494869634E-4</v>
      </c>
      <c r="R69" s="443"/>
      <c r="S69" s="458">
        <v>539931.54499999993</v>
      </c>
      <c r="T69" s="444">
        <f t="shared" si="15"/>
        <v>2.5506445626609038E-2</v>
      </c>
      <c r="U69" s="445">
        <f t="shared" si="4"/>
        <v>13771.73459463351</v>
      </c>
      <c r="V69" s="458">
        <v>434831.35153846157</v>
      </c>
      <c r="W69" s="444">
        <f t="shared" si="16"/>
        <v>8.0050160797355885E-2</v>
      </c>
      <c r="X69" s="439">
        <f t="shared" si="5"/>
        <v>34808.319610385435</v>
      </c>
      <c r="Y69" s="458">
        <v>18063.870000000003</v>
      </c>
      <c r="Z69" s="458">
        <v>0</v>
      </c>
      <c r="AA69" s="439">
        <f t="shared" si="6"/>
        <v>66643.92420501895</v>
      </c>
      <c r="AB69" s="446">
        <f t="shared" si="17"/>
        <v>1787.3202535858602</v>
      </c>
      <c r="AC69" s="441">
        <f t="shared" si="7"/>
        <v>68431.244458604808</v>
      </c>
      <c r="AD69" s="443"/>
      <c r="AE69" s="441">
        <f t="shared" si="18"/>
        <v>-4027.555541368667</v>
      </c>
      <c r="AF69" s="441">
        <f t="shared" si="8"/>
        <v>-707.78325083340007</v>
      </c>
      <c r="AG69" s="441">
        <f t="shared" si="9"/>
        <v>-4735.3387922020675</v>
      </c>
      <c r="AI69" s="285"/>
      <c r="AJ69" s="980" t="str">
        <f>IF(ISNA(VLOOKUP(A69,'ATC Att GG ER21-2601'!$D$74:$D$126,1,FALSE)),"No","Yes")</f>
        <v>Yes</v>
      </c>
      <c r="AK69" s="977"/>
      <c r="AL69" s="977"/>
      <c r="AM69" s="977"/>
      <c r="AN69" s="977"/>
      <c r="AO69" s="977"/>
    </row>
    <row r="70" spans="1:41">
      <c r="A70" s="436">
        <v>18849</v>
      </c>
      <c r="B70" s="346" t="s">
        <v>901</v>
      </c>
      <c r="C70" s="978">
        <v>3383228.72</v>
      </c>
      <c r="D70" s="444">
        <f t="shared" si="10"/>
        <v>2.6778514384506489E-2</v>
      </c>
      <c r="E70" s="451">
        <f t="shared" ref="E70:E78" si="19">C70*D70</f>
        <v>90597.838944595482</v>
      </c>
      <c r="F70" s="440">
        <v>3269907.11</v>
      </c>
      <c r="G70" s="444">
        <f t="shared" si="11"/>
        <v>7.9997587171902834E-2</v>
      </c>
      <c r="H70" s="439">
        <f t="shared" ref="H70:H78" si="20">F70*G70</f>
        <v>261584.67907624986</v>
      </c>
      <c r="I70" s="440">
        <v>91008.85</v>
      </c>
      <c r="J70" s="456">
        <v>0</v>
      </c>
      <c r="K70" s="439">
        <f t="shared" ref="K70:K78" si="21">E70+H70+I70+J70</f>
        <v>443191.36802084534</v>
      </c>
      <c r="L70" s="440">
        <v>-588955.81434963434</v>
      </c>
      <c r="M70" s="441">
        <f t="shared" ref="M70:M78" si="22">K70+L70</f>
        <v>-145764.446328789</v>
      </c>
      <c r="N70" s="442">
        <f t="shared" si="12"/>
        <v>-1.5390021698140242E-3</v>
      </c>
      <c r="O70" s="443"/>
      <c r="P70" s="441">
        <f t="shared" ref="P70:P78" si="23">+$P$43*N70</f>
        <v>-145484.0199008685</v>
      </c>
      <c r="Q70" s="442">
        <f t="shared" si="14"/>
        <v>-1.539002169814024E-3</v>
      </c>
      <c r="R70" s="443"/>
      <c r="S70" s="458">
        <v>3280458.603461538</v>
      </c>
      <c r="T70" s="444">
        <f t="shared" si="15"/>
        <v>2.5506445626609038E-2</v>
      </c>
      <c r="U70" s="445">
        <f t="shared" ref="U70:U78" si="24">S70*T70</f>
        <v>83672.838999533531</v>
      </c>
      <c r="V70" s="458">
        <v>3157527.8565384606</v>
      </c>
      <c r="W70" s="444">
        <f t="shared" si="16"/>
        <v>8.0050160797355885E-2</v>
      </c>
      <c r="X70" s="439">
        <f t="shared" ref="X70:X78" si="25">V70*W70</f>
        <v>252760.61263803425</v>
      </c>
      <c r="Y70" s="458">
        <v>88076.265000000014</v>
      </c>
      <c r="Z70" s="458">
        <v>0</v>
      </c>
      <c r="AA70" s="439">
        <f t="shared" ref="AA70:AA78" si="26">U70+X70+Y70+Z70</f>
        <v>424509.71663756779</v>
      </c>
      <c r="AB70" s="446">
        <f t="shared" ref="AB70:AB78" si="27">L70</f>
        <v>-588955.81434963434</v>
      </c>
      <c r="AC70" s="441">
        <f t="shared" ref="AC70:AC78" si="28">AA70+AB70</f>
        <v>-164446.09771206655</v>
      </c>
      <c r="AD70" s="443"/>
      <c r="AE70" s="441">
        <f t="shared" ref="AE70:AE77" si="29">+AC70-P70</f>
        <v>-18962.077811198047</v>
      </c>
      <c r="AF70" s="441">
        <f t="shared" si="8"/>
        <v>-3332.3044059635295</v>
      </c>
      <c r="AG70" s="441">
        <f t="shared" ref="AG70:AG78" si="30">+AE70+AF70</f>
        <v>-22294.382217161576</v>
      </c>
      <c r="AI70" s="285"/>
      <c r="AJ70" s="980" t="str">
        <f>IF(ISNA(VLOOKUP(A70,'ATC Att GG ER21-2601'!$D$74:$D$126,1,FALSE)),"No","Yes")</f>
        <v>Yes</v>
      </c>
      <c r="AK70" s="977"/>
      <c r="AL70" s="977"/>
      <c r="AM70" s="977"/>
      <c r="AN70" s="977"/>
      <c r="AO70" s="977"/>
    </row>
    <row r="71" spans="1:41">
      <c r="A71" s="436">
        <v>19269</v>
      </c>
      <c r="B71" s="346" t="s">
        <v>870</v>
      </c>
      <c r="C71" s="978">
        <v>237212.59</v>
      </c>
      <c r="D71" s="444">
        <f t="shared" si="10"/>
        <v>2.6778514384506489E-2</v>
      </c>
      <c r="E71" s="451">
        <f>C71*D71</f>
        <v>6352.2007535010398</v>
      </c>
      <c r="F71" s="440">
        <v>227520.76</v>
      </c>
      <c r="G71" s="444">
        <f t="shared" si="11"/>
        <v>7.9997587171902834E-2</v>
      </c>
      <c r="H71" s="439">
        <f>F71*G71</f>
        <v>18201.111831517585</v>
      </c>
      <c r="I71" s="440">
        <v>8278.7199999999993</v>
      </c>
      <c r="J71" s="456">
        <v>0</v>
      </c>
      <c r="K71" s="439">
        <f>E71+H71+I71+J71</f>
        <v>32832.032585018627</v>
      </c>
      <c r="L71" s="440">
        <v>-4217.5725308956717</v>
      </c>
      <c r="M71" s="441">
        <f>K71+L71</f>
        <v>28614.460054122956</v>
      </c>
      <c r="N71" s="442">
        <f t="shared" si="12"/>
        <v>3.0211562023855706E-4</v>
      </c>
      <c r="O71" s="443"/>
      <c r="P71" s="441">
        <f t="shared" si="23"/>
        <v>28559.410616335146</v>
      </c>
      <c r="Q71" s="442">
        <f t="shared" si="14"/>
        <v>3.0211562023855701E-4</v>
      </c>
      <c r="R71" s="443"/>
      <c r="S71" s="458">
        <v>230941.27115384623</v>
      </c>
      <c r="T71" s="444">
        <f t="shared" si="15"/>
        <v>2.5506445626609038E-2</v>
      </c>
      <c r="U71" s="445">
        <f>S71*T71</f>
        <v>5890.4909756255529</v>
      </c>
      <c r="V71" s="458">
        <v>219517.13807692312</v>
      </c>
      <c r="W71" s="444">
        <f t="shared" si="16"/>
        <v>8.0050160797355885E-2</v>
      </c>
      <c r="X71" s="439">
        <f>V71*W71</f>
        <v>17572.382200833068</v>
      </c>
      <c r="Y71" s="458">
        <v>7802.16</v>
      </c>
      <c r="Z71" s="458">
        <v>0</v>
      </c>
      <c r="AA71" s="439">
        <f>U71+X71+Y71+Z71</f>
        <v>31265.033176458619</v>
      </c>
      <c r="AB71" s="446">
        <f>L71</f>
        <v>-4217.5725308956717</v>
      </c>
      <c r="AC71" s="441">
        <f>AA71+AB71</f>
        <v>27047.460645562947</v>
      </c>
      <c r="AD71" s="443"/>
      <c r="AE71" s="441">
        <f>+AC71-P71</f>
        <v>-1511.9499707721989</v>
      </c>
      <c r="AF71" s="441">
        <f t="shared" si="8"/>
        <v>-265.70282008996264</v>
      </c>
      <c r="AG71" s="441">
        <f>+AE71+AF71</f>
        <v>-1777.6527908621615</v>
      </c>
      <c r="AI71" s="285"/>
      <c r="AJ71" s="980" t="str">
        <f>IF(ISNA(VLOOKUP(A71,'ATC Att GG ER21-2601'!$D$74:$D$126,1,FALSE)),"No","Yes")</f>
        <v>Yes</v>
      </c>
      <c r="AK71" s="977"/>
      <c r="AL71" s="977"/>
      <c r="AM71" s="977"/>
      <c r="AN71" s="977"/>
      <c r="AO71" s="977"/>
    </row>
    <row r="72" spans="1:41">
      <c r="A72" s="436">
        <v>18925</v>
      </c>
      <c r="B72" s="346" t="s">
        <v>975</v>
      </c>
      <c r="C72" s="978">
        <v>0</v>
      </c>
      <c r="D72" s="444">
        <f t="shared" si="10"/>
        <v>2.6778514384506489E-2</v>
      </c>
      <c r="E72" s="451">
        <f>C72*D72</f>
        <v>0</v>
      </c>
      <c r="F72" s="440">
        <v>0</v>
      </c>
      <c r="G72" s="444">
        <f t="shared" si="11"/>
        <v>7.9997587171902834E-2</v>
      </c>
      <c r="H72" s="439">
        <f>F72*G72</f>
        <v>0</v>
      </c>
      <c r="I72" s="440">
        <v>0</v>
      </c>
      <c r="J72" s="456">
        <v>0</v>
      </c>
      <c r="K72" s="439">
        <f>E72+H72+I72+J72</f>
        <v>0</v>
      </c>
      <c r="L72" s="440">
        <v>-117143.7698711823</v>
      </c>
      <c r="M72" s="441">
        <f>K72+L72</f>
        <v>-117143.7698711823</v>
      </c>
      <c r="N72" s="442">
        <f t="shared" si="12"/>
        <v>-1.2368209158856967E-3</v>
      </c>
      <c r="O72" s="443"/>
      <c r="P72" s="441">
        <f t="shared" si="23"/>
        <v>-116918.40484037077</v>
      </c>
      <c r="Q72" s="442">
        <f t="shared" si="14"/>
        <v>-1.2368209158856965E-3</v>
      </c>
      <c r="R72" s="443"/>
      <c r="S72" s="458">
        <v>0</v>
      </c>
      <c r="T72" s="444">
        <f t="shared" si="15"/>
        <v>2.5506445626609038E-2</v>
      </c>
      <c r="U72" s="445">
        <f>S72*T72</f>
        <v>0</v>
      </c>
      <c r="V72" s="458">
        <v>0</v>
      </c>
      <c r="W72" s="444">
        <f t="shared" si="16"/>
        <v>8.0050160797355885E-2</v>
      </c>
      <c r="X72" s="439">
        <f>V72*W72</f>
        <v>0</v>
      </c>
      <c r="Y72" s="458">
        <v>0</v>
      </c>
      <c r="Z72" s="458">
        <v>0</v>
      </c>
      <c r="AA72" s="439">
        <f>U72+X72+Y72+Z72</f>
        <v>0</v>
      </c>
      <c r="AB72" s="446">
        <f>L72</f>
        <v>-117143.7698711823</v>
      </c>
      <c r="AC72" s="441">
        <f>AA72+AB72</f>
        <v>-117143.7698711823</v>
      </c>
      <c r="AD72" s="443"/>
      <c r="AE72" s="441">
        <f>+AC72-P72</f>
        <v>-225.36503081153205</v>
      </c>
      <c r="AF72" s="441">
        <f t="shared" si="8"/>
        <v>-39.60456721044995</v>
      </c>
      <c r="AG72" s="441">
        <f>+AE72+AF72</f>
        <v>-264.96959802198199</v>
      </c>
      <c r="AI72" s="285"/>
      <c r="AJ72" s="980" t="str">
        <f>IF(ISNA(VLOOKUP(A72,'ATC Att GG ER21-2601'!$D$74:$D$126,1,FALSE)),"No","Yes")</f>
        <v>Yes</v>
      </c>
      <c r="AK72" s="977"/>
      <c r="AL72" s="977"/>
      <c r="AM72" s="977"/>
      <c r="AN72" s="977"/>
      <c r="AO72" s="977"/>
    </row>
    <row r="73" spans="1:41">
      <c r="A73" s="436">
        <v>19267</v>
      </c>
      <c r="B73" s="346" t="s">
        <v>870</v>
      </c>
      <c r="C73" s="978">
        <v>38583.4</v>
      </c>
      <c r="D73" s="444">
        <f t="shared" si="10"/>
        <v>2.6778514384506489E-2</v>
      </c>
      <c r="E73" s="451">
        <f>C73*D73</f>
        <v>1033.2061319031677</v>
      </c>
      <c r="F73" s="440">
        <v>38086.519999999997</v>
      </c>
      <c r="G73" s="444">
        <f t="shared" si="11"/>
        <v>7.9997587171902834E-2</v>
      </c>
      <c r="H73" s="439">
        <f>F73*G73</f>
        <v>3046.8297037744205</v>
      </c>
      <c r="I73" s="440">
        <v>1100.4100000000001</v>
      </c>
      <c r="J73" s="456">
        <v>0</v>
      </c>
      <c r="K73" s="439">
        <f>E73+H73+I73+J73</f>
        <v>5180.4458356775885</v>
      </c>
      <c r="L73" s="440">
        <v>67.086629336798651</v>
      </c>
      <c r="M73" s="441">
        <f>K73+L73</f>
        <v>5247.5324650143875</v>
      </c>
      <c r="N73" s="442">
        <f t="shared" si="12"/>
        <v>5.540420900450843E-5</v>
      </c>
      <c r="O73" s="443"/>
      <c r="P73" s="441">
        <f t="shared" si="23"/>
        <v>5237.4370897591516</v>
      </c>
      <c r="Q73" s="442">
        <f t="shared" si="14"/>
        <v>5.5404209004508423E-5</v>
      </c>
      <c r="R73" s="443"/>
      <c r="S73" s="458">
        <v>46649.74038461539</v>
      </c>
      <c r="T73" s="444">
        <f t="shared" si="15"/>
        <v>2.5506445626609038E-2</v>
      </c>
      <c r="U73" s="445">
        <f>S73*T73</f>
        <v>1189.8690666156203</v>
      </c>
      <c r="V73" s="458">
        <v>46064.450000000004</v>
      </c>
      <c r="W73" s="444">
        <f t="shared" si="16"/>
        <v>8.0050160797355885E-2</v>
      </c>
      <c r="X73" s="439">
        <f>V73*W73</f>
        <v>3687.4666295417605</v>
      </c>
      <c r="Y73" s="458">
        <v>1259.7950000000005</v>
      </c>
      <c r="Z73" s="458">
        <v>0</v>
      </c>
      <c r="AA73" s="439">
        <f>U73+X73+Y73+Z73</f>
        <v>6137.130696157381</v>
      </c>
      <c r="AB73" s="446">
        <f>L73</f>
        <v>67.086629336798651</v>
      </c>
      <c r="AC73" s="441">
        <f>AA73+AB73</f>
        <v>6204.2173254941799</v>
      </c>
      <c r="AD73" s="443"/>
      <c r="AE73" s="441">
        <f>+AC73-P73</f>
        <v>966.78023573502833</v>
      </c>
      <c r="AF73" s="441">
        <f t="shared" si="8"/>
        <v>169.89731142416136</v>
      </c>
      <c r="AG73" s="441">
        <f>+AE73+AF73</f>
        <v>1136.6775471591898</v>
      </c>
      <c r="AI73" s="285"/>
      <c r="AJ73" s="980" t="str">
        <f>IF(ISNA(VLOOKUP(A73,'ATC Att GG ER21-2601'!$D$74:$D$126,1,FALSE)),"No","Yes")</f>
        <v>Yes</v>
      </c>
      <c r="AK73" s="977"/>
      <c r="AL73" s="977"/>
      <c r="AM73" s="977"/>
      <c r="AN73" s="977"/>
      <c r="AO73" s="977"/>
    </row>
    <row r="74" spans="1:41">
      <c r="A74" s="436">
        <v>22045</v>
      </c>
      <c r="B74" s="346" t="s">
        <v>920</v>
      </c>
      <c r="C74" s="978">
        <v>18780.080000000002</v>
      </c>
      <c r="D74" s="444">
        <f t="shared" si="10"/>
        <v>2.6778514384506489E-2</v>
      </c>
      <c r="E74" s="451">
        <f>C74*D74</f>
        <v>502.90264242218268</v>
      </c>
      <c r="F74" s="440">
        <v>18432.89</v>
      </c>
      <c r="G74" s="444">
        <f t="shared" si="11"/>
        <v>7.9997587171902834E-2</v>
      </c>
      <c r="H74" s="439">
        <f>F74*G74</f>
        <v>1474.5867246050959</v>
      </c>
      <c r="I74" s="440">
        <v>497.67</v>
      </c>
      <c r="J74" s="456">
        <v>0</v>
      </c>
      <c r="K74" s="439">
        <f>E74+H74+I74+J74</f>
        <v>2475.1593670272787</v>
      </c>
      <c r="L74" s="440">
        <v>15.86082770405009</v>
      </c>
      <c r="M74" s="441">
        <f>K74+L74</f>
        <v>2491.020194731329</v>
      </c>
      <c r="N74" s="442">
        <f t="shared" si="12"/>
        <v>2.630055257847127E-5</v>
      </c>
      <c r="O74" s="443"/>
      <c r="P74" s="441">
        <f t="shared" si="23"/>
        <v>2486.2278882898072</v>
      </c>
      <c r="Q74" s="442">
        <f t="shared" si="14"/>
        <v>2.6300552578471264E-5</v>
      </c>
      <c r="R74" s="443"/>
      <c r="S74" s="458">
        <v>22264.855769230773</v>
      </c>
      <c r="T74" s="444">
        <f t="shared" si="15"/>
        <v>2.5506445626609038E-2</v>
      </c>
      <c r="U74" s="445">
        <f>S74*T74</f>
        <v>567.89733306217727</v>
      </c>
      <c r="V74" s="458">
        <v>21914.399230769228</v>
      </c>
      <c r="W74" s="444">
        <f t="shared" si="16"/>
        <v>8.0050160797355885E-2</v>
      </c>
      <c r="X74" s="439">
        <f>V74*W74</f>
        <v>1754.2511822005288</v>
      </c>
      <c r="Y74" s="458">
        <v>615.83000000000004</v>
      </c>
      <c r="Z74" s="458">
        <v>0</v>
      </c>
      <c r="AA74" s="439">
        <f>U74+X74+Y74+Z74</f>
        <v>2937.978515262706</v>
      </c>
      <c r="AB74" s="446">
        <f>L74</f>
        <v>15.86082770405009</v>
      </c>
      <c r="AC74" s="441">
        <f>AA74+AB74</f>
        <v>2953.8393429667562</v>
      </c>
      <c r="AD74" s="443"/>
      <c r="AE74" s="441">
        <f>+AC74-P74</f>
        <v>467.61145467694905</v>
      </c>
      <c r="AF74" s="441">
        <f t="shared" si="8"/>
        <v>82.175789289230948</v>
      </c>
      <c r="AG74" s="441">
        <f>+AE74+AF74</f>
        <v>549.78724396617997</v>
      </c>
      <c r="AI74" s="285"/>
      <c r="AJ74" s="980" t="str">
        <f>IF(ISNA(VLOOKUP(A74,'ATC Att GG ER21-2601'!$D$74:$D$126,1,FALSE)),"No","Yes")</f>
        <v>Yes</v>
      </c>
      <c r="AK74" s="977"/>
      <c r="AL74" s="977"/>
      <c r="AM74" s="977"/>
      <c r="AN74" s="977"/>
      <c r="AO74" s="977"/>
    </row>
    <row r="75" spans="1:41">
      <c r="A75" s="436">
        <v>18665</v>
      </c>
      <c r="B75" s="346" t="s">
        <v>908</v>
      </c>
      <c r="C75" s="978">
        <v>2500725.16</v>
      </c>
      <c r="D75" s="444">
        <f t="shared" si="10"/>
        <v>2.6778514384506489E-2</v>
      </c>
      <c r="E75" s="451">
        <f>C75*D75</f>
        <v>66965.704668757302</v>
      </c>
      <c r="F75" s="440">
        <v>2431450.79</v>
      </c>
      <c r="G75" s="444">
        <f t="shared" si="11"/>
        <v>7.9997587171902834E-2</v>
      </c>
      <c r="H75" s="439">
        <f>F75*G75</f>
        <v>194510.19652721702</v>
      </c>
      <c r="I75" s="440">
        <v>66269.22</v>
      </c>
      <c r="J75" s="456">
        <v>0</v>
      </c>
      <c r="K75" s="439">
        <f>E75+H75+I75+J75</f>
        <v>327745.12119597429</v>
      </c>
      <c r="L75" s="440">
        <v>0</v>
      </c>
      <c r="M75" s="441">
        <f>K75+L75</f>
        <v>327745.12119597429</v>
      </c>
      <c r="N75" s="442">
        <f t="shared" si="12"/>
        <v>3.4603805342822056E-3</v>
      </c>
      <c r="O75" s="443"/>
      <c r="P75" s="441">
        <f t="shared" si="23"/>
        <v>327114.59437053674</v>
      </c>
      <c r="Q75" s="442">
        <f t="shared" si="14"/>
        <v>3.4603805342822052E-3</v>
      </c>
      <c r="R75" s="443"/>
      <c r="S75" s="458">
        <v>2488354.3315384611</v>
      </c>
      <c r="T75" s="444">
        <f t="shared" si="15"/>
        <v>2.5506445626609038E-2</v>
      </c>
      <c r="U75" s="445">
        <f>S75*T75</f>
        <v>63469.074457122835</v>
      </c>
      <c r="V75" s="458">
        <v>2415892.2450000001</v>
      </c>
      <c r="W75" s="444">
        <f t="shared" si="16"/>
        <v>8.0050160797355885E-2</v>
      </c>
      <c r="X75" s="439">
        <f>V75*W75</f>
        <v>193392.56268133511</v>
      </c>
      <c r="Y75" s="458">
        <v>68621.535000000003</v>
      </c>
      <c r="Z75" s="458">
        <v>0</v>
      </c>
      <c r="AA75" s="439">
        <f>U75+X75+Y75+Z75</f>
        <v>325483.17213845794</v>
      </c>
      <c r="AB75" s="446">
        <f>L75</f>
        <v>0</v>
      </c>
      <c r="AC75" s="441">
        <f>AA75+AB75</f>
        <v>325483.17213845794</v>
      </c>
      <c r="AD75" s="443"/>
      <c r="AE75" s="441">
        <f>+AC75-P75</f>
        <v>-1631.4222320787958</v>
      </c>
      <c r="AF75" s="441">
        <f t="shared" si="8"/>
        <v>-286.69830100225437</v>
      </c>
      <c r="AG75" s="441">
        <f>+AE75+AF75</f>
        <v>-1918.1205330810501</v>
      </c>
      <c r="AI75" s="285"/>
      <c r="AJ75" s="980" t="str">
        <f>IF(ISNA(VLOOKUP(A75,'ATC Att GG ER21-2601'!$D$74:$D$126,1,FALSE)),"No","Yes")</f>
        <v>Yes</v>
      </c>
      <c r="AK75" s="977"/>
      <c r="AL75" s="977"/>
      <c r="AM75" s="977"/>
      <c r="AN75" s="977"/>
      <c r="AO75" s="977"/>
    </row>
    <row r="76" spans="1:41">
      <c r="A76" s="436">
        <v>18985</v>
      </c>
      <c r="B76" s="346" t="s">
        <v>908</v>
      </c>
      <c r="C76" s="978">
        <v>0</v>
      </c>
      <c r="D76" s="444">
        <f t="shared" si="10"/>
        <v>2.6778514384506489E-2</v>
      </c>
      <c r="E76" s="451">
        <f t="shared" si="19"/>
        <v>0</v>
      </c>
      <c r="F76" s="440">
        <v>0</v>
      </c>
      <c r="G76" s="444">
        <f t="shared" si="11"/>
        <v>7.9997587171902834E-2</v>
      </c>
      <c r="H76" s="439">
        <f t="shared" si="20"/>
        <v>0</v>
      </c>
      <c r="I76" s="440">
        <v>0</v>
      </c>
      <c r="J76" s="456">
        <v>0</v>
      </c>
      <c r="K76" s="439">
        <f t="shared" si="21"/>
        <v>0</v>
      </c>
      <c r="L76" s="440">
        <v>0</v>
      </c>
      <c r="M76" s="441">
        <f t="shared" si="22"/>
        <v>0</v>
      </c>
      <c r="N76" s="442">
        <f t="shared" si="12"/>
        <v>0</v>
      </c>
      <c r="O76" s="443"/>
      <c r="P76" s="441">
        <f t="shared" si="23"/>
        <v>0</v>
      </c>
      <c r="Q76" s="442">
        <f t="shared" si="14"/>
        <v>0</v>
      </c>
      <c r="R76" s="443"/>
      <c r="S76" s="458">
        <v>0</v>
      </c>
      <c r="T76" s="444">
        <f t="shared" si="15"/>
        <v>2.5506445626609038E-2</v>
      </c>
      <c r="U76" s="445">
        <f t="shared" si="24"/>
        <v>0</v>
      </c>
      <c r="V76" s="458">
        <v>0</v>
      </c>
      <c r="W76" s="444">
        <f t="shared" si="16"/>
        <v>8.0050160797355885E-2</v>
      </c>
      <c r="X76" s="439">
        <f t="shared" si="25"/>
        <v>0</v>
      </c>
      <c r="Y76" s="458">
        <v>0</v>
      </c>
      <c r="Z76" s="458">
        <v>0</v>
      </c>
      <c r="AA76" s="439">
        <f t="shared" si="26"/>
        <v>0</v>
      </c>
      <c r="AB76" s="446">
        <f t="shared" si="27"/>
        <v>0</v>
      </c>
      <c r="AC76" s="441">
        <f t="shared" si="28"/>
        <v>0</v>
      </c>
      <c r="AD76" s="443"/>
      <c r="AE76" s="441">
        <f t="shared" si="29"/>
        <v>0</v>
      </c>
      <c r="AF76" s="441">
        <f t="shared" si="8"/>
        <v>0</v>
      </c>
      <c r="AG76" s="441">
        <f t="shared" si="30"/>
        <v>0</v>
      </c>
      <c r="AI76" s="285"/>
      <c r="AJ76" s="980" t="str">
        <f>IF(ISNA(VLOOKUP(A76,'ATC Att GG ER21-2601'!$D$74:$D$126,1,FALSE)),"No","Yes")</f>
        <v>Yes</v>
      </c>
      <c r="AK76" s="977"/>
      <c r="AL76" s="977"/>
      <c r="AM76" s="977"/>
      <c r="AN76" s="977"/>
      <c r="AO76" s="977"/>
    </row>
    <row r="77" spans="1:41">
      <c r="A77" s="436">
        <v>19145</v>
      </c>
      <c r="B77" s="346" t="s">
        <v>907</v>
      </c>
      <c r="C77" s="978">
        <v>3834658.16</v>
      </c>
      <c r="D77" s="444">
        <f t="shared" si="10"/>
        <v>2.6778514384506489E-2</v>
      </c>
      <c r="E77" s="451">
        <f t="shared" si="19"/>
        <v>102686.44869722519</v>
      </c>
      <c r="F77" s="440">
        <v>3796566.62</v>
      </c>
      <c r="G77" s="444">
        <f t="shared" si="11"/>
        <v>7.9997587171902834E-2</v>
      </c>
      <c r="H77" s="439">
        <f t="shared" si="20"/>
        <v>303716.16913738649</v>
      </c>
      <c r="I77" s="440">
        <v>110086.64</v>
      </c>
      <c r="J77" s="456">
        <v>0</v>
      </c>
      <c r="K77" s="439">
        <f t="shared" si="21"/>
        <v>516489.25783461169</v>
      </c>
      <c r="L77" s="440">
        <v>0</v>
      </c>
      <c r="M77" s="441">
        <f t="shared" si="22"/>
        <v>516489.25783461169</v>
      </c>
      <c r="N77" s="442">
        <f t="shared" si="12"/>
        <v>5.4531685092821646E-3</v>
      </c>
      <c r="O77" s="443"/>
      <c r="P77" s="441">
        <f t="shared" si="23"/>
        <v>515495.61884182761</v>
      </c>
      <c r="Q77" s="442">
        <f t="shared" si="14"/>
        <v>5.4531685092821637E-3</v>
      </c>
      <c r="R77" s="443"/>
      <c r="S77" s="458">
        <v>3866019.0388461547</v>
      </c>
      <c r="T77" s="444">
        <f t="shared" si="15"/>
        <v>2.5506445626609038E-2</v>
      </c>
      <c r="U77" s="445">
        <f t="shared" si="24"/>
        <v>98608.404405764784</v>
      </c>
      <c r="V77" s="458">
        <v>3834797.6219230769</v>
      </c>
      <c r="W77" s="444">
        <f t="shared" si="16"/>
        <v>8.0050160797355885E-2</v>
      </c>
      <c r="X77" s="439">
        <f t="shared" si="25"/>
        <v>306976.16626026027</v>
      </c>
      <c r="Y77" s="458">
        <v>102004.52499999999</v>
      </c>
      <c r="Z77" s="458">
        <v>0</v>
      </c>
      <c r="AA77" s="439">
        <f t="shared" si="26"/>
        <v>507589.09566602507</v>
      </c>
      <c r="AB77" s="446">
        <f t="shared" si="27"/>
        <v>0</v>
      </c>
      <c r="AC77" s="441">
        <f t="shared" si="28"/>
        <v>507589.09566602507</v>
      </c>
      <c r="AD77" s="443"/>
      <c r="AE77" s="441">
        <f t="shared" si="29"/>
        <v>-7906.5231758025475</v>
      </c>
      <c r="AF77" s="441">
        <f t="shared" si="8"/>
        <v>-1389.4543771474457</v>
      </c>
      <c r="AG77" s="441">
        <f t="shared" si="30"/>
        <v>-9295.977552949993</v>
      </c>
      <c r="AI77" s="285"/>
      <c r="AJ77" s="980" t="str">
        <f>IF(ISNA(VLOOKUP(A77,'ATC Att GG ER21-2601'!$D$74:$D$126,1,FALSE)),"No","Yes")</f>
        <v>Yes</v>
      </c>
      <c r="AK77" s="977"/>
      <c r="AL77" s="977"/>
      <c r="AM77" s="977"/>
      <c r="AN77" s="977"/>
      <c r="AO77" s="977"/>
    </row>
    <row r="78" spans="1:41">
      <c r="A78" s="436">
        <v>19246</v>
      </c>
      <c r="B78" s="346" t="s">
        <v>925</v>
      </c>
      <c r="C78" s="978">
        <v>103773.7</v>
      </c>
      <c r="D78" s="444">
        <f t="shared" si="10"/>
        <v>2.6778514384506489E-2</v>
      </c>
      <c r="E78" s="451">
        <f t="shared" si="19"/>
        <v>2778.905518183461</v>
      </c>
      <c r="F78" s="440">
        <v>102742.45</v>
      </c>
      <c r="G78" s="444">
        <f t="shared" si="11"/>
        <v>7.9997587171902834E-2</v>
      </c>
      <c r="H78" s="439">
        <f t="shared" si="20"/>
        <v>8219.1481001298689</v>
      </c>
      <c r="I78" s="440">
        <v>2979.17</v>
      </c>
      <c r="J78" s="456">
        <v>0</v>
      </c>
      <c r="K78" s="439">
        <f t="shared" si="21"/>
        <v>13977.22361831333</v>
      </c>
      <c r="L78" s="440">
        <v>0</v>
      </c>
      <c r="M78" s="441">
        <f t="shared" si="22"/>
        <v>13977.22361831333</v>
      </c>
      <c r="N78" s="442">
        <f t="shared" si="12"/>
        <v>1.475735545829844E-4</v>
      </c>
      <c r="O78" s="443"/>
      <c r="P78" s="441">
        <f t="shared" si="23"/>
        <v>13950.333776584104</v>
      </c>
      <c r="Q78" s="442">
        <f t="shared" si="14"/>
        <v>1.4757355458298437E-4</v>
      </c>
      <c r="R78" s="443"/>
      <c r="S78" s="458">
        <v>175535.10153846157</v>
      </c>
      <c r="T78" s="444">
        <f t="shared" si="15"/>
        <v>2.5506445626609038E-2</v>
      </c>
      <c r="U78" s="445">
        <f t="shared" si="24"/>
        <v>4477.2765229520664</v>
      </c>
      <c r="V78" s="458">
        <v>172948.81807692308</v>
      </c>
      <c r="W78" s="444">
        <f t="shared" si="16"/>
        <v>8.0050160797355885E-2</v>
      </c>
      <c r="X78" s="439">
        <f t="shared" si="25"/>
        <v>13844.580696770343</v>
      </c>
      <c r="Y78" s="458">
        <v>5167.1699999999992</v>
      </c>
      <c r="Z78" s="458">
        <v>0</v>
      </c>
      <c r="AA78" s="439">
        <f t="shared" si="26"/>
        <v>23489.027219722408</v>
      </c>
      <c r="AB78" s="446">
        <f t="shared" si="27"/>
        <v>0</v>
      </c>
      <c r="AC78" s="441">
        <f t="shared" si="28"/>
        <v>23489.027219722408</v>
      </c>
      <c r="AD78" s="443"/>
      <c r="AE78" s="441">
        <f>+AC78-P78</f>
        <v>9538.6934431383033</v>
      </c>
      <c r="AF78" s="441">
        <f t="shared" si="8"/>
        <v>1676.2841342700369</v>
      </c>
      <c r="AG78" s="441">
        <f t="shared" si="30"/>
        <v>11214.977577408341</v>
      </c>
      <c r="AI78" s="285"/>
      <c r="AJ78" s="980" t="str">
        <f>IF(ISNA(VLOOKUP(A78,'ATC Att GG ER21-2601'!$D$74:$D$126,1,FALSE)),"No","Yes")</f>
        <v>Yes</v>
      </c>
      <c r="AK78" s="977"/>
      <c r="AL78" s="977"/>
      <c r="AM78" s="977"/>
      <c r="AN78" s="977"/>
      <c r="AO78" s="977"/>
    </row>
    <row r="79" spans="1:41">
      <c r="A79" s="436">
        <v>19248</v>
      </c>
      <c r="B79" s="346" t="s">
        <v>918</v>
      </c>
      <c r="C79" s="978">
        <v>63832.09</v>
      </c>
      <c r="D79" s="444">
        <f t="shared" si="10"/>
        <v>2.6778514384506489E-2</v>
      </c>
      <c r="E79" s="451">
        <f t="shared" ref="E79:E87" si="31">C79*D79</f>
        <v>1709.3285402581128</v>
      </c>
      <c r="F79" s="440">
        <v>63197.760000000002</v>
      </c>
      <c r="G79" s="444">
        <f t="shared" si="11"/>
        <v>7.9997587171902834E-2</v>
      </c>
      <c r="H79" s="439">
        <f t="shared" ref="H79:H87" si="32">F79*G79</f>
        <v>5055.6683146689938</v>
      </c>
      <c r="I79" s="440">
        <v>1832.51</v>
      </c>
      <c r="J79" s="456">
        <v>0</v>
      </c>
      <c r="K79" s="439">
        <f t="shared" ref="K79:K87" si="33">E79+H79+I79+J79</f>
        <v>8597.5068549271073</v>
      </c>
      <c r="L79" s="440">
        <v>0</v>
      </c>
      <c r="M79" s="441">
        <f t="shared" ref="M79:M87" si="34">K79+L79</f>
        <v>8597.5068549271073</v>
      </c>
      <c r="N79" s="442">
        <f t="shared" si="12"/>
        <v>9.0773724580810086E-5</v>
      </c>
      <c r="O79" s="443"/>
      <c r="P79" s="441">
        <f t="shared" ref="P79:P87" si="35">+$P$43*N79</f>
        <v>8580.9666889465025</v>
      </c>
      <c r="Q79" s="442">
        <f t="shared" si="14"/>
        <v>9.0773724580810059E-5</v>
      </c>
      <c r="R79" s="443"/>
      <c r="S79" s="458">
        <v>70611.401153846149</v>
      </c>
      <c r="T79" s="444">
        <f t="shared" si="15"/>
        <v>2.5506445626609038E-2</v>
      </c>
      <c r="U79" s="445">
        <f t="shared" ref="U79:U87" si="36">S79*T79</f>
        <v>1801.0458641492555</v>
      </c>
      <c r="V79" s="458">
        <v>69978.25961538461</v>
      </c>
      <c r="W79" s="444">
        <f t="shared" si="16"/>
        <v>8.0050160797355885E-2</v>
      </c>
      <c r="X79" s="439">
        <f t="shared" ref="X79:X87" si="37">V79*W79</f>
        <v>5601.7709345306539</v>
      </c>
      <c r="Y79" s="458">
        <v>1876.0950000000003</v>
      </c>
      <c r="Z79" s="458">
        <v>0</v>
      </c>
      <c r="AA79" s="439">
        <f t="shared" ref="AA79:AA87" si="38">U79+X79+Y79+Z79</f>
        <v>9278.9117986799101</v>
      </c>
      <c r="AB79" s="446">
        <f t="shared" ref="AB79:AB87" si="39">L79</f>
        <v>0</v>
      </c>
      <c r="AC79" s="441">
        <f t="shared" ref="AC79:AC87" si="40">AA79+AB79</f>
        <v>9278.9117986799101</v>
      </c>
      <c r="AD79" s="443"/>
      <c r="AE79" s="441">
        <f t="shared" ref="AE79:AE87" si="41">+AC79-P79</f>
        <v>697.94510973340766</v>
      </c>
      <c r="AF79" s="441">
        <f t="shared" si="8"/>
        <v>122.65351864086611</v>
      </c>
      <c r="AG79" s="441">
        <f t="shared" ref="AG79:AG87" si="42">+AE79+AF79</f>
        <v>820.59862837427374</v>
      </c>
      <c r="AI79" s="285"/>
      <c r="AJ79" s="980" t="str">
        <f>IF(ISNA(VLOOKUP(A79,'ATC Att GG ER21-2601'!$D$74:$D$126,1,FALSE)),"No","Yes")</f>
        <v>Yes</v>
      </c>
      <c r="AK79" s="977"/>
      <c r="AL79" s="977"/>
      <c r="AM79" s="977"/>
      <c r="AN79" s="977"/>
      <c r="AO79" s="977"/>
    </row>
    <row r="80" spans="1:41">
      <c r="A80" s="436">
        <v>19265</v>
      </c>
      <c r="B80" s="346" t="s">
        <v>919</v>
      </c>
      <c r="C80" s="978">
        <v>1256603.98</v>
      </c>
      <c r="D80" s="444">
        <f t="shared" si="10"/>
        <v>2.6778514384506489E-2</v>
      </c>
      <c r="E80" s="451">
        <f t="shared" si="31"/>
        <v>33649.987754058107</v>
      </c>
      <c r="F80" s="440">
        <v>1239953.98</v>
      </c>
      <c r="G80" s="444">
        <f t="shared" si="11"/>
        <v>7.9997587171902834E-2</v>
      </c>
      <c r="H80" s="439">
        <f t="shared" si="32"/>
        <v>99193.326604197864</v>
      </c>
      <c r="I80" s="440">
        <v>36075.01</v>
      </c>
      <c r="J80" s="456">
        <v>0</v>
      </c>
      <c r="K80" s="439">
        <f t="shared" si="33"/>
        <v>168918.32435825598</v>
      </c>
      <c r="L80" s="440">
        <v>0</v>
      </c>
      <c r="M80" s="441">
        <f t="shared" si="34"/>
        <v>168918.32435825598</v>
      </c>
      <c r="N80" s="442">
        <f t="shared" si="12"/>
        <v>1.7834641728911157E-3</v>
      </c>
      <c r="O80" s="443"/>
      <c r="P80" s="441">
        <f t="shared" si="35"/>
        <v>168593.35373954108</v>
      </c>
      <c r="Q80" s="442">
        <f t="shared" si="14"/>
        <v>1.7834641728911153E-3</v>
      </c>
      <c r="R80" s="443"/>
      <c r="S80" s="458">
        <v>124059.72769230769</v>
      </c>
      <c r="T80" s="444">
        <f t="shared" si="15"/>
        <v>2.5506445626609038E-2</v>
      </c>
      <c r="U80" s="445">
        <f t="shared" si="36"/>
        <v>3164.3226988357696</v>
      </c>
      <c r="V80" s="458">
        <v>124059.72769230769</v>
      </c>
      <c r="W80" s="444">
        <f t="shared" si="16"/>
        <v>8.0050160797355885E-2</v>
      </c>
      <c r="X80" s="439">
        <f t="shared" si="37"/>
        <v>9931.0011502454145</v>
      </c>
      <c r="Y80" s="458">
        <v>0</v>
      </c>
      <c r="Z80" s="458">
        <v>0</v>
      </c>
      <c r="AA80" s="439">
        <f t="shared" si="38"/>
        <v>13095.323849081184</v>
      </c>
      <c r="AB80" s="446">
        <f t="shared" si="39"/>
        <v>0</v>
      </c>
      <c r="AC80" s="441">
        <f t="shared" si="40"/>
        <v>13095.323849081184</v>
      </c>
      <c r="AD80" s="443"/>
      <c r="AE80" s="441">
        <f t="shared" si="41"/>
        <v>-155498.0298904599</v>
      </c>
      <c r="AF80" s="441">
        <f t="shared" si="8"/>
        <v>-27326.47631140006</v>
      </c>
      <c r="AG80" s="441">
        <f t="shared" si="42"/>
        <v>-182824.50620185997</v>
      </c>
      <c r="AI80" s="285"/>
      <c r="AJ80" s="980" t="str">
        <f>IF(ISNA(VLOOKUP(A80,'ATC Att GG ER21-2601'!$D$74:$D$126,1,FALSE)),"No","Yes")</f>
        <v>Yes</v>
      </c>
      <c r="AK80" s="977"/>
      <c r="AL80" s="977"/>
      <c r="AM80" s="977"/>
      <c r="AN80" s="977"/>
      <c r="AO80" s="977"/>
    </row>
    <row r="81" spans="1:41">
      <c r="A81" s="436">
        <v>20625</v>
      </c>
      <c r="B81" s="346" t="s">
        <v>906</v>
      </c>
      <c r="C81" s="978">
        <v>4734823.3600000003</v>
      </c>
      <c r="D81" s="444">
        <f t="shared" si="10"/>
        <v>2.6778514384506489E-2</v>
      </c>
      <c r="E81" s="451">
        <f t="shared" si="31"/>
        <v>126791.53545385736</v>
      </c>
      <c r="F81" s="440">
        <v>4582477.87</v>
      </c>
      <c r="G81" s="444">
        <f t="shared" si="11"/>
        <v>7.9997587171902834E-2</v>
      </c>
      <c r="H81" s="439">
        <f t="shared" si="32"/>
        <v>366587.17286864063</v>
      </c>
      <c r="I81" s="440">
        <v>135151.71</v>
      </c>
      <c r="J81" s="456">
        <v>0</v>
      </c>
      <c r="K81" s="439">
        <f t="shared" si="33"/>
        <v>628530.41832249798</v>
      </c>
      <c r="L81" s="440">
        <v>0</v>
      </c>
      <c r="M81" s="441">
        <f t="shared" si="34"/>
        <v>628530.41832249798</v>
      </c>
      <c r="N81" s="442">
        <f t="shared" si="12"/>
        <v>6.636115335083557E-3</v>
      </c>
      <c r="O81" s="443"/>
      <c r="P81" s="441">
        <f t="shared" si="35"/>
        <v>627321.23086637456</v>
      </c>
      <c r="Q81" s="442">
        <f t="shared" si="14"/>
        <v>6.6361153350835561E-3</v>
      </c>
      <c r="R81" s="443"/>
      <c r="S81" s="458">
        <v>4540864.4142307676</v>
      </c>
      <c r="T81" s="444">
        <f t="shared" si="15"/>
        <v>2.5506445626609038E-2</v>
      </c>
      <c r="U81" s="445">
        <f t="shared" si="36"/>
        <v>115821.31127938097</v>
      </c>
      <c r="V81" s="458">
        <v>4381817.3369230758</v>
      </c>
      <c r="W81" s="444">
        <f t="shared" si="16"/>
        <v>8.0050160797355885E-2</v>
      </c>
      <c r="X81" s="439">
        <f t="shared" si="37"/>
        <v>350765.18240533397</v>
      </c>
      <c r="Y81" s="458">
        <v>131244.47</v>
      </c>
      <c r="Z81" s="458">
        <v>0</v>
      </c>
      <c r="AA81" s="439">
        <f t="shared" si="38"/>
        <v>597830.96368471498</v>
      </c>
      <c r="AB81" s="446">
        <f t="shared" si="39"/>
        <v>0</v>
      </c>
      <c r="AC81" s="441">
        <f t="shared" si="40"/>
        <v>597830.96368471498</v>
      </c>
      <c r="AD81" s="443"/>
      <c r="AE81" s="441">
        <f t="shared" si="41"/>
        <v>-29490.267181659583</v>
      </c>
      <c r="AF81" s="441">
        <f t="shared" si="8"/>
        <v>-5182.4777981056623</v>
      </c>
      <c r="AG81" s="441">
        <f t="shared" si="42"/>
        <v>-34672.744979765244</v>
      </c>
      <c r="AI81" s="285"/>
      <c r="AJ81" s="980" t="str">
        <f>IF(ISNA(VLOOKUP(A81,'ATC Att GG ER21-2601'!$D$74:$D$126,1,FALSE)),"No","Yes")</f>
        <v>Yes</v>
      </c>
      <c r="AK81" s="977"/>
      <c r="AL81" s="977"/>
      <c r="AM81" s="977"/>
      <c r="AN81" s="977"/>
      <c r="AO81" s="977"/>
    </row>
    <row r="82" spans="1:41">
      <c r="A82" s="436">
        <v>22047</v>
      </c>
      <c r="B82" s="346" t="s">
        <v>923</v>
      </c>
      <c r="C82" s="978">
        <v>652762.71</v>
      </c>
      <c r="D82" s="444">
        <f t="shared" si="10"/>
        <v>2.6778514384506489E-2</v>
      </c>
      <c r="E82" s="451">
        <f t="shared" si="31"/>
        <v>17480.015619404436</v>
      </c>
      <c r="F82" s="440">
        <v>641230.56999999995</v>
      </c>
      <c r="G82" s="444">
        <f t="shared" si="11"/>
        <v>7.9997587171902834E-2</v>
      </c>
      <c r="H82" s="439">
        <f t="shared" si="32"/>
        <v>51296.898420863938</v>
      </c>
      <c r="I82" s="440">
        <v>17298.21</v>
      </c>
      <c r="J82" s="456">
        <v>0</v>
      </c>
      <c r="K82" s="439">
        <f t="shared" si="33"/>
        <v>86075.124040268362</v>
      </c>
      <c r="L82" s="440">
        <v>0</v>
      </c>
      <c r="M82" s="441">
        <f t="shared" si="34"/>
        <v>86075.124040268362</v>
      </c>
      <c r="N82" s="442">
        <f t="shared" si="12"/>
        <v>9.0879364619670657E-4</v>
      </c>
      <c r="O82" s="443"/>
      <c r="P82" s="441">
        <f t="shared" si="35"/>
        <v>85909.529890423481</v>
      </c>
      <c r="Q82" s="442">
        <f t="shared" si="14"/>
        <v>9.0879364619670636E-4</v>
      </c>
      <c r="R82" s="443"/>
      <c r="S82" s="458">
        <v>441591.16153846157</v>
      </c>
      <c r="T82" s="444">
        <f t="shared" si="15"/>
        <v>2.5506445626609038E-2</v>
      </c>
      <c r="U82" s="445">
        <f t="shared" si="36"/>
        <v>11263.420950971898</v>
      </c>
      <c r="V82" s="458">
        <v>436362.96461538452</v>
      </c>
      <c r="W82" s="444">
        <f t="shared" si="16"/>
        <v>8.0050160797355885E-2</v>
      </c>
      <c r="X82" s="439">
        <f t="shared" si="37"/>
        <v>34930.925483472449</v>
      </c>
      <c r="Y82" s="458">
        <v>15103.679999999997</v>
      </c>
      <c r="Z82" s="458">
        <v>0</v>
      </c>
      <c r="AA82" s="439">
        <f t="shared" si="38"/>
        <v>61298.026434444342</v>
      </c>
      <c r="AB82" s="446">
        <f t="shared" si="39"/>
        <v>0</v>
      </c>
      <c r="AC82" s="441">
        <f t="shared" si="40"/>
        <v>61298.026434444342</v>
      </c>
      <c r="AD82" s="443"/>
      <c r="AE82" s="441">
        <f t="shared" si="41"/>
        <v>-24611.503455979138</v>
      </c>
      <c r="AF82" s="441">
        <f t="shared" si="8"/>
        <v>-4325.1073126233641</v>
      </c>
      <c r="AG82" s="441">
        <f t="shared" si="42"/>
        <v>-28936.610768602503</v>
      </c>
      <c r="AI82" s="285"/>
      <c r="AJ82" s="980" t="str">
        <f>IF(ISNA(VLOOKUP(A82,'ATC Att GG ER21-2601'!$D$74:$D$126,1,FALSE)),"No","Yes")</f>
        <v>Yes</v>
      </c>
      <c r="AK82" s="977"/>
      <c r="AL82" s="977"/>
      <c r="AM82" s="977"/>
      <c r="AN82" s="977"/>
      <c r="AO82" s="977"/>
    </row>
    <row r="83" spans="1:41">
      <c r="A83" s="436">
        <v>22048</v>
      </c>
      <c r="B83" s="346" t="s">
        <v>924</v>
      </c>
      <c r="C83" s="978">
        <v>29507.79</v>
      </c>
      <c r="D83" s="444">
        <f t="shared" si="10"/>
        <v>2.6778514384506489E-2</v>
      </c>
      <c r="E83" s="451">
        <f t="shared" si="31"/>
        <v>790.17477896999674</v>
      </c>
      <c r="F83" s="440">
        <v>29181.98</v>
      </c>
      <c r="G83" s="444">
        <f t="shared" si="11"/>
        <v>7.9997587171902834E-2</v>
      </c>
      <c r="H83" s="439">
        <f t="shared" si="32"/>
        <v>2334.4879888987252</v>
      </c>
      <c r="I83" s="440">
        <v>847.12</v>
      </c>
      <c r="J83" s="456">
        <v>0</v>
      </c>
      <c r="K83" s="439">
        <f t="shared" si="33"/>
        <v>3971.7827678687217</v>
      </c>
      <c r="L83" s="440">
        <v>0</v>
      </c>
      <c r="M83" s="441">
        <f t="shared" si="34"/>
        <v>3971.7827678687217</v>
      </c>
      <c r="N83" s="442">
        <f t="shared" si="12"/>
        <v>4.1934658634055791E-5</v>
      </c>
      <c r="O83" s="443"/>
      <c r="P83" s="441">
        <f t="shared" si="35"/>
        <v>3964.1417217691996</v>
      </c>
      <c r="Q83" s="442">
        <f t="shared" si="14"/>
        <v>4.1934658634055785E-5</v>
      </c>
      <c r="R83" s="443"/>
      <c r="S83" s="458">
        <v>34867.695384615385</v>
      </c>
      <c r="T83" s="444">
        <f t="shared" si="15"/>
        <v>2.5506445626609038E-2</v>
      </c>
      <c r="U83" s="445">
        <f t="shared" si="36"/>
        <v>889.35097645285919</v>
      </c>
      <c r="V83" s="458">
        <v>34542.264999999999</v>
      </c>
      <c r="W83" s="444">
        <f t="shared" si="16"/>
        <v>8.0050160797355885E-2</v>
      </c>
      <c r="X83" s="439">
        <f t="shared" si="37"/>
        <v>2765.1138675548782</v>
      </c>
      <c r="Y83" s="458">
        <v>781.25500000000011</v>
      </c>
      <c r="Z83" s="458">
        <v>0</v>
      </c>
      <c r="AA83" s="439">
        <f t="shared" si="38"/>
        <v>4435.7198440077373</v>
      </c>
      <c r="AB83" s="446">
        <f t="shared" si="39"/>
        <v>0</v>
      </c>
      <c r="AC83" s="441">
        <f t="shared" si="40"/>
        <v>4435.7198440077373</v>
      </c>
      <c r="AD83" s="443"/>
      <c r="AE83" s="441">
        <f t="shared" si="41"/>
        <v>471.57812223853762</v>
      </c>
      <c r="AF83" s="441">
        <f t="shared" si="8"/>
        <v>82.872872379179483</v>
      </c>
      <c r="AG83" s="441">
        <f t="shared" si="42"/>
        <v>554.45099461771713</v>
      </c>
      <c r="AI83" s="285"/>
      <c r="AJ83" s="980" t="str">
        <f>IF(ISNA(VLOOKUP(A83,'ATC Att GG ER21-2601'!$D$74:$D$126,1,FALSE)),"No","Yes")</f>
        <v>Yes</v>
      </c>
      <c r="AK83" s="977"/>
      <c r="AL83" s="977"/>
      <c r="AM83" s="977"/>
      <c r="AN83" s="977"/>
      <c r="AO83" s="977"/>
    </row>
    <row r="84" spans="1:41">
      <c r="A84" s="436">
        <v>22145</v>
      </c>
      <c r="B84" s="346" t="s">
        <v>921</v>
      </c>
      <c r="C84" s="978">
        <v>2867573.34</v>
      </c>
      <c r="D84" s="444">
        <f t="shared" si="10"/>
        <v>2.6778514384506489E-2</v>
      </c>
      <c r="E84" s="451">
        <f t="shared" si="31"/>
        <v>76789.353933817314</v>
      </c>
      <c r="F84" s="440">
        <v>2816912.88</v>
      </c>
      <c r="G84" s="444">
        <f t="shared" si="11"/>
        <v>7.9997587171902834E-2</v>
      </c>
      <c r="H84" s="439">
        <f t="shared" si="32"/>
        <v>225346.23367345586</v>
      </c>
      <c r="I84" s="440">
        <v>75990.69</v>
      </c>
      <c r="J84" s="456">
        <v>0</v>
      </c>
      <c r="K84" s="439">
        <f t="shared" si="33"/>
        <v>378126.27760727319</v>
      </c>
      <c r="L84" s="440">
        <v>0</v>
      </c>
      <c r="M84" s="441">
        <f t="shared" si="34"/>
        <v>378126.27760727319</v>
      </c>
      <c r="N84" s="442">
        <f t="shared" si="12"/>
        <v>3.9923120922688189E-3</v>
      </c>
      <c r="O84" s="443"/>
      <c r="P84" s="441">
        <f t="shared" si="35"/>
        <v>377398.82585890172</v>
      </c>
      <c r="Q84" s="442">
        <f t="shared" si="14"/>
        <v>3.9923120922688181E-3</v>
      </c>
      <c r="R84" s="443"/>
      <c r="S84" s="458">
        <v>2044067.8038461534</v>
      </c>
      <c r="T84" s="444">
        <f t="shared" si="15"/>
        <v>2.5506445626609038E-2</v>
      </c>
      <c r="U84" s="445">
        <f t="shared" si="36"/>
        <v>52136.90429590406</v>
      </c>
      <c r="V84" s="458">
        <v>2023785.3546153842</v>
      </c>
      <c r="W84" s="444">
        <f t="shared" si="16"/>
        <v>8.0050160797355885E-2</v>
      </c>
      <c r="X84" s="439">
        <f t="shared" si="37"/>
        <v>162004.34305629542</v>
      </c>
      <c r="Y84" s="458">
        <v>58301.760000000002</v>
      </c>
      <c r="Z84" s="458">
        <v>0</v>
      </c>
      <c r="AA84" s="439">
        <f t="shared" si="38"/>
        <v>272443.00735219946</v>
      </c>
      <c r="AB84" s="446">
        <f t="shared" si="39"/>
        <v>0</v>
      </c>
      <c r="AC84" s="441">
        <f t="shared" si="40"/>
        <v>272443.00735219946</v>
      </c>
      <c r="AD84" s="443"/>
      <c r="AE84" s="441">
        <f t="shared" si="41"/>
        <v>-104955.81850670226</v>
      </c>
      <c r="AF84" s="441">
        <f t="shared" si="8"/>
        <v>-18444.431033546905</v>
      </c>
      <c r="AG84" s="441">
        <f t="shared" si="42"/>
        <v>-123400.24954024916</v>
      </c>
      <c r="AI84" s="285"/>
      <c r="AJ84" s="980" t="str">
        <f>IF(ISNA(VLOOKUP(A84,'ATC Att GG ER21-2601'!$D$74:$D$126,1,FALSE)),"No","Yes")</f>
        <v>Yes</v>
      </c>
      <c r="AK84" s="977"/>
      <c r="AL84" s="977"/>
      <c r="AM84" s="977"/>
      <c r="AN84" s="977"/>
      <c r="AO84" s="977"/>
    </row>
    <row r="85" spans="1:41">
      <c r="A85" s="436">
        <v>22146</v>
      </c>
      <c r="B85" s="346" t="s">
        <v>922</v>
      </c>
      <c r="C85" s="978">
        <v>1064961.8</v>
      </c>
      <c r="D85" s="444">
        <f t="shared" si="10"/>
        <v>2.6778514384506489E-2</v>
      </c>
      <c r="E85" s="451">
        <f t="shared" si="31"/>
        <v>28518.094880249922</v>
      </c>
      <c r="F85" s="440">
        <v>1050851.06</v>
      </c>
      <c r="G85" s="444">
        <f t="shared" si="11"/>
        <v>7.9997587171902834E-2</v>
      </c>
      <c r="H85" s="439">
        <f t="shared" si="32"/>
        <v>84065.549277036494</v>
      </c>
      <c r="I85" s="440">
        <v>30573.279999999999</v>
      </c>
      <c r="J85" s="456">
        <v>0</v>
      </c>
      <c r="K85" s="439">
        <f t="shared" si="33"/>
        <v>143156.92415728641</v>
      </c>
      <c r="L85" s="440">
        <v>0</v>
      </c>
      <c r="M85" s="441">
        <f t="shared" si="34"/>
        <v>143156.92415728641</v>
      </c>
      <c r="N85" s="442">
        <f t="shared" si="12"/>
        <v>1.5114715724643187E-3</v>
      </c>
      <c r="O85" s="443"/>
      <c r="P85" s="441">
        <f t="shared" si="35"/>
        <v>142881.51416613563</v>
      </c>
      <c r="Q85" s="442">
        <f t="shared" si="14"/>
        <v>1.5114715724643185E-3</v>
      </c>
      <c r="R85" s="443"/>
      <c r="S85" s="458">
        <v>995063.85230769264</v>
      </c>
      <c r="T85" s="444">
        <f t="shared" si="15"/>
        <v>2.5506445626609038E-2</v>
      </c>
      <c r="U85" s="445">
        <f t="shared" si="36"/>
        <v>25380.542043890287</v>
      </c>
      <c r="V85" s="458">
        <v>980885.33192307688</v>
      </c>
      <c r="W85" s="444">
        <f t="shared" si="16"/>
        <v>8.0050160797355885E-2</v>
      </c>
      <c r="X85" s="439">
        <f t="shared" si="37"/>
        <v>78520.028544210101</v>
      </c>
      <c r="Y85" s="458">
        <v>36664.68</v>
      </c>
      <c r="Z85" s="458">
        <v>0</v>
      </c>
      <c r="AA85" s="439">
        <f t="shared" si="38"/>
        <v>140565.25058810037</v>
      </c>
      <c r="AB85" s="446">
        <f t="shared" si="39"/>
        <v>0</v>
      </c>
      <c r="AC85" s="441">
        <f t="shared" si="40"/>
        <v>140565.25058810037</v>
      </c>
      <c r="AD85" s="443"/>
      <c r="AE85" s="441">
        <f t="shared" si="41"/>
        <v>-2316.2635780352575</v>
      </c>
      <c r="AF85" s="441">
        <f t="shared" si="8"/>
        <v>-407.04902718527939</v>
      </c>
      <c r="AG85" s="441">
        <f t="shared" si="42"/>
        <v>-2723.3126052205371</v>
      </c>
      <c r="AI85" s="285"/>
      <c r="AJ85" s="980" t="str">
        <f>IF(ISNA(VLOOKUP(A85,'ATC Att GG ER21-2601'!$D$74:$D$126,1,FALSE)),"No","Yes")</f>
        <v>Yes</v>
      </c>
      <c r="AK85" s="977"/>
      <c r="AL85" s="977"/>
      <c r="AM85" s="977"/>
      <c r="AN85" s="977"/>
      <c r="AO85" s="977"/>
    </row>
    <row r="86" spans="1:41">
      <c r="A86" s="436">
        <v>21648</v>
      </c>
      <c r="B86" s="346" t="s">
        <v>988</v>
      </c>
      <c r="C86" s="978">
        <v>2024607.19</v>
      </c>
      <c r="D86" s="444">
        <f t="shared" si="10"/>
        <v>2.6778514384506489E-2</v>
      </c>
      <c r="E86" s="451">
        <f t="shared" si="31"/>
        <v>54215.972760390257</v>
      </c>
      <c r="F86" s="440">
        <v>2004487.66</v>
      </c>
      <c r="G86" s="444">
        <f t="shared" si="11"/>
        <v>7.9997587171902834E-2</v>
      </c>
      <c r="H86" s="439">
        <f t="shared" si="32"/>
        <v>160354.17631585352</v>
      </c>
      <c r="I86" s="440">
        <v>58123.1</v>
      </c>
      <c r="J86" s="456">
        <v>0</v>
      </c>
      <c r="K86" s="439">
        <f t="shared" si="33"/>
        <v>272693.24907624378</v>
      </c>
      <c r="L86" s="440">
        <v>0</v>
      </c>
      <c r="M86" s="441">
        <f t="shared" si="34"/>
        <v>272693.24907624378</v>
      </c>
      <c r="N86" s="442">
        <f t="shared" si="12"/>
        <v>2.8791348822836227E-3</v>
      </c>
      <c r="O86" s="443"/>
      <c r="P86" s="441">
        <f t="shared" si="35"/>
        <v>272168.63284997968</v>
      </c>
      <c r="Q86" s="442">
        <f t="shared" si="14"/>
        <v>2.8791348822836218E-3</v>
      </c>
      <c r="R86" s="443"/>
      <c r="S86" s="458">
        <v>2777493.3796153842</v>
      </c>
      <c r="T86" s="444">
        <f t="shared" si="15"/>
        <v>2.5506445626609038E-2</v>
      </c>
      <c r="U86" s="445">
        <f t="shared" si="36"/>
        <v>70843.983865426373</v>
      </c>
      <c r="V86" s="458">
        <v>2747231.4957692306</v>
      </c>
      <c r="W86" s="444">
        <f t="shared" si="16"/>
        <v>8.0050160797355885E-2</v>
      </c>
      <c r="X86" s="439">
        <f t="shared" si="37"/>
        <v>219916.32298388742</v>
      </c>
      <c r="Y86" s="458">
        <v>72417.150000000009</v>
      </c>
      <c r="Z86" s="458">
        <v>0</v>
      </c>
      <c r="AA86" s="439">
        <f t="shared" si="38"/>
        <v>363177.45684931381</v>
      </c>
      <c r="AB86" s="446">
        <f t="shared" si="39"/>
        <v>0</v>
      </c>
      <c r="AC86" s="441">
        <f t="shared" si="40"/>
        <v>363177.45684931381</v>
      </c>
      <c r="AD86" s="443"/>
      <c r="AE86" s="441">
        <f t="shared" si="41"/>
        <v>91008.823999334127</v>
      </c>
      <c r="AF86" s="441">
        <f t="shared" si="8"/>
        <v>15993.453260456774</v>
      </c>
      <c r="AG86" s="441">
        <f t="shared" si="42"/>
        <v>107002.27725979091</v>
      </c>
      <c r="AI86" s="285"/>
      <c r="AJ86" s="980" t="str">
        <f>IF(ISNA(VLOOKUP(A86,'ATC Att GG ER21-2601'!$D$74:$D$126,1,FALSE)),"No","Yes")</f>
        <v>Yes</v>
      </c>
      <c r="AK86" s="977"/>
      <c r="AL86" s="977"/>
      <c r="AM86" s="977"/>
      <c r="AN86" s="977"/>
      <c r="AO86" s="977"/>
    </row>
    <row r="87" spans="1:41">
      <c r="A87" s="436">
        <v>21812</v>
      </c>
      <c r="B87" s="346" t="s">
        <v>978</v>
      </c>
      <c r="C87" s="978">
        <v>447090.98</v>
      </c>
      <c r="D87" s="444">
        <f t="shared" si="10"/>
        <v>2.6778514384506489E-2</v>
      </c>
      <c r="E87" s="451">
        <f t="shared" si="31"/>
        <v>11972.432239113103</v>
      </c>
      <c r="F87" s="440">
        <v>441660.69</v>
      </c>
      <c r="G87" s="444">
        <f t="shared" si="11"/>
        <v>7.9997587171902834E-2</v>
      </c>
      <c r="H87" s="439">
        <f t="shared" si="32"/>
        <v>35331.789548677756</v>
      </c>
      <c r="I87" s="440">
        <v>12835.24</v>
      </c>
      <c r="J87" s="456">
        <v>0</v>
      </c>
      <c r="K87" s="439">
        <f t="shared" si="33"/>
        <v>60139.461787790853</v>
      </c>
      <c r="L87" s="440">
        <v>0</v>
      </c>
      <c r="M87" s="441">
        <f t="shared" si="34"/>
        <v>60139.461787790853</v>
      </c>
      <c r="N87" s="442">
        <f t="shared" si="12"/>
        <v>6.3496116175057861E-4</v>
      </c>
      <c r="O87" s="443"/>
      <c r="P87" s="441">
        <f t="shared" si="35"/>
        <v>60023.763516566542</v>
      </c>
      <c r="Q87" s="442">
        <f t="shared" si="14"/>
        <v>6.349611617505785E-4</v>
      </c>
      <c r="R87" s="443"/>
      <c r="S87" s="458">
        <v>454428.67230769235</v>
      </c>
      <c r="T87" s="444">
        <f t="shared" si="15"/>
        <v>2.5506445626609038E-2</v>
      </c>
      <c r="U87" s="445">
        <f t="shared" si="36"/>
        <v>11590.860221388291</v>
      </c>
      <c r="V87" s="458">
        <v>449292.61423076916</v>
      </c>
      <c r="W87" s="444">
        <f t="shared" si="16"/>
        <v>8.0050160797355885E-2</v>
      </c>
      <c r="X87" s="439">
        <f t="shared" si="37"/>
        <v>35965.946014237459</v>
      </c>
      <c r="Y87" s="458">
        <v>11665.54</v>
      </c>
      <c r="Z87" s="458">
        <v>0</v>
      </c>
      <c r="AA87" s="439">
        <f t="shared" si="38"/>
        <v>59222.346235625751</v>
      </c>
      <c r="AB87" s="446">
        <f t="shared" si="39"/>
        <v>0</v>
      </c>
      <c r="AC87" s="441">
        <f t="shared" si="40"/>
        <v>59222.346235625751</v>
      </c>
      <c r="AD87" s="443"/>
      <c r="AE87" s="441">
        <f t="shared" si="41"/>
        <v>-801.41728094079008</v>
      </c>
      <c r="AF87" s="441">
        <f t="shared" si="8"/>
        <v>-140.83722062975633</v>
      </c>
      <c r="AG87" s="441">
        <f t="shared" si="42"/>
        <v>-942.25450157054638</v>
      </c>
      <c r="AI87" s="285"/>
      <c r="AJ87" s="980" t="str">
        <f>IF(ISNA(VLOOKUP(A87,'ATC Att GG ER21-2601'!$D$74:$D$126,1,FALSE)),"No","Yes")</f>
        <v>Yes</v>
      </c>
      <c r="AK87" s="977"/>
      <c r="AL87" s="977"/>
      <c r="AM87" s="977"/>
      <c r="AN87" s="977"/>
      <c r="AO87" s="977"/>
    </row>
    <row r="88" spans="1:41">
      <c r="A88" s="436">
        <v>21814</v>
      </c>
      <c r="B88" s="346" t="s">
        <v>979</v>
      </c>
      <c r="C88" s="978">
        <v>507004.47</v>
      </c>
      <c r="D88" s="444">
        <f t="shared" si="10"/>
        <v>2.6778514384506489E-2</v>
      </c>
      <c r="E88" s="451">
        <f t="shared" ref="E88:E96" si="43">C88*D88</f>
        <v>13576.826492904087</v>
      </c>
      <c r="F88" s="440">
        <v>505325.02</v>
      </c>
      <c r="G88" s="444">
        <f t="shared" si="11"/>
        <v>7.9997587171902834E-2</v>
      </c>
      <c r="H88" s="439">
        <f t="shared" ref="H88:H96" si="44">F88*G88</f>
        <v>40424.782337593548</v>
      </c>
      <c r="I88" s="440">
        <v>14555.25</v>
      </c>
      <c r="J88" s="456">
        <v>0</v>
      </c>
      <c r="K88" s="439">
        <f t="shared" ref="K88:K96" si="45">E88+H88+I88+J88</f>
        <v>68556.858830497629</v>
      </c>
      <c r="L88" s="440">
        <v>0</v>
      </c>
      <c r="M88" s="441">
        <f t="shared" ref="M88:M96" si="46">K88+L88</f>
        <v>68556.858830497629</v>
      </c>
      <c r="N88" s="442">
        <f t="shared" si="12"/>
        <v>7.2383326080614459E-4</v>
      </c>
      <c r="O88" s="443"/>
      <c r="P88" s="441">
        <f t="shared" ref="P88:P96" si="47">+$P$43*N88</f>
        <v>68424.966894463229</v>
      </c>
      <c r="Q88" s="442">
        <f t="shared" si="14"/>
        <v>7.2383326080614448E-4</v>
      </c>
      <c r="R88" s="443"/>
      <c r="S88" s="458">
        <v>0</v>
      </c>
      <c r="T88" s="444">
        <f t="shared" si="15"/>
        <v>2.5506445626609038E-2</v>
      </c>
      <c r="U88" s="445">
        <f t="shared" ref="U88:U96" si="48">S88*T88</f>
        <v>0</v>
      </c>
      <c r="V88" s="458">
        <v>0</v>
      </c>
      <c r="W88" s="444">
        <f t="shared" si="16"/>
        <v>8.0050160797355885E-2</v>
      </c>
      <c r="X88" s="439">
        <f t="shared" ref="X88:X96" si="49">V88*W88</f>
        <v>0</v>
      </c>
      <c r="Y88" s="458">
        <v>0</v>
      </c>
      <c r="Z88" s="458">
        <v>0</v>
      </c>
      <c r="AA88" s="439">
        <f t="shared" ref="AA88:AA96" si="50">U88+X88+Y88+Z88</f>
        <v>0</v>
      </c>
      <c r="AB88" s="446">
        <f t="shared" ref="AB88:AB96" si="51">L88</f>
        <v>0</v>
      </c>
      <c r="AC88" s="441">
        <f t="shared" ref="AC88:AC96" si="52">AA88+AB88</f>
        <v>0</v>
      </c>
      <c r="AD88" s="443"/>
      <c r="AE88" s="441">
        <f t="shared" ref="AE88:AE96" si="53">+AC88-P88</f>
        <v>-68424.966894463229</v>
      </c>
      <c r="AF88" s="441">
        <f t="shared" si="8"/>
        <v>-12024.674770909101</v>
      </c>
      <c r="AG88" s="441">
        <f t="shared" ref="AG88:AG96" si="54">+AE88+AF88</f>
        <v>-80449.641665372328</v>
      </c>
      <c r="AI88" s="285"/>
      <c r="AJ88" s="980" t="str">
        <f>IF(ISNA(VLOOKUP(A88,'ATC Att GG ER21-2601'!$D$74:$D$126,1,FALSE)),"No","Yes")</f>
        <v>Yes</v>
      </c>
      <c r="AK88" s="977"/>
      <c r="AL88" s="977"/>
      <c r="AM88" s="977"/>
      <c r="AN88" s="977"/>
      <c r="AO88" s="977"/>
    </row>
    <row r="89" spans="1:41">
      <c r="A89" s="436">
        <v>22085</v>
      </c>
      <c r="B89" s="346" t="s">
        <v>980</v>
      </c>
      <c r="C89" s="978">
        <v>9816.9599999999991</v>
      </c>
      <c r="D89" s="444">
        <f t="shared" si="10"/>
        <v>2.6778514384506489E-2</v>
      </c>
      <c r="E89" s="451">
        <f t="shared" si="43"/>
        <v>262.8836045721248</v>
      </c>
      <c r="F89" s="440">
        <v>9708.56</v>
      </c>
      <c r="G89" s="444">
        <f t="shared" si="11"/>
        <v>7.9997587171902834E-2</v>
      </c>
      <c r="H89" s="439">
        <f t="shared" si="44"/>
        <v>776.66137491364896</v>
      </c>
      <c r="I89" s="440">
        <v>281.83</v>
      </c>
      <c r="J89" s="456">
        <v>0</v>
      </c>
      <c r="K89" s="439">
        <f t="shared" si="45"/>
        <v>1321.3749794857736</v>
      </c>
      <c r="L89" s="440">
        <v>0</v>
      </c>
      <c r="M89" s="441">
        <f t="shared" si="46"/>
        <v>1321.3749794857736</v>
      </c>
      <c r="N89" s="442">
        <f t="shared" si="12"/>
        <v>1.395126872007968E-5</v>
      </c>
      <c r="O89" s="443"/>
      <c r="P89" s="441">
        <f t="shared" si="47"/>
        <v>1318.83287491382</v>
      </c>
      <c r="Q89" s="442">
        <f t="shared" si="14"/>
        <v>1.3951268720079678E-5</v>
      </c>
      <c r="R89" s="443"/>
      <c r="S89" s="458">
        <v>0</v>
      </c>
      <c r="T89" s="444">
        <f t="shared" si="15"/>
        <v>2.5506445626609038E-2</v>
      </c>
      <c r="U89" s="445">
        <f t="shared" si="48"/>
        <v>0</v>
      </c>
      <c r="V89" s="458">
        <v>0</v>
      </c>
      <c r="W89" s="444">
        <f t="shared" si="16"/>
        <v>8.0050160797355885E-2</v>
      </c>
      <c r="X89" s="439">
        <f t="shared" si="49"/>
        <v>0</v>
      </c>
      <c r="Y89" s="458">
        <v>0</v>
      </c>
      <c r="Z89" s="458">
        <v>0</v>
      </c>
      <c r="AA89" s="439">
        <f t="shared" si="50"/>
        <v>0</v>
      </c>
      <c r="AB89" s="446">
        <f t="shared" si="51"/>
        <v>0</v>
      </c>
      <c r="AC89" s="441">
        <f t="shared" si="52"/>
        <v>0</v>
      </c>
      <c r="AD89" s="443"/>
      <c r="AE89" s="441">
        <f t="shared" si="53"/>
        <v>-1318.83287491382</v>
      </c>
      <c r="AF89" s="441">
        <f t="shared" si="8"/>
        <v>-231.76534995598163</v>
      </c>
      <c r="AG89" s="441">
        <f t="shared" si="54"/>
        <v>-1550.5982248698017</v>
      </c>
      <c r="AI89" s="285"/>
      <c r="AJ89" s="980" t="str">
        <f>IF(ISNA(VLOOKUP(A89,'ATC Att GG ER21-2601'!$D$74:$D$126,1,FALSE)),"No","Yes")</f>
        <v>Yes</v>
      </c>
    </row>
    <row r="90" spans="1:41">
      <c r="A90" s="436">
        <v>19146</v>
      </c>
      <c r="B90" s="346" t="s">
        <v>1040</v>
      </c>
      <c r="C90" s="978">
        <v>0</v>
      </c>
      <c r="D90" s="444">
        <f t="shared" si="10"/>
        <v>2.6778514384506489E-2</v>
      </c>
      <c r="E90" s="451">
        <f t="shared" si="43"/>
        <v>0</v>
      </c>
      <c r="F90" s="440">
        <v>0</v>
      </c>
      <c r="G90" s="444">
        <f t="shared" si="11"/>
        <v>7.9997587171902834E-2</v>
      </c>
      <c r="H90" s="439">
        <f t="shared" si="44"/>
        <v>0</v>
      </c>
      <c r="I90" s="440">
        <v>0</v>
      </c>
      <c r="J90" s="456">
        <v>0</v>
      </c>
      <c r="K90" s="439">
        <f t="shared" si="45"/>
        <v>0</v>
      </c>
      <c r="L90" s="440">
        <v>0</v>
      </c>
      <c r="M90" s="441">
        <f t="shared" si="46"/>
        <v>0</v>
      </c>
      <c r="N90" s="442">
        <f t="shared" si="12"/>
        <v>0</v>
      </c>
      <c r="O90" s="443"/>
      <c r="P90" s="441">
        <f t="shared" si="47"/>
        <v>0</v>
      </c>
      <c r="Q90" s="442">
        <f t="shared" si="14"/>
        <v>0</v>
      </c>
      <c r="R90" s="443"/>
      <c r="S90" s="458">
        <v>0</v>
      </c>
      <c r="T90" s="444">
        <f t="shared" si="15"/>
        <v>2.5506445626609038E-2</v>
      </c>
      <c r="U90" s="445">
        <f t="shared" si="48"/>
        <v>0</v>
      </c>
      <c r="V90" s="458">
        <v>0</v>
      </c>
      <c r="W90" s="444">
        <f t="shared" si="16"/>
        <v>8.0050160797355885E-2</v>
      </c>
      <c r="X90" s="439">
        <f t="shared" si="49"/>
        <v>0</v>
      </c>
      <c r="Y90" s="458">
        <v>0</v>
      </c>
      <c r="Z90" s="458">
        <v>0</v>
      </c>
      <c r="AA90" s="439">
        <f t="shared" si="50"/>
        <v>0</v>
      </c>
      <c r="AB90" s="446">
        <f t="shared" si="51"/>
        <v>0</v>
      </c>
      <c r="AC90" s="441">
        <f t="shared" si="52"/>
        <v>0</v>
      </c>
      <c r="AD90" s="443"/>
      <c r="AE90" s="441">
        <f t="shared" si="53"/>
        <v>0</v>
      </c>
      <c r="AF90" s="441">
        <f t="shared" si="8"/>
        <v>0</v>
      </c>
      <c r="AG90" s="441">
        <f t="shared" si="54"/>
        <v>0</v>
      </c>
      <c r="AI90" s="285"/>
      <c r="AJ90" s="980" t="str">
        <f>IF(ISNA(VLOOKUP(A90,'ATC Att GG ER21-2601'!$D$74:$D$126,1,FALSE)),"No","Yes")</f>
        <v>Yes</v>
      </c>
    </row>
    <row r="91" spans="1:41">
      <c r="A91" s="436">
        <v>22225</v>
      </c>
      <c r="B91" s="346" t="s">
        <v>971</v>
      </c>
      <c r="C91" s="978">
        <v>0</v>
      </c>
      <c r="D91" s="444">
        <f t="shared" si="10"/>
        <v>2.6778514384506489E-2</v>
      </c>
      <c r="E91" s="451">
        <f t="shared" ref="E91:E95" si="55">C91*D91</f>
        <v>0</v>
      </c>
      <c r="F91" s="440">
        <v>0</v>
      </c>
      <c r="G91" s="444">
        <f t="shared" si="11"/>
        <v>7.9997587171902834E-2</v>
      </c>
      <c r="H91" s="439">
        <f t="shared" ref="H91:H95" si="56">F91*G91</f>
        <v>0</v>
      </c>
      <c r="I91" s="440">
        <v>0</v>
      </c>
      <c r="J91" s="456">
        <v>0</v>
      </c>
      <c r="K91" s="439">
        <f t="shared" ref="K91:K95" si="57">E91+H91+I91+J91</f>
        <v>0</v>
      </c>
      <c r="L91" s="440">
        <v>0</v>
      </c>
      <c r="M91" s="441">
        <f t="shared" ref="M91:M95" si="58">K91+L91</f>
        <v>0</v>
      </c>
      <c r="N91" s="442">
        <f t="shared" si="12"/>
        <v>0</v>
      </c>
      <c r="O91" s="443"/>
      <c r="P91" s="441">
        <f t="shared" ref="P91:P95" si="59">+$P$43*N91</f>
        <v>0</v>
      </c>
      <c r="Q91" s="442">
        <f t="shared" si="14"/>
        <v>0</v>
      </c>
      <c r="R91" s="443"/>
      <c r="S91" s="458">
        <v>0</v>
      </c>
      <c r="T91" s="444">
        <f t="shared" si="15"/>
        <v>2.5506445626609038E-2</v>
      </c>
      <c r="U91" s="445">
        <f t="shared" ref="U91:U95" si="60">S91*T91</f>
        <v>0</v>
      </c>
      <c r="V91" s="458">
        <v>0</v>
      </c>
      <c r="W91" s="444">
        <f t="shared" si="16"/>
        <v>8.0050160797355885E-2</v>
      </c>
      <c r="X91" s="439">
        <f t="shared" ref="X91:X95" si="61">V91*W91</f>
        <v>0</v>
      </c>
      <c r="Y91" s="458">
        <v>0</v>
      </c>
      <c r="Z91" s="458">
        <v>0</v>
      </c>
      <c r="AA91" s="439">
        <f t="shared" ref="AA91:AA95" si="62">U91+X91+Y91+Z91</f>
        <v>0</v>
      </c>
      <c r="AB91" s="446">
        <f t="shared" ref="AB91:AB95" si="63">L91</f>
        <v>0</v>
      </c>
      <c r="AC91" s="441">
        <f t="shared" ref="AC91:AC95" si="64">AA91+AB91</f>
        <v>0</v>
      </c>
      <c r="AD91" s="443"/>
      <c r="AE91" s="441">
        <f t="shared" ref="AE91:AE95" si="65">+AC91-P91</f>
        <v>0</v>
      </c>
      <c r="AF91" s="441">
        <f t="shared" ref="AF91:AF95" si="66">IF(ISERR((AE91/$AE$99)*$AF$43),0,(AE91/$AE$99)*$AF$43)</f>
        <v>0</v>
      </c>
      <c r="AG91" s="441">
        <f t="shared" ref="AG91:AG95" si="67">+AE91+AF91</f>
        <v>0</v>
      </c>
      <c r="AI91" s="285"/>
      <c r="AJ91" s="980" t="str">
        <f>IF(ISNA(VLOOKUP(A91,'ATC Att GG ER21-2601'!$D$74:$D$126,1,FALSE)),"No","Yes")</f>
        <v>Yes</v>
      </c>
    </row>
    <row r="92" spans="1:41">
      <c r="A92" s="436">
        <v>24445</v>
      </c>
      <c r="B92" s="346" t="s">
        <v>972</v>
      </c>
      <c r="C92" s="978">
        <v>0</v>
      </c>
      <c r="D92" s="444">
        <f t="shared" si="10"/>
        <v>2.6778514384506489E-2</v>
      </c>
      <c r="E92" s="451">
        <f t="shared" si="55"/>
        <v>0</v>
      </c>
      <c r="F92" s="440">
        <v>0</v>
      </c>
      <c r="G92" s="444">
        <f t="shared" si="11"/>
        <v>7.9997587171902834E-2</v>
      </c>
      <c r="H92" s="439">
        <f t="shared" si="56"/>
        <v>0</v>
      </c>
      <c r="I92" s="440">
        <v>0</v>
      </c>
      <c r="J92" s="456">
        <v>0</v>
      </c>
      <c r="K92" s="439">
        <f t="shared" si="57"/>
        <v>0</v>
      </c>
      <c r="L92" s="440">
        <v>0</v>
      </c>
      <c r="M92" s="441">
        <f t="shared" si="58"/>
        <v>0</v>
      </c>
      <c r="N92" s="442">
        <f t="shared" si="12"/>
        <v>0</v>
      </c>
      <c r="O92" s="443"/>
      <c r="P92" s="441">
        <f t="shared" si="59"/>
        <v>0</v>
      </c>
      <c r="Q92" s="442">
        <f t="shared" si="14"/>
        <v>0</v>
      </c>
      <c r="R92" s="443"/>
      <c r="S92" s="458">
        <v>0</v>
      </c>
      <c r="T92" s="444">
        <f t="shared" si="15"/>
        <v>2.5506445626609038E-2</v>
      </c>
      <c r="U92" s="445">
        <f t="shared" si="60"/>
        <v>0</v>
      </c>
      <c r="V92" s="458">
        <v>0</v>
      </c>
      <c r="W92" s="444">
        <f t="shared" si="16"/>
        <v>8.0050160797355885E-2</v>
      </c>
      <c r="X92" s="439">
        <f t="shared" si="61"/>
        <v>0</v>
      </c>
      <c r="Y92" s="458">
        <v>0</v>
      </c>
      <c r="Z92" s="458">
        <v>0</v>
      </c>
      <c r="AA92" s="439">
        <f t="shared" si="62"/>
        <v>0</v>
      </c>
      <c r="AB92" s="446">
        <f t="shared" si="63"/>
        <v>0</v>
      </c>
      <c r="AC92" s="441">
        <f t="shared" si="64"/>
        <v>0</v>
      </c>
      <c r="AD92" s="443"/>
      <c r="AE92" s="441">
        <f t="shared" si="65"/>
        <v>0</v>
      </c>
      <c r="AF92" s="441">
        <f t="shared" si="66"/>
        <v>0</v>
      </c>
      <c r="AG92" s="441">
        <f t="shared" si="67"/>
        <v>0</v>
      </c>
      <c r="AI92" s="285"/>
      <c r="AJ92" s="980" t="str">
        <f>IF(ISNA(VLOOKUP(A92,'ATC Att GG ER21-2601'!$D$74:$D$126,1,FALSE)),"No","Yes")</f>
        <v>Yes</v>
      </c>
    </row>
    <row r="93" spans="1:41">
      <c r="A93" s="436">
        <v>25262</v>
      </c>
      <c r="B93" s="346" t="s">
        <v>970</v>
      </c>
      <c r="C93" s="978">
        <v>0</v>
      </c>
      <c r="D93" s="444">
        <f t="shared" si="10"/>
        <v>2.6778514384506489E-2</v>
      </c>
      <c r="E93" s="451">
        <f t="shared" si="55"/>
        <v>0</v>
      </c>
      <c r="F93" s="440">
        <v>0</v>
      </c>
      <c r="G93" s="444">
        <f t="shared" si="11"/>
        <v>7.9997587171902834E-2</v>
      </c>
      <c r="H93" s="439">
        <f t="shared" si="56"/>
        <v>0</v>
      </c>
      <c r="I93" s="440">
        <v>0</v>
      </c>
      <c r="J93" s="456">
        <v>0</v>
      </c>
      <c r="K93" s="439">
        <f t="shared" si="57"/>
        <v>0</v>
      </c>
      <c r="L93" s="440">
        <v>0</v>
      </c>
      <c r="M93" s="441">
        <f t="shared" si="58"/>
        <v>0</v>
      </c>
      <c r="N93" s="442">
        <f t="shared" si="12"/>
        <v>0</v>
      </c>
      <c r="O93" s="443"/>
      <c r="P93" s="441">
        <f t="shared" si="59"/>
        <v>0</v>
      </c>
      <c r="Q93" s="442">
        <f t="shared" si="14"/>
        <v>0</v>
      </c>
      <c r="R93" s="443"/>
      <c r="S93" s="458">
        <v>2850489.3919230774</v>
      </c>
      <c r="T93" s="444">
        <f t="shared" si="15"/>
        <v>2.5506445626609038E-2</v>
      </c>
      <c r="U93" s="445">
        <f t="shared" si="60"/>
        <v>72705.852684311831</v>
      </c>
      <c r="V93" s="458">
        <v>2818363.7507692305</v>
      </c>
      <c r="W93" s="444">
        <f t="shared" si="16"/>
        <v>8.0050160797355885E-2</v>
      </c>
      <c r="X93" s="439">
        <f t="shared" si="61"/>
        <v>225610.47143451596</v>
      </c>
      <c r="Y93" s="458">
        <v>76328.27</v>
      </c>
      <c r="Z93" s="458">
        <v>0</v>
      </c>
      <c r="AA93" s="439">
        <f t="shared" si="62"/>
        <v>374644.59411882784</v>
      </c>
      <c r="AB93" s="446">
        <f t="shared" si="63"/>
        <v>0</v>
      </c>
      <c r="AC93" s="441">
        <f t="shared" si="64"/>
        <v>374644.59411882784</v>
      </c>
      <c r="AD93" s="443"/>
      <c r="AE93" s="441">
        <f t="shared" si="65"/>
        <v>374644.59411882784</v>
      </c>
      <c r="AF93" s="441">
        <f t="shared" si="66"/>
        <v>65838.240095994552</v>
      </c>
      <c r="AG93" s="441">
        <f t="shared" si="67"/>
        <v>440482.83421482239</v>
      </c>
      <c r="AI93" s="285"/>
      <c r="AJ93" s="980" t="str">
        <f>IF(ISNA(VLOOKUP(A93,'ATC Att GG ER21-2601'!$D$74:$D$126,1,FALSE)),"No","Yes")</f>
        <v>Yes</v>
      </c>
    </row>
    <row r="94" spans="1:41">
      <c r="A94" s="436">
        <v>50036</v>
      </c>
      <c r="B94" s="346" t="s">
        <v>969</v>
      </c>
      <c r="C94" s="978">
        <v>0</v>
      </c>
      <c r="D94" s="444">
        <f t="shared" si="10"/>
        <v>2.6778514384506489E-2</v>
      </c>
      <c r="E94" s="451">
        <f t="shared" si="55"/>
        <v>0</v>
      </c>
      <c r="F94" s="440">
        <v>0</v>
      </c>
      <c r="G94" s="444">
        <f t="shared" si="11"/>
        <v>7.9997587171902834E-2</v>
      </c>
      <c r="H94" s="439">
        <f t="shared" si="56"/>
        <v>0</v>
      </c>
      <c r="I94" s="440">
        <v>0</v>
      </c>
      <c r="J94" s="456">
        <v>0</v>
      </c>
      <c r="K94" s="439">
        <f t="shared" si="57"/>
        <v>0</v>
      </c>
      <c r="L94" s="440">
        <v>0</v>
      </c>
      <c r="M94" s="441">
        <f t="shared" si="58"/>
        <v>0</v>
      </c>
      <c r="N94" s="442">
        <f t="shared" si="12"/>
        <v>0</v>
      </c>
      <c r="O94" s="443"/>
      <c r="P94" s="441">
        <f t="shared" si="59"/>
        <v>0</v>
      </c>
      <c r="Q94" s="442">
        <f t="shared" si="14"/>
        <v>0</v>
      </c>
      <c r="R94" s="443"/>
      <c r="S94" s="458">
        <v>3730817.4050000003</v>
      </c>
      <c r="T94" s="444">
        <f t="shared" si="15"/>
        <v>2.5506445626609038E-2</v>
      </c>
      <c r="U94" s="445">
        <f t="shared" si="60"/>
        <v>95159.891283439138</v>
      </c>
      <c r="V94" s="458">
        <v>3688800.9592307699</v>
      </c>
      <c r="W94" s="444">
        <f t="shared" si="16"/>
        <v>8.0050160797355885E-2</v>
      </c>
      <c r="X94" s="439">
        <f t="shared" si="61"/>
        <v>295289.10993586376</v>
      </c>
      <c r="Y94" s="458">
        <v>99454.944999999978</v>
      </c>
      <c r="Z94" s="458">
        <v>0</v>
      </c>
      <c r="AA94" s="439">
        <f t="shared" si="62"/>
        <v>489903.94621930283</v>
      </c>
      <c r="AB94" s="446">
        <f t="shared" si="63"/>
        <v>0</v>
      </c>
      <c r="AC94" s="441">
        <f t="shared" si="64"/>
        <v>489903.94621930283</v>
      </c>
      <c r="AD94" s="443"/>
      <c r="AE94" s="441">
        <f t="shared" si="65"/>
        <v>489903.94621930283</v>
      </c>
      <c r="AF94" s="441">
        <f t="shared" si="66"/>
        <v>86093.364595383377</v>
      </c>
      <c r="AG94" s="441">
        <f t="shared" si="67"/>
        <v>575997.31081468624</v>
      </c>
      <c r="AI94" s="285"/>
      <c r="AJ94" s="980" t="str">
        <f>IF(ISNA(VLOOKUP(A94,'ATC Att GG ER21-2601'!$D$74:$D$126,1,FALSE)),"No","Yes")</f>
        <v>Yes</v>
      </c>
    </row>
    <row r="95" spans="1:41">
      <c r="A95" s="436"/>
      <c r="B95" s="346"/>
      <c r="C95" s="978">
        <v>0</v>
      </c>
      <c r="D95" s="444">
        <f t="shared" si="10"/>
        <v>2.6778514384506489E-2</v>
      </c>
      <c r="E95" s="451">
        <f t="shared" si="55"/>
        <v>0</v>
      </c>
      <c r="F95" s="440">
        <v>0</v>
      </c>
      <c r="G95" s="444">
        <f t="shared" si="11"/>
        <v>7.9997587171902834E-2</v>
      </c>
      <c r="H95" s="439">
        <f t="shared" si="56"/>
        <v>0</v>
      </c>
      <c r="I95" s="440">
        <v>0</v>
      </c>
      <c r="J95" s="456">
        <v>0</v>
      </c>
      <c r="K95" s="439">
        <f t="shared" si="57"/>
        <v>0</v>
      </c>
      <c r="L95" s="440">
        <v>0</v>
      </c>
      <c r="M95" s="441">
        <f t="shared" si="58"/>
        <v>0</v>
      </c>
      <c r="N95" s="442">
        <f t="shared" si="12"/>
        <v>0</v>
      </c>
      <c r="O95" s="443"/>
      <c r="P95" s="441">
        <f t="shared" si="59"/>
        <v>0</v>
      </c>
      <c r="Q95" s="442">
        <f t="shared" si="14"/>
        <v>0</v>
      </c>
      <c r="R95" s="443"/>
      <c r="S95" s="458">
        <v>0</v>
      </c>
      <c r="T95" s="444">
        <f t="shared" si="15"/>
        <v>2.5506445626609038E-2</v>
      </c>
      <c r="U95" s="445">
        <f t="shared" si="60"/>
        <v>0</v>
      </c>
      <c r="V95" s="458">
        <v>0</v>
      </c>
      <c r="W95" s="444">
        <f t="shared" si="16"/>
        <v>8.0050160797355885E-2</v>
      </c>
      <c r="X95" s="439">
        <f t="shared" si="61"/>
        <v>0</v>
      </c>
      <c r="Y95" s="458">
        <v>0</v>
      </c>
      <c r="Z95" s="458">
        <v>0</v>
      </c>
      <c r="AA95" s="439">
        <f t="shared" si="62"/>
        <v>0</v>
      </c>
      <c r="AB95" s="446">
        <f t="shared" si="63"/>
        <v>0</v>
      </c>
      <c r="AC95" s="441">
        <f t="shared" si="64"/>
        <v>0</v>
      </c>
      <c r="AD95" s="443"/>
      <c r="AE95" s="441">
        <f t="shared" si="65"/>
        <v>0</v>
      </c>
      <c r="AF95" s="441">
        <f t="shared" si="66"/>
        <v>0</v>
      </c>
      <c r="AG95" s="441">
        <f t="shared" si="67"/>
        <v>0</v>
      </c>
      <c r="AI95" s="285"/>
      <c r="AJ95" s="980" t="str">
        <f>IF(ISNA(VLOOKUP(A95,'ATC Att GG ER21-2601'!$D$74:$D$126,1,FALSE)),"No","Yes")</f>
        <v>No</v>
      </c>
    </row>
    <row r="96" spans="1:41">
      <c r="A96" s="537"/>
      <c r="B96" s="538"/>
      <c r="C96" s="978">
        <v>0</v>
      </c>
      <c r="D96" s="444">
        <f t="shared" si="10"/>
        <v>2.6778514384506489E-2</v>
      </c>
      <c r="E96" s="451">
        <f t="shared" si="43"/>
        <v>0</v>
      </c>
      <c r="F96" s="440">
        <v>0</v>
      </c>
      <c r="G96" s="444">
        <f t="shared" si="11"/>
        <v>7.9997587171902834E-2</v>
      </c>
      <c r="H96" s="439">
        <f t="shared" si="44"/>
        <v>0</v>
      </c>
      <c r="I96" s="440">
        <v>0</v>
      </c>
      <c r="J96" s="456">
        <v>0</v>
      </c>
      <c r="K96" s="439">
        <f t="shared" si="45"/>
        <v>0</v>
      </c>
      <c r="L96" s="440">
        <v>0</v>
      </c>
      <c r="M96" s="441">
        <f t="shared" si="46"/>
        <v>0</v>
      </c>
      <c r="N96" s="442">
        <f t="shared" si="12"/>
        <v>0</v>
      </c>
      <c r="O96" s="443"/>
      <c r="P96" s="441">
        <f t="shared" si="47"/>
        <v>0</v>
      </c>
      <c r="Q96" s="442">
        <f t="shared" si="14"/>
        <v>0</v>
      </c>
      <c r="R96" s="443"/>
      <c r="S96" s="458">
        <v>0</v>
      </c>
      <c r="T96" s="444">
        <f t="shared" si="15"/>
        <v>2.5506445626609038E-2</v>
      </c>
      <c r="U96" s="445">
        <f t="shared" si="48"/>
        <v>0</v>
      </c>
      <c r="V96" s="458">
        <v>0</v>
      </c>
      <c r="W96" s="444">
        <f t="shared" si="16"/>
        <v>8.0050160797355885E-2</v>
      </c>
      <c r="X96" s="439">
        <f t="shared" si="49"/>
        <v>0</v>
      </c>
      <c r="Y96" s="458">
        <v>0</v>
      </c>
      <c r="Z96" s="458">
        <v>0</v>
      </c>
      <c r="AA96" s="439">
        <f t="shared" si="50"/>
        <v>0</v>
      </c>
      <c r="AB96" s="446">
        <f t="shared" si="51"/>
        <v>0</v>
      </c>
      <c r="AC96" s="441">
        <f t="shared" si="52"/>
        <v>0</v>
      </c>
      <c r="AD96" s="443"/>
      <c r="AE96" s="441">
        <f t="shared" si="53"/>
        <v>0</v>
      </c>
      <c r="AF96" s="441">
        <f>IF(ISERR((AE96/$AE$99)*$AF$43),0,(AE96/$AE$99)*$AF$43)</f>
        <v>0</v>
      </c>
      <c r="AG96" s="441">
        <f t="shared" si="54"/>
        <v>0</v>
      </c>
      <c r="AI96" s="285"/>
      <c r="AJ96" s="980" t="str">
        <f>IF(ISNA(VLOOKUP(A96,'ATC Att GG ER21-2601'!$D$74:$D$126,1,FALSE)),"No","Yes")</f>
        <v>No</v>
      </c>
    </row>
    <row r="97" spans="1:36">
      <c r="A97" s="436"/>
      <c r="B97" s="346"/>
      <c r="C97" s="978"/>
      <c r="D97" s="444"/>
      <c r="E97" s="451"/>
      <c r="F97" s="440"/>
      <c r="G97" s="444"/>
      <c r="H97" s="439"/>
      <c r="I97" s="440"/>
      <c r="J97" s="456"/>
      <c r="K97" s="439"/>
      <c r="L97" s="440"/>
      <c r="M97" s="441"/>
      <c r="N97" s="442"/>
      <c r="O97" s="443"/>
      <c r="P97" s="441"/>
      <c r="Q97" s="442"/>
      <c r="R97" s="443"/>
      <c r="S97" s="458"/>
      <c r="T97" s="444"/>
      <c r="U97" s="445"/>
      <c r="V97" s="533"/>
      <c r="W97" s="444"/>
      <c r="X97" s="439"/>
      <c r="Y97" s="533"/>
      <c r="Z97" s="458"/>
      <c r="AA97" s="439"/>
      <c r="AB97" s="534"/>
      <c r="AC97" s="441"/>
      <c r="AD97" s="443"/>
      <c r="AE97" s="441"/>
      <c r="AF97" s="441"/>
      <c r="AG97" s="441"/>
      <c r="AI97" s="285"/>
      <c r="AJ97" s="980" t="str">
        <f>IF(ISNA(VLOOKUP(A97,'ATC Att GG ER21-2601'!$D$74:$D$126,1,FALSE)),"No","Yes")</f>
        <v>No</v>
      </c>
    </row>
    <row r="98" spans="1:36">
      <c r="A98" s="437"/>
      <c r="B98" s="438"/>
      <c r="C98" s="448"/>
      <c r="D98" s="449"/>
      <c r="E98" s="450"/>
      <c r="F98" s="449"/>
      <c r="G98" s="449"/>
      <c r="H98" s="447"/>
      <c r="I98" s="449"/>
      <c r="J98" s="447"/>
      <c r="K98" s="447"/>
      <c r="L98" s="447"/>
      <c r="M98" s="447"/>
      <c r="N98" s="447"/>
      <c r="O98" s="443"/>
      <c r="P98" s="447"/>
      <c r="Q98" s="447"/>
      <c r="R98" s="443"/>
      <c r="S98" s="448"/>
      <c r="T98" s="449"/>
      <c r="U98" s="450"/>
      <c r="V98" s="449"/>
      <c r="W98" s="449"/>
      <c r="X98" s="447"/>
      <c r="Y98" s="449"/>
      <c r="Z98" s="447"/>
      <c r="AA98" s="447"/>
      <c r="AB98" s="449"/>
      <c r="AC98" s="447"/>
      <c r="AD98" s="443"/>
      <c r="AE98" s="447"/>
      <c r="AF98" s="447"/>
      <c r="AG98" s="447"/>
      <c r="AI98" s="285"/>
    </row>
    <row r="99" spans="1:36">
      <c r="A99" s="312"/>
      <c r="B99" s="312" t="s">
        <v>449</v>
      </c>
      <c r="C99" s="274">
        <f>SUM(C47:C98)</f>
        <v>873904030.77000046</v>
      </c>
      <c r="D99" s="335"/>
      <c r="E99" s="274">
        <f>SUM(E47:E98)</f>
        <v>23401851.658652648</v>
      </c>
      <c r="F99" s="274">
        <f>SUM(F47:F98)</f>
        <v>652343901.7700001</v>
      </c>
      <c r="G99" s="279"/>
      <c r="H99" s="274">
        <f t="shared" ref="H99:N99" si="68">SUM(H47:H98)</f>
        <v>52185938.147904776</v>
      </c>
      <c r="I99" s="274">
        <f t="shared" si="68"/>
        <v>22732581.360000018</v>
      </c>
      <c r="J99" s="274">
        <f t="shared" si="68"/>
        <v>0</v>
      </c>
      <c r="K99" s="274">
        <f t="shared" si="68"/>
        <v>98320371.166557446</v>
      </c>
      <c r="L99" s="274">
        <f t="shared" si="68"/>
        <v>-3606764.3973067612</v>
      </c>
      <c r="M99" s="274">
        <f t="shared" si="68"/>
        <v>94713606.769250646</v>
      </c>
      <c r="N99" s="81">
        <f t="shared" si="68"/>
        <v>1</v>
      </c>
      <c r="O99" s="334"/>
      <c r="P99" s="274">
        <f>SUM(P47:P98)</f>
        <v>94531393.622693256</v>
      </c>
      <c r="Q99" s="81">
        <f>SUM(Q47:Q98)</f>
        <v>0.99999999999999989</v>
      </c>
      <c r="R99" s="334"/>
      <c r="S99" s="274">
        <f>SUM(S47:S98)</f>
        <v>878455850.96230769</v>
      </c>
      <c r="T99" s="335"/>
      <c r="U99" s="274">
        <f>SUM(U47:U98)</f>
        <v>22406286.397946671</v>
      </c>
      <c r="V99" s="274">
        <f>SUM(V47:V98)</f>
        <v>655246780.78004754</v>
      </c>
      <c r="W99" s="279"/>
      <c r="X99" s="274">
        <f t="shared" ref="X99:AC99" si="69">SUM(X47:X98)</f>
        <v>52452610.163392588</v>
      </c>
      <c r="Y99" s="274">
        <f t="shared" si="69"/>
        <v>22727346.794999998</v>
      </c>
      <c r="Z99" s="274">
        <f t="shared" si="69"/>
        <v>0</v>
      </c>
      <c r="AA99" s="274">
        <f t="shared" si="69"/>
        <v>97586243.356339306</v>
      </c>
      <c r="AB99" s="274">
        <f t="shared" si="69"/>
        <v>-3606764.3973067612</v>
      </c>
      <c r="AC99" s="274">
        <f t="shared" si="69"/>
        <v>93979478.959032506</v>
      </c>
      <c r="AD99" s="334"/>
      <c r="AE99" s="274">
        <f>SUM(AE47:AE98)</f>
        <v>-551914.66366077564</v>
      </c>
      <c r="AF99" s="274">
        <f>SUM(AF47:AF98)</f>
        <v>-96990.8299999999</v>
      </c>
      <c r="AG99" s="274">
        <f>SUM(AG47:AG98)</f>
        <v>-648905.49366077443</v>
      </c>
      <c r="AI99" s="387"/>
    </row>
    <row r="100" spans="1:36">
      <c r="A100" s="334"/>
      <c r="B100" s="334"/>
      <c r="C100" s="334"/>
      <c r="D100" s="334"/>
      <c r="E100" s="337"/>
      <c r="F100" s="334"/>
      <c r="G100" s="334"/>
      <c r="H100" s="334"/>
      <c r="I100" s="334"/>
      <c r="J100" s="334"/>
      <c r="K100" s="334"/>
      <c r="L100" s="338"/>
      <c r="M100" s="334"/>
      <c r="N100" s="334"/>
      <c r="O100" s="334"/>
      <c r="P100" s="334"/>
      <c r="Q100" s="334"/>
      <c r="R100" s="334"/>
      <c r="S100" s="334"/>
      <c r="T100" s="334"/>
      <c r="U100" s="337"/>
      <c r="V100" s="334"/>
      <c r="W100" s="334"/>
      <c r="X100" s="334"/>
      <c r="Y100" s="279"/>
      <c r="Z100" s="334"/>
      <c r="AA100" s="334"/>
      <c r="AB100" s="338"/>
      <c r="AC100" s="334"/>
      <c r="AD100" s="334"/>
      <c r="AE100" s="334"/>
      <c r="AF100" s="334"/>
      <c r="AG100" s="334"/>
      <c r="AI100" s="285"/>
    </row>
    <row r="101" spans="1:36" ht="15.75">
      <c r="A101" s="343" t="s">
        <v>400</v>
      </c>
      <c r="B101" s="278"/>
      <c r="C101" s="334"/>
      <c r="D101" s="334"/>
      <c r="E101" s="337"/>
      <c r="F101" s="334"/>
      <c r="G101" s="334"/>
      <c r="H101" s="334"/>
      <c r="I101" s="334"/>
      <c r="J101" s="334"/>
      <c r="K101" s="344"/>
      <c r="L101" s="338"/>
      <c r="M101" s="334"/>
      <c r="N101" s="334"/>
      <c r="O101" s="334"/>
      <c r="P101" s="334"/>
      <c r="Q101" s="334"/>
      <c r="R101" s="334"/>
      <c r="S101" s="334"/>
      <c r="T101" s="334"/>
      <c r="U101" s="337"/>
      <c r="V101" s="334"/>
      <c r="W101" s="334"/>
      <c r="X101" s="334"/>
      <c r="Y101" s="334"/>
      <c r="Z101" s="334"/>
      <c r="AA101" s="344"/>
      <c r="AB101" s="338"/>
      <c r="AC101" s="334"/>
      <c r="AD101" s="334"/>
      <c r="AE101" s="421"/>
      <c r="AF101" s="421"/>
      <c r="AG101" s="421"/>
      <c r="AI101" s="285"/>
    </row>
    <row r="102" spans="1:36" ht="15.75">
      <c r="A102" s="345" t="s">
        <v>768</v>
      </c>
      <c r="B102" s="334"/>
      <c r="C102" s="334"/>
      <c r="D102" s="334"/>
      <c r="E102" s="337"/>
      <c r="F102" s="334"/>
      <c r="G102" s="334"/>
      <c r="H102" s="334"/>
      <c r="I102" s="334"/>
      <c r="J102" s="334"/>
      <c r="K102" s="334"/>
      <c r="L102" s="338"/>
      <c r="M102" s="334"/>
      <c r="N102" s="334"/>
      <c r="O102" s="334"/>
      <c r="P102" s="334"/>
      <c r="Q102" s="334"/>
      <c r="R102" s="334"/>
      <c r="S102" s="334"/>
      <c r="T102" s="334"/>
      <c r="U102" s="337"/>
      <c r="V102" s="334"/>
      <c r="W102" s="334"/>
      <c r="X102" s="334"/>
      <c r="Y102" s="334"/>
      <c r="Z102" s="334"/>
      <c r="AA102" s="334"/>
      <c r="AB102" s="338"/>
      <c r="AC102" s="334"/>
      <c r="AD102" s="334"/>
      <c r="AE102" s="334"/>
      <c r="AF102" s="334"/>
      <c r="AG102" s="334"/>
      <c r="AI102" s="334"/>
    </row>
    <row r="103" spans="1:36" ht="15.75">
      <c r="A103" s="345" t="s">
        <v>769</v>
      </c>
      <c r="B103" s="334"/>
      <c r="C103" s="334"/>
      <c r="D103" s="334"/>
      <c r="E103" s="337"/>
      <c r="F103" s="334"/>
      <c r="G103" s="334"/>
      <c r="H103" s="334"/>
      <c r="I103" s="334"/>
      <c r="J103" s="334"/>
      <c r="K103" s="334"/>
      <c r="L103" s="338"/>
      <c r="M103" s="334"/>
      <c r="N103" s="334"/>
      <c r="O103" s="334"/>
      <c r="P103" s="334"/>
      <c r="Q103" s="334"/>
      <c r="R103" s="334"/>
      <c r="S103" s="334"/>
      <c r="T103" s="334"/>
      <c r="U103" s="337"/>
      <c r="V103" s="334"/>
      <c r="W103" s="334"/>
      <c r="X103" s="334"/>
      <c r="Y103" s="334"/>
      <c r="Z103" s="334"/>
      <c r="AA103" s="334"/>
      <c r="AB103" s="338"/>
      <c r="AC103" s="334"/>
      <c r="AD103" s="334"/>
      <c r="AE103" s="334"/>
      <c r="AF103" s="334"/>
      <c r="AG103" s="334"/>
      <c r="AI103" s="334"/>
    </row>
    <row r="104" spans="1:36" ht="15.75">
      <c r="A104" s="345" t="s">
        <v>770</v>
      </c>
      <c r="B104" s="334"/>
      <c r="C104" s="334"/>
      <c r="D104" s="334"/>
      <c r="E104" s="337"/>
      <c r="F104" s="334"/>
      <c r="G104" s="334"/>
      <c r="H104" s="334"/>
      <c r="I104" s="334"/>
      <c r="J104" s="334"/>
      <c r="K104" s="334"/>
      <c r="L104" s="334"/>
      <c r="M104" s="334"/>
      <c r="N104" s="334"/>
      <c r="O104" s="334"/>
      <c r="P104" s="334"/>
      <c r="Q104" s="334"/>
      <c r="R104" s="334"/>
      <c r="S104" s="334"/>
      <c r="T104" s="334"/>
      <c r="U104" s="337"/>
      <c r="V104" s="334"/>
      <c r="W104" s="334"/>
      <c r="X104" s="334"/>
      <c r="Y104" s="334"/>
      <c r="Z104" s="334"/>
      <c r="AA104" s="334"/>
      <c r="AB104" s="334"/>
      <c r="AC104" s="334"/>
      <c r="AD104" s="334"/>
      <c r="AE104" s="334"/>
      <c r="AF104" s="334"/>
      <c r="AG104" s="334"/>
      <c r="AI104" s="334"/>
    </row>
    <row r="105" spans="1:36" ht="15.75">
      <c r="A105" s="345" t="s">
        <v>771</v>
      </c>
      <c r="B105" s="334"/>
      <c r="C105" s="334"/>
      <c r="D105" s="334"/>
      <c r="E105" s="337"/>
      <c r="F105" s="334"/>
      <c r="G105" s="334"/>
      <c r="H105" s="334"/>
      <c r="I105" s="334"/>
      <c r="J105" s="334"/>
      <c r="K105" s="334"/>
      <c r="L105" s="334"/>
      <c r="M105" s="334"/>
      <c r="N105" s="334"/>
      <c r="O105" s="334"/>
      <c r="P105" s="334"/>
      <c r="Q105" s="334"/>
      <c r="R105" s="334"/>
      <c r="S105" s="334"/>
      <c r="T105" s="334"/>
      <c r="U105" s="337"/>
      <c r="V105" s="334"/>
      <c r="W105" s="334"/>
      <c r="X105" s="334"/>
      <c r="Y105" s="334"/>
      <c r="Z105" s="334"/>
      <c r="AA105" s="334"/>
      <c r="AB105" s="334"/>
      <c r="AC105" s="334"/>
      <c r="AD105" s="334"/>
      <c r="AE105" s="334"/>
      <c r="AF105" s="334"/>
      <c r="AG105" s="334"/>
      <c r="AI105" s="334"/>
    </row>
    <row r="106" spans="1:36" ht="15.75">
      <c r="A106" s="345" t="s">
        <v>772</v>
      </c>
      <c r="B106" s="346"/>
      <c r="C106" s="346"/>
      <c r="D106" s="346"/>
      <c r="E106" s="346"/>
      <c r="F106" s="346"/>
      <c r="G106" s="346"/>
      <c r="H106" s="346"/>
      <c r="I106" s="346"/>
      <c r="J106" s="346"/>
      <c r="K106" s="346"/>
      <c r="L106" s="346"/>
      <c r="M106" s="346"/>
      <c r="N106" s="334"/>
      <c r="O106" s="334"/>
      <c r="P106" s="334"/>
      <c r="Q106" s="334"/>
      <c r="R106" s="334"/>
      <c r="S106" s="334"/>
      <c r="U106" s="267"/>
      <c r="AD106" s="334"/>
      <c r="AE106" s="334"/>
      <c r="AF106" s="334"/>
      <c r="AG106" s="334"/>
      <c r="AI106" s="334"/>
    </row>
    <row r="107" spans="1:36" ht="15.75">
      <c r="A107" s="345" t="s">
        <v>727</v>
      </c>
      <c r="B107" s="346"/>
      <c r="C107" s="346"/>
      <c r="D107" s="346"/>
      <c r="E107" s="346"/>
      <c r="F107" s="346"/>
      <c r="G107" s="346"/>
      <c r="H107" s="346"/>
      <c r="I107" s="346"/>
      <c r="J107" s="346"/>
      <c r="K107" s="346"/>
      <c r="L107" s="346"/>
      <c r="M107" s="346"/>
      <c r="N107" s="334"/>
      <c r="O107" s="334"/>
      <c r="P107" s="334"/>
      <c r="Q107" s="334"/>
      <c r="R107" s="334"/>
      <c r="S107" s="334"/>
      <c r="U107" s="267"/>
      <c r="AD107" s="334"/>
      <c r="AE107" s="334"/>
      <c r="AF107" s="334"/>
      <c r="AG107" s="334"/>
      <c r="AI107" s="334"/>
    </row>
    <row r="108" spans="1:36" ht="15.75" thickBot="1">
      <c r="A108" s="336"/>
      <c r="B108" s="336"/>
      <c r="C108" s="336"/>
      <c r="D108" s="336"/>
      <c r="E108" s="347"/>
      <c r="F108" s="336"/>
      <c r="G108" s="336"/>
      <c r="H108" s="336"/>
      <c r="I108" s="336"/>
      <c r="J108" s="336"/>
      <c r="K108" s="336"/>
      <c r="L108" s="336"/>
      <c r="M108" s="336"/>
      <c r="N108" s="336"/>
      <c r="O108" s="336"/>
      <c r="P108" s="336"/>
      <c r="Q108" s="336"/>
      <c r="R108" s="336"/>
      <c r="S108" s="336"/>
      <c r="T108" s="336"/>
      <c r="U108" s="347"/>
      <c r="V108" s="336"/>
      <c r="W108" s="336"/>
      <c r="X108" s="336"/>
      <c r="Y108" s="336"/>
      <c r="Z108" s="336"/>
      <c r="AA108" s="336"/>
      <c r="AB108" s="336"/>
      <c r="AC108" s="336"/>
      <c r="AD108" s="336"/>
      <c r="AE108" s="336"/>
      <c r="AF108" s="336"/>
      <c r="AG108" s="336"/>
      <c r="AH108" s="277"/>
      <c r="AI108" s="334"/>
    </row>
    <row r="113" spans="2:3">
      <c r="B113" s="319"/>
      <c r="C113" s="319"/>
    </row>
    <row r="114" spans="2:3">
      <c r="B114" s="270"/>
      <c r="C114" s="270"/>
    </row>
    <row r="115" spans="2:3">
      <c r="B115" s="270"/>
      <c r="C115" s="270"/>
    </row>
    <row r="116" spans="2:3">
      <c r="B116" s="270"/>
      <c r="C116" s="270"/>
    </row>
    <row r="117" spans="2:3">
      <c r="B117" s="270"/>
      <c r="C117" s="270"/>
    </row>
    <row r="118" spans="2:3">
      <c r="B118" s="270"/>
      <c r="C118" s="270"/>
    </row>
    <row r="119" spans="2:3">
      <c r="B119" s="270"/>
      <c r="C119" s="270"/>
    </row>
    <row r="120" spans="2:3">
      <c r="B120" s="270"/>
      <c r="C120" s="270"/>
    </row>
    <row r="121" spans="2:3">
      <c r="B121" s="270"/>
      <c r="C121" s="270"/>
    </row>
    <row r="122" spans="2:3">
      <c r="B122" s="270"/>
      <c r="C122" s="270"/>
    </row>
    <row r="123" spans="2:3">
      <c r="B123" s="270"/>
      <c r="C123" s="270"/>
    </row>
    <row r="124" spans="2:3">
      <c r="B124" s="270"/>
      <c r="C124" s="270"/>
    </row>
    <row r="125" spans="2:3">
      <c r="B125" s="270"/>
      <c r="C125" s="270"/>
    </row>
    <row r="126" spans="2:3">
      <c r="B126" s="270"/>
      <c r="C126" s="270"/>
    </row>
    <row r="127" spans="2:3">
      <c r="B127" s="270"/>
      <c r="C127" s="270"/>
    </row>
    <row r="128" spans="2:3">
      <c r="B128" s="270"/>
      <c r="C128" s="270"/>
    </row>
    <row r="129" spans="2:3">
      <c r="B129" s="270"/>
      <c r="C129" s="270"/>
    </row>
    <row r="130" spans="2:3">
      <c r="B130" s="270"/>
      <c r="C130" s="270"/>
    </row>
    <row r="131" spans="2:3">
      <c r="B131" s="270"/>
      <c r="C131" s="270"/>
    </row>
    <row r="132" spans="2:3">
      <c r="B132" s="270"/>
      <c r="C132" s="270"/>
    </row>
    <row r="133" spans="2:3">
      <c r="B133" s="270"/>
      <c r="C133" s="270"/>
    </row>
    <row r="134" spans="2:3">
      <c r="B134" s="270"/>
      <c r="C134" s="270"/>
    </row>
    <row r="135" spans="2:3">
      <c r="B135" s="270"/>
      <c r="C135" s="270"/>
    </row>
    <row r="136" spans="2:3">
      <c r="B136" s="270"/>
      <c r="C136" s="270"/>
    </row>
    <row r="137" spans="2:3">
      <c r="C137" s="270"/>
    </row>
  </sheetData>
  <mergeCells count="4">
    <mergeCell ref="C40:N40"/>
    <mergeCell ref="P40:Q40"/>
    <mergeCell ref="S40:AC40"/>
    <mergeCell ref="AE40:AG40"/>
  </mergeCells>
  <pageMargins left="0.25" right="0.25" top="0.75" bottom="0.75" header="0.3" footer="0.3"/>
  <pageSetup scale="21" orientation="landscape" r:id="rId1"/>
  <colBreaks count="1" manualBreakCount="1">
    <brk id="33"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29DC9-A1FB-4234-A3F8-2F0FFAEE30A4}">
  <sheetPr codeName="Sheet30"/>
  <dimension ref="A1:E31"/>
  <sheetViews>
    <sheetView zoomScaleNormal="100" zoomScaleSheetLayoutView="100" workbookViewId="0">
      <pane xSplit="1" ySplit="2" topLeftCell="B3" activePane="bottomRight" state="frozen"/>
      <selection activeCell="B3" sqref="B3"/>
      <selection pane="topRight" activeCell="B3" sqref="B3"/>
      <selection pane="bottomLeft" activeCell="B3" sqref="B3"/>
      <selection pane="bottomRight" activeCell="E23" sqref="E23"/>
    </sheetView>
  </sheetViews>
  <sheetFormatPr defaultColWidth="9.140625" defaultRowHeight="15"/>
  <cols>
    <col min="1" max="1" width="9.140625" style="391"/>
    <col min="2" max="2" width="34.140625" style="397" customWidth="1"/>
    <col min="3" max="5" width="15.5703125" style="397" customWidth="1"/>
    <col min="6" max="16384" width="9.140625" style="397"/>
  </cols>
  <sheetData>
    <row r="1" spans="1:5">
      <c r="A1" s="395"/>
    </row>
    <row r="2" spans="1:5">
      <c r="B2" s="396" t="s">
        <v>1248</v>
      </c>
      <c r="C2" s="394"/>
      <c r="D2" s="394"/>
      <c r="E2" s="391"/>
    </row>
    <row r="3" spans="1:5">
      <c r="B3" s="386" t="s">
        <v>1249</v>
      </c>
      <c r="C3" s="394"/>
      <c r="D3" s="394"/>
      <c r="E3" s="391"/>
    </row>
    <row r="4" spans="1:5">
      <c r="B4" s="394" t="s">
        <v>799</v>
      </c>
      <c r="C4" s="394"/>
      <c r="D4" s="394"/>
      <c r="E4" s="391"/>
    </row>
    <row r="5" spans="1:5">
      <c r="B5" s="398" t="str">
        <f>IF($E$18&lt;0,"Applicable Annual Quarter","Month")</f>
        <v>Applicable Annual Quarter</v>
      </c>
      <c r="C5" s="398" t="str">
        <f>IF($E$18&lt;0,"","Debt Amount")</f>
        <v/>
      </c>
      <c r="D5" s="398" t="str">
        <f>IF($E$18&lt;0,"Annual Rate","Monthly Effective Rate")</f>
        <v>Annual Rate</v>
      </c>
      <c r="E5" s="398" t="str">
        <f>IF($E$18&lt;0,"Monthly Rate","Weighted Effective Rate")</f>
        <v>Monthly Rate</v>
      </c>
    </row>
    <row r="6" spans="1:5">
      <c r="B6" s="391"/>
      <c r="C6" s="391"/>
      <c r="D6" s="399"/>
      <c r="E6" s="391"/>
    </row>
    <row r="7" spans="1:5">
      <c r="B7" s="400" t="s">
        <v>1250</v>
      </c>
      <c r="C7" s="401" t="s">
        <v>588</v>
      </c>
      <c r="D7" s="402">
        <v>8.5000000000000006E-2</v>
      </c>
      <c r="E7" s="403">
        <f t="shared" ref="E7:E13" si="0">IF($E$18&lt;0,ROUND(D7/12,4),$C7/SUM($C$7:$C$13)*$D7)</f>
        <v>7.1000000000000004E-3</v>
      </c>
    </row>
    <row r="8" spans="1:5">
      <c r="B8" s="400" t="s">
        <v>1251</v>
      </c>
      <c r="C8" s="401" t="s">
        <v>588</v>
      </c>
      <c r="D8" s="402">
        <v>8.5000000000000006E-2</v>
      </c>
      <c r="E8" s="403">
        <f t="shared" si="0"/>
        <v>7.1000000000000004E-3</v>
      </c>
    </row>
    <row r="9" spans="1:5">
      <c r="B9" s="400" t="s">
        <v>1252</v>
      </c>
      <c r="C9" s="401" t="s">
        <v>588</v>
      </c>
      <c r="D9" s="402">
        <v>8.5000000000000006E-2</v>
      </c>
      <c r="E9" s="403">
        <f t="shared" si="0"/>
        <v>7.1000000000000004E-3</v>
      </c>
    </row>
    <row r="10" spans="1:5">
      <c r="B10" s="400" t="s">
        <v>1253</v>
      </c>
      <c r="C10" s="401" t="s">
        <v>588</v>
      </c>
      <c r="D10" s="402">
        <v>8.5199999999999998E-2</v>
      </c>
      <c r="E10" s="403">
        <f t="shared" si="0"/>
        <v>7.1000000000000004E-3</v>
      </c>
    </row>
    <row r="11" spans="1:5">
      <c r="B11" s="400" t="s">
        <v>1254</v>
      </c>
      <c r="C11" s="401" t="s">
        <v>588</v>
      </c>
      <c r="D11" s="402">
        <v>8.0399999999999999E-2</v>
      </c>
      <c r="E11" s="403">
        <f t="shared" si="0"/>
        <v>6.7000000000000002E-3</v>
      </c>
    </row>
    <row r="12" spans="1:5">
      <c r="B12" s="400" t="s">
        <v>1255</v>
      </c>
      <c r="C12" s="401" t="s">
        <v>588</v>
      </c>
      <c r="D12" s="402">
        <v>7.5499999999999998E-2</v>
      </c>
      <c r="E12" s="403">
        <f t="shared" si="0"/>
        <v>6.3E-3</v>
      </c>
    </row>
    <row r="13" spans="1:5">
      <c r="B13" s="400" t="s">
        <v>1256</v>
      </c>
      <c r="C13" s="401" t="s">
        <v>588</v>
      </c>
      <c r="D13" s="402">
        <v>7.4999999999999997E-2</v>
      </c>
      <c r="E13" s="403">
        <f t="shared" si="0"/>
        <v>6.3E-3</v>
      </c>
    </row>
    <row r="14" spans="1:5" s="391" customFormat="1">
      <c r="B14" s="400"/>
      <c r="C14" s="401"/>
      <c r="D14" s="404"/>
    </row>
    <row r="15" spans="1:5" s="391" customFormat="1">
      <c r="B15" s="393"/>
      <c r="C15" s="405" t="str">
        <f>IF($E$18&lt;0,"Average FERC Rate","Average ST Debt Rate")</f>
        <v>Average FERC Rate</v>
      </c>
      <c r="D15" s="406"/>
      <c r="E15" s="415">
        <f>IF(E18&lt;0,AVERAGE(E7:E14)*12,SUM(E7:E14))</f>
        <v>8.1771428571428578E-2</v>
      </c>
    </row>
    <row r="16" spans="1:5" s="391" customFormat="1">
      <c r="B16" s="393"/>
      <c r="C16" s="405"/>
      <c r="D16" s="406"/>
      <c r="E16" s="406"/>
    </row>
    <row r="17" spans="2:5" s="391" customFormat="1">
      <c r="B17" s="393"/>
      <c r="C17" s="405"/>
      <c r="D17" s="406"/>
      <c r="E17" s="406"/>
    </row>
    <row r="18" spans="2:5" s="391" customFormat="1">
      <c r="D18" s="405" t="str">
        <f>IF(E18&lt;0,"Over Collected Amount","Under Collected Amount")</f>
        <v>Over Collected Amount</v>
      </c>
      <c r="E18" s="407">
        <f>'GG True-up Template'!AE99</f>
        <v>-551914.66366077564</v>
      </c>
    </row>
    <row r="19" spans="2:5" s="391" customFormat="1">
      <c r="D19" s="405"/>
      <c r="E19" s="407"/>
    </row>
    <row r="20" spans="2:5" s="391" customFormat="1">
      <c r="D20" s="405" t="s">
        <v>798</v>
      </c>
      <c r="E20" s="391">
        <v>2</v>
      </c>
    </row>
    <row r="21" spans="2:5" s="391" customFormat="1">
      <c r="D21" s="405" t="s">
        <v>797</v>
      </c>
      <c r="E21" s="408">
        <f>ROUND(IF(E18&lt;0,-FV(E15/4,E20*4,0,E18)-E18,FV(E15/4,E20*4,0,-E18)-E18),2)</f>
        <v>-96990.83</v>
      </c>
    </row>
    <row r="22" spans="2:5" s="391" customFormat="1"/>
    <row r="23" spans="2:5" s="391" customFormat="1" ht="15.75" thickBot="1">
      <c r="E23" s="410">
        <f>E18+E21</f>
        <v>-648905.4936607756</v>
      </c>
    </row>
    <row r="24" spans="2:5" s="391" customFormat="1" ht="15.75" thickTop="1"/>
    <row r="25" spans="2:5" s="391" customFormat="1"/>
    <row r="26" spans="2:5" s="391" customFormat="1"/>
    <row r="27" spans="2:5" s="391" customFormat="1"/>
    <row r="28" spans="2:5" s="391" customFormat="1"/>
    <row r="29" spans="2:5" s="391" customFormat="1"/>
    <row r="30" spans="2:5" s="391" customFormat="1"/>
    <row r="31" spans="2:5" s="391" customFormat="1"/>
  </sheetData>
  <pageMargins left="0.7" right="0.7" top="0.75" bottom="0.75" header="0.3" footer="0.3"/>
  <pageSetup orientation="portrait" verticalDpi="597"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A9EF-3D60-4E97-ADB5-65793E274508}">
  <sheetPr codeName="Sheet16">
    <pageSetUpPr fitToPage="1"/>
  </sheetPr>
  <dimension ref="A1:G63"/>
  <sheetViews>
    <sheetView showGridLines="0" zoomScaleNormal="100" zoomScaleSheetLayoutView="90" workbookViewId="0">
      <pane ySplit="3" topLeftCell="A4" activePane="bottomLeft" state="frozen"/>
      <selection activeCell="D121" sqref="D121"/>
      <selection pane="bottomLeft" activeCell="B3" sqref="B3"/>
    </sheetView>
  </sheetViews>
  <sheetFormatPr defaultColWidth="9.140625" defaultRowHeight="12.75"/>
  <cols>
    <col min="1" max="1" width="9.140625" style="82"/>
    <col min="2" max="2" width="12.28515625" style="82" customWidth="1"/>
    <col min="3" max="3" width="20" style="82" bestFit="1" customWidth="1"/>
    <col min="4" max="4" width="39" style="82" customWidth="1"/>
    <col min="5" max="5" width="123.5703125" style="82" customWidth="1"/>
    <col min="6" max="6" width="10.7109375" style="82" customWidth="1"/>
    <col min="7" max="7" width="9.42578125" style="82" customWidth="1"/>
    <col min="8" max="16384" width="9.140625" style="82"/>
  </cols>
  <sheetData>
    <row r="1" spans="1:7">
      <c r="B1" s="148" t="s">
        <v>583</v>
      </c>
      <c r="G1" s="147"/>
    </row>
    <row r="3" spans="1:7" ht="25.5">
      <c r="B3" s="145" t="s">
        <v>557</v>
      </c>
      <c r="C3" s="146" t="s">
        <v>582</v>
      </c>
      <c r="D3" s="146" t="s">
        <v>581</v>
      </c>
      <c r="E3" s="145" t="s">
        <v>580</v>
      </c>
    </row>
    <row r="4" spans="1:7" ht="25.5">
      <c r="A4" s="535"/>
      <c r="B4" s="141">
        <v>345</v>
      </c>
      <c r="C4" s="142">
        <v>39896</v>
      </c>
      <c r="D4" s="143" t="s">
        <v>579</v>
      </c>
      <c r="E4" s="144" t="s">
        <v>578</v>
      </c>
    </row>
    <row r="5" spans="1:7">
      <c r="A5" s="535"/>
      <c r="B5" s="141">
        <v>1453</v>
      </c>
      <c r="C5" s="142">
        <v>39023</v>
      </c>
      <c r="D5" s="143" t="s">
        <v>577</v>
      </c>
      <c r="E5" s="144" t="s">
        <v>576</v>
      </c>
    </row>
    <row r="6" spans="1:7" ht="38.25">
      <c r="A6" s="535"/>
      <c r="B6" s="141">
        <v>352</v>
      </c>
      <c r="C6" s="142">
        <v>39896</v>
      </c>
      <c r="D6" s="143" t="s">
        <v>954</v>
      </c>
      <c r="E6" s="144" t="s">
        <v>575</v>
      </c>
    </row>
    <row r="7" spans="1:7" ht="38.25">
      <c r="A7" s="535"/>
      <c r="B7" s="141">
        <v>356</v>
      </c>
      <c r="C7" s="142">
        <v>41368</v>
      </c>
      <c r="D7" s="143" t="s">
        <v>574</v>
      </c>
      <c r="E7" s="144" t="s">
        <v>573</v>
      </c>
    </row>
    <row r="8" spans="1:7">
      <c r="A8" s="535"/>
      <c r="B8" s="141">
        <v>1616</v>
      </c>
      <c r="C8" s="142">
        <v>39294</v>
      </c>
      <c r="D8" s="143" t="s">
        <v>572</v>
      </c>
      <c r="E8" s="144" t="s">
        <v>571</v>
      </c>
    </row>
    <row r="9" spans="1:7">
      <c r="A9" s="535"/>
      <c r="B9" s="141" t="s">
        <v>459</v>
      </c>
      <c r="C9" s="142" t="s">
        <v>849</v>
      </c>
      <c r="D9" s="143" t="s">
        <v>570</v>
      </c>
      <c r="E9" s="144" t="s">
        <v>569</v>
      </c>
    </row>
    <row r="10" spans="1:7">
      <c r="A10" s="535"/>
      <c r="B10" s="141">
        <v>2837</v>
      </c>
      <c r="C10" s="142">
        <v>40148</v>
      </c>
      <c r="D10" s="143">
        <v>5042</v>
      </c>
      <c r="E10" s="144" t="s">
        <v>568</v>
      </c>
    </row>
    <row r="11" spans="1:7">
      <c r="A11" s="535"/>
      <c r="B11" s="141">
        <v>2793</v>
      </c>
      <c r="C11" s="142">
        <v>40298</v>
      </c>
      <c r="D11" s="143">
        <v>4913</v>
      </c>
      <c r="E11" s="144" t="s">
        <v>567</v>
      </c>
    </row>
    <row r="12" spans="1:7">
      <c r="A12" s="535"/>
      <c r="B12" s="141">
        <v>1950</v>
      </c>
      <c r="C12" s="142">
        <v>41460</v>
      </c>
      <c r="D12" s="143">
        <v>3831</v>
      </c>
      <c r="E12" s="144" t="s">
        <v>566</v>
      </c>
    </row>
    <row r="13" spans="1:7">
      <c r="A13" s="535"/>
      <c r="B13" s="141">
        <v>2846</v>
      </c>
      <c r="C13" s="142">
        <v>41803</v>
      </c>
      <c r="D13" s="143">
        <v>5068</v>
      </c>
      <c r="E13" s="144" t="s">
        <v>563</v>
      </c>
    </row>
    <row r="14" spans="1:7" ht="204">
      <c r="A14" s="535"/>
      <c r="B14" s="141">
        <v>3206</v>
      </c>
      <c r="C14" s="142">
        <v>41460</v>
      </c>
      <c r="D14" s="143" t="s">
        <v>565</v>
      </c>
      <c r="E14" s="139" t="s">
        <v>564</v>
      </c>
    </row>
    <row r="15" spans="1:7">
      <c r="A15" s="535"/>
      <c r="B15" s="141">
        <v>3125</v>
      </c>
      <c r="C15" s="142">
        <v>41460</v>
      </c>
      <c r="D15" s="140">
        <v>5476</v>
      </c>
      <c r="E15" s="139" t="s">
        <v>562</v>
      </c>
    </row>
    <row r="16" spans="1:7">
      <c r="A16" s="535"/>
      <c r="B16" s="141">
        <v>3679</v>
      </c>
      <c r="C16" s="142">
        <v>41803</v>
      </c>
      <c r="D16" s="143" t="s">
        <v>955</v>
      </c>
      <c r="E16" s="139" t="s">
        <v>561</v>
      </c>
    </row>
    <row r="17" spans="1:5">
      <c r="A17" s="535"/>
      <c r="B17" s="141">
        <v>12284</v>
      </c>
      <c r="C17" s="142">
        <v>43077</v>
      </c>
      <c r="D17" s="140" t="s">
        <v>804</v>
      </c>
      <c r="E17" s="139" t="s">
        <v>805</v>
      </c>
    </row>
    <row r="18" spans="1:5">
      <c r="A18" s="535"/>
      <c r="B18" s="141">
        <v>13103</v>
      </c>
      <c r="C18" s="142">
        <v>43077</v>
      </c>
      <c r="D18" s="140">
        <v>22574</v>
      </c>
      <c r="E18" s="139" t="s">
        <v>843</v>
      </c>
    </row>
    <row r="19" spans="1:5">
      <c r="A19" s="535"/>
      <c r="B19" s="141">
        <v>13769</v>
      </c>
      <c r="C19" s="142">
        <v>43475</v>
      </c>
      <c r="D19" s="140">
        <v>22838</v>
      </c>
      <c r="E19" s="139" t="s">
        <v>807</v>
      </c>
    </row>
    <row r="20" spans="1:5">
      <c r="A20" s="535"/>
      <c r="B20" s="141">
        <v>13784</v>
      </c>
      <c r="C20" s="142">
        <v>43475</v>
      </c>
      <c r="D20" s="140">
        <v>22844</v>
      </c>
      <c r="E20" s="139" t="s">
        <v>806</v>
      </c>
    </row>
    <row r="21" spans="1:5">
      <c r="A21" s="535"/>
      <c r="B21" s="141">
        <v>14925</v>
      </c>
      <c r="C21" s="142">
        <v>43475</v>
      </c>
      <c r="D21" s="140">
        <v>23408</v>
      </c>
      <c r="E21" s="139" t="s">
        <v>850</v>
      </c>
    </row>
    <row r="22" spans="1:5">
      <c r="A22" s="535"/>
      <c r="B22" s="141">
        <v>16494</v>
      </c>
      <c r="C22" s="142">
        <v>43815</v>
      </c>
      <c r="D22" s="140">
        <v>24319</v>
      </c>
      <c r="E22" s="139" t="s">
        <v>856</v>
      </c>
    </row>
    <row r="23" spans="1:5">
      <c r="A23" s="535"/>
      <c r="B23" s="141">
        <v>17064</v>
      </c>
      <c r="C23" s="933">
        <v>43815</v>
      </c>
      <c r="D23" s="140" t="s">
        <v>857</v>
      </c>
      <c r="E23" s="139" t="s">
        <v>858</v>
      </c>
    </row>
    <row r="24" spans="1:5">
      <c r="A24" s="535"/>
      <c r="B24" s="141">
        <v>17525</v>
      </c>
      <c r="C24" s="933">
        <v>43875</v>
      </c>
      <c r="D24" s="140" t="s">
        <v>956</v>
      </c>
      <c r="E24" s="139" t="s">
        <v>859</v>
      </c>
    </row>
    <row r="25" spans="1:5">
      <c r="A25" s="535"/>
      <c r="B25" s="213">
        <v>17526</v>
      </c>
      <c r="C25" s="933">
        <v>43843</v>
      </c>
      <c r="D25" s="140">
        <v>24584</v>
      </c>
      <c r="E25" s="139" t="s">
        <v>860</v>
      </c>
    </row>
    <row r="26" spans="1:5">
      <c r="A26" s="535"/>
      <c r="B26" s="213">
        <v>18665</v>
      </c>
      <c r="C26" s="933">
        <v>43781</v>
      </c>
      <c r="D26" s="140" t="s">
        <v>861</v>
      </c>
      <c r="E26" s="139" t="s">
        <v>862</v>
      </c>
    </row>
    <row r="27" spans="1:5">
      <c r="A27" s="535"/>
      <c r="B27" s="213">
        <v>18849</v>
      </c>
      <c r="C27" s="933">
        <v>44204</v>
      </c>
      <c r="D27" s="140" t="s">
        <v>1045</v>
      </c>
      <c r="E27" s="139" t="s">
        <v>897</v>
      </c>
    </row>
    <row r="28" spans="1:5">
      <c r="A28" s="535"/>
      <c r="B28" s="213">
        <v>19145</v>
      </c>
      <c r="C28" s="933">
        <v>44239</v>
      </c>
      <c r="D28" s="140" t="s">
        <v>957</v>
      </c>
      <c r="E28" s="139" t="s">
        <v>899</v>
      </c>
    </row>
    <row r="29" spans="1:5">
      <c r="A29" s="535"/>
      <c r="B29" s="213">
        <v>19267</v>
      </c>
      <c r="C29" s="933">
        <v>44433</v>
      </c>
      <c r="D29" s="140">
        <v>25448</v>
      </c>
      <c r="E29" s="139" t="s">
        <v>958</v>
      </c>
    </row>
    <row r="30" spans="1:5">
      <c r="A30" s="535"/>
      <c r="B30" s="213">
        <v>19246</v>
      </c>
      <c r="C30" s="933">
        <v>44468</v>
      </c>
      <c r="D30" s="140" t="s">
        <v>959</v>
      </c>
      <c r="E30" s="139" t="s">
        <v>960</v>
      </c>
    </row>
    <row r="31" spans="1:5">
      <c r="A31" s="535"/>
      <c r="B31" s="213">
        <v>19248</v>
      </c>
      <c r="C31" s="933">
        <v>44468</v>
      </c>
      <c r="D31" s="140">
        <v>25441</v>
      </c>
      <c r="E31" s="139" t="s">
        <v>961</v>
      </c>
    </row>
    <row r="32" spans="1:5">
      <c r="A32" s="535"/>
      <c r="B32" s="213">
        <v>19265</v>
      </c>
      <c r="C32" s="933">
        <v>44204</v>
      </c>
      <c r="D32" s="140" t="s">
        <v>962</v>
      </c>
      <c r="E32" s="139" t="s">
        <v>963</v>
      </c>
    </row>
    <row r="33" spans="1:5">
      <c r="A33" s="535"/>
      <c r="B33" s="213">
        <v>19269</v>
      </c>
      <c r="C33" s="933">
        <v>44433</v>
      </c>
      <c r="D33" s="140" t="s">
        <v>895</v>
      </c>
      <c r="E33" s="139" t="s">
        <v>896</v>
      </c>
    </row>
    <row r="34" spans="1:5">
      <c r="A34" s="535"/>
      <c r="B34" s="213">
        <v>20625</v>
      </c>
      <c r="C34" s="933">
        <v>44606</v>
      </c>
      <c r="D34" s="140" t="s">
        <v>994</v>
      </c>
      <c r="E34" s="139" t="s">
        <v>898</v>
      </c>
    </row>
    <row r="35" spans="1:5">
      <c r="A35" s="535"/>
      <c r="B35" s="213">
        <v>22045</v>
      </c>
      <c r="C35" s="933">
        <v>44930</v>
      </c>
      <c r="D35" s="140">
        <v>26693</v>
      </c>
      <c r="E35" s="139" t="s">
        <v>997</v>
      </c>
    </row>
    <row r="36" spans="1:5">
      <c r="A36" s="535"/>
      <c r="B36" s="213">
        <v>22145</v>
      </c>
      <c r="C36" s="933">
        <v>44930</v>
      </c>
      <c r="D36" s="140" t="s">
        <v>1046</v>
      </c>
      <c r="E36" s="139" t="s">
        <v>998</v>
      </c>
    </row>
    <row r="37" spans="1:5">
      <c r="A37" s="535"/>
      <c r="B37" s="213">
        <v>22047</v>
      </c>
      <c r="C37" s="933">
        <v>44930</v>
      </c>
      <c r="D37" s="140" t="s">
        <v>989</v>
      </c>
      <c r="E37" s="139" t="s">
        <v>995</v>
      </c>
    </row>
    <row r="38" spans="1:5">
      <c r="A38" s="535"/>
      <c r="B38" s="213">
        <v>22048</v>
      </c>
      <c r="C38" s="933">
        <v>44930</v>
      </c>
      <c r="D38" s="140">
        <v>26700</v>
      </c>
      <c r="E38" s="139" t="s">
        <v>996</v>
      </c>
    </row>
    <row r="39" spans="1:5">
      <c r="A39" s="535"/>
      <c r="B39" s="213">
        <v>22146</v>
      </c>
      <c r="C39" s="933">
        <v>44930</v>
      </c>
      <c r="D39" s="140" t="s">
        <v>1047</v>
      </c>
      <c r="E39" s="139" t="s">
        <v>999</v>
      </c>
    </row>
    <row r="40" spans="1:5">
      <c r="A40" s="535"/>
      <c r="B40" s="213">
        <v>21648</v>
      </c>
      <c r="C40" s="933">
        <v>44930</v>
      </c>
      <c r="D40" s="140" t="s">
        <v>1048</v>
      </c>
      <c r="E40" s="139" t="s">
        <v>1000</v>
      </c>
    </row>
    <row r="41" spans="1:5">
      <c r="A41" s="535"/>
      <c r="B41" s="213">
        <v>21812</v>
      </c>
      <c r="C41" s="933">
        <v>44930</v>
      </c>
      <c r="D41" s="140" t="s">
        <v>1049</v>
      </c>
      <c r="E41" s="139" t="s">
        <v>1001</v>
      </c>
    </row>
    <row r="42" spans="1:5" ht="89.25">
      <c r="A42" s="535"/>
      <c r="B42" s="213">
        <v>21814</v>
      </c>
      <c r="C42" s="933">
        <v>44930</v>
      </c>
      <c r="D42" s="140" t="s">
        <v>990</v>
      </c>
      <c r="E42" s="139" t="s">
        <v>1002</v>
      </c>
    </row>
    <row r="43" spans="1:5" ht="63.75">
      <c r="A43" s="535"/>
      <c r="B43" s="213">
        <v>22085</v>
      </c>
      <c r="C43" s="933">
        <v>44930</v>
      </c>
      <c r="D43" s="140">
        <v>26706</v>
      </c>
      <c r="E43" s="139" t="s">
        <v>1003</v>
      </c>
    </row>
    <row r="44" spans="1:5">
      <c r="A44" s="535"/>
      <c r="B44" s="213">
        <v>1270</v>
      </c>
      <c r="C44" s="933">
        <v>41460</v>
      </c>
      <c r="D44" s="140" t="s">
        <v>1041</v>
      </c>
      <c r="E44" s="139" t="s">
        <v>1042</v>
      </c>
    </row>
    <row r="45" spans="1:5">
      <c r="A45" s="535"/>
      <c r="B45" s="213">
        <v>18925</v>
      </c>
      <c r="C45" s="933">
        <v>44204</v>
      </c>
      <c r="D45" s="140" t="s">
        <v>1043</v>
      </c>
      <c r="E45" s="139" t="s">
        <v>1044</v>
      </c>
    </row>
    <row r="46" spans="1:5">
      <c r="B46" s="213">
        <v>19146</v>
      </c>
      <c r="C46" s="933">
        <v>45205</v>
      </c>
      <c r="D46" s="140" t="s">
        <v>1174</v>
      </c>
      <c r="E46" s="139" t="s">
        <v>1175</v>
      </c>
    </row>
    <row r="47" spans="1:5">
      <c r="B47" s="213">
        <v>18985</v>
      </c>
      <c r="C47" s="933">
        <v>45205</v>
      </c>
      <c r="D47" s="140" t="s">
        <v>1176</v>
      </c>
      <c r="E47" s="139" t="s">
        <v>1177</v>
      </c>
    </row>
    <row r="48" spans="1:5" ht="38.25">
      <c r="B48" s="213">
        <v>22225</v>
      </c>
      <c r="C48" s="933">
        <v>45205</v>
      </c>
      <c r="D48" s="140">
        <v>26742</v>
      </c>
      <c r="E48" s="139" t="s">
        <v>1178</v>
      </c>
    </row>
    <row r="49" spans="2:5">
      <c r="B49" s="213">
        <v>24445</v>
      </c>
      <c r="C49" s="933">
        <v>45205</v>
      </c>
      <c r="D49" s="140">
        <v>27954</v>
      </c>
      <c r="E49" s="139" t="s">
        <v>1179</v>
      </c>
    </row>
    <row r="50" spans="2:5">
      <c r="B50" s="213">
        <v>25262</v>
      </c>
      <c r="C50" s="933">
        <v>45205</v>
      </c>
      <c r="D50" s="140" t="s">
        <v>1180</v>
      </c>
      <c r="E50" s="139" t="s">
        <v>1181</v>
      </c>
    </row>
    <row r="51" spans="2:5">
      <c r="B51" s="213">
        <v>50036</v>
      </c>
      <c r="C51" s="933">
        <v>45250</v>
      </c>
      <c r="D51" s="140" t="s">
        <v>1182</v>
      </c>
      <c r="E51" s="139" t="s">
        <v>1183</v>
      </c>
    </row>
    <row r="52" spans="2:5">
      <c r="B52" s="213">
        <v>22049</v>
      </c>
      <c r="C52" s="933">
        <v>45205</v>
      </c>
      <c r="D52" s="140">
        <v>26701</v>
      </c>
      <c r="E52" s="139" t="s">
        <v>1184</v>
      </c>
    </row>
    <row r="53" spans="2:5">
      <c r="B53" s="213">
        <v>24782</v>
      </c>
      <c r="C53" s="933">
        <v>45029</v>
      </c>
      <c r="D53" s="140">
        <v>28098</v>
      </c>
      <c r="E53" s="139" t="s">
        <v>1185</v>
      </c>
    </row>
    <row r="54" spans="2:5" ht="25.5">
      <c r="B54" s="213">
        <v>50184</v>
      </c>
      <c r="C54" s="933">
        <v>45509</v>
      </c>
      <c r="D54" s="140">
        <v>50321</v>
      </c>
      <c r="E54" s="139" t="s">
        <v>1186</v>
      </c>
    </row>
    <row r="55" spans="2:5">
      <c r="B55" s="213"/>
      <c r="C55" s="933"/>
      <c r="D55" s="140"/>
      <c r="E55" s="139"/>
    </row>
    <row r="56" spans="2:5">
      <c r="B56" s="213"/>
      <c r="C56" s="933"/>
      <c r="D56" s="140"/>
      <c r="E56" s="139"/>
    </row>
    <row r="57" spans="2:5">
      <c r="B57" s="213"/>
      <c r="C57" s="933"/>
      <c r="D57" s="140"/>
      <c r="E57" s="139"/>
    </row>
    <row r="58" spans="2:5">
      <c r="B58" s="213"/>
      <c r="C58" s="933"/>
      <c r="D58" s="140"/>
      <c r="E58" s="139"/>
    </row>
    <row r="59" spans="2:5">
      <c r="B59" s="213"/>
      <c r="C59" s="933"/>
      <c r="D59" s="140"/>
      <c r="E59" s="139"/>
    </row>
    <row r="60" spans="2:5">
      <c r="B60" s="213"/>
      <c r="C60" s="933"/>
      <c r="D60" s="140"/>
      <c r="E60" s="139"/>
    </row>
    <row r="61" spans="2:5">
      <c r="B61" s="213"/>
      <c r="C61" s="933"/>
      <c r="D61" s="140"/>
      <c r="E61" s="139"/>
    </row>
    <row r="62" spans="2:5">
      <c r="B62" s="213"/>
      <c r="C62" s="933"/>
      <c r="D62" s="140"/>
      <c r="E62" s="139"/>
    </row>
    <row r="63" spans="2:5">
      <c r="B63" s="213"/>
      <c r="C63" s="933"/>
      <c r="D63" s="140"/>
      <c r="E63" s="139"/>
    </row>
  </sheetData>
  <pageMargins left="0.7" right="0.7" top="0.75" bottom="0.75" header="0.3" footer="0.3"/>
  <pageSetup scale="42" orientation="landscape" r:id="rId1"/>
  <colBreaks count="1" manualBreakCount="1">
    <brk id="5"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E6B5A-9371-45C3-8687-25E5FF896F06}">
  <sheetPr codeName="Sheet31">
    <tabColor rgb="FF00FFFF"/>
  </sheetPr>
  <dimension ref="A1:Z321"/>
  <sheetViews>
    <sheetView topLeftCell="D71" zoomScale="70" zoomScaleNormal="70" workbookViewId="0">
      <selection activeCell="Q101" sqref="Q101"/>
    </sheetView>
  </sheetViews>
  <sheetFormatPr defaultRowHeight="15"/>
  <cols>
    <col min="1" max="1" width="7.7109375" style="757" customWidth="1"/>
    <col min="2" max="2" width="1.85546875" style="757" customWidth="1"/>
    <col min="3" max="3" width="87.42578125" style="757" customWidth="1"/>
    <col min="4" max="4" width="13.140625" style="757" customWidth="1"/>
    <col min="5" max="5" width="19.85546875" style="757" customWidth="1"/>
    <col min="6" max="6" width="24.7109375" style="757" customWidth="1"/>
    <col min="7" max="8" width="27.140625" style="757" customWidth="1"/>
    <col min="9" max="9" width="29" style="757" customWidth="1"/>
    <col min="10" max="10" width="18.140625" style="757" customWidth="1"/>
    <col min="11" max="11" width="18.42578125" style="757" customWidth="1"/>
    <col min="12" max="12" width="15.85546875" style="757" customWidth="1"/>
    <col min="13" max="13" width="16.28515625" style="757" customWidth="1"/>
    <col min="14" max="14" width="16.42578125" style="757" customWidth="1"/>
    <col min="15" max="16" width="16" style="757" customWidth="1"/>
    <col min="17" max="17" width="20.5703125" style="757" customWidth="1"/>
    <col min="18" max="18" width="15.85546875" style="757" customWidth="1"/>
    <col min="19" max="19" width="17.85546875" style="757" customWidth="1"/>
    <col min="20" max="20" width="2.42578125" style="757" customWidth="1"/>
    <col min="21" max="21" width="16.7109375" style="757" customWidth="1"/>
    <col min="22" max="16384" width="9.140625" style="757"/>
  </cols>
  <sheetData>
    <row r="1" spans="1:23" ht="15.75">
      <c r="S1" s="820"/>
      <c r="U1" s="860"/>
    </row>
    <row r="2" spans="1:23">
      <c r="S2" s="820"/>
    </row>
    <row r="4" spans="1:23">
      <c r="S4" s="820" t="s">
        <v>1136</v>
      </c>
    </row>
    <row r="5" spans="1:23">
      <c r="C5" s="856" t="s">
        <v>537</v>
      </c>
      <c r="D5" s="856"/>
      <c r="E5" s="856"/>
      <c r="F5" s="856"/>
      <c r="G5" s="856"/>
      <c r="H5" s="856"/>
      <c r="I5" s="856"/>
      <c r="J5" s="859" t="s">
        <v>536</v>
      </c>
      <c r="K5" s="859"/>
      <c r="L5" s="856"/>
      <c r="M5" s="856"/>
      <c r="N5" s="856"/>
      <c r="O5" s="856"/>
      <c r="P5" s="856"/>
      <c r="Q5" s="984"/>
      <c r="R5" s="984"/>
      <c r="S5" s="984" t="s">
        <v>1290</v>
      </c>
      <c r="T5" s="792"/>
      <c r="U5" s="852"/>
      <c r="V5" s="852"/>
      <c r="W5" s="792"/>
    </row>
    <row r="6" spans="1:23">
      <c r="C6" s="856"/>
      <c r="D6" s="856"/>
      <c r="E6" s="856"/>
      <c r="F6" s="856"/>
      <c r="G6" s="856"/>
      <c r="H6" s="772" t="s">
        <v>3</v>
      </c>
      <c r="I6" s="772"/>
      <c r="J6" s="772" t="s">
        <v>490</v>
      </c>
      <c r="K6" s="772"/>
      <c r="L6" s="772"/>
      <c r="M6" s="772"/>
      <c r="N6" s="772"/>
      <c r="O6" s="856"/>
      <c r="P6" s="856"/>
      <c r="R6" s="774"/>
      <c r="S6" s="856"/>
      <c r="T6" s="792"/>
      <c r="U6" s="855"/>
      <c r="V6" s="852"/>
      <c r="W6" s="792"/>
    </row>
    <row r="7" spans="1:23">
      <c r="C7" s="774"/>
      <c r="D7" s="774"/>
      <c r="E7" s="774"/>
      <c r="F7" s="774"/>
      <c r="G7" s="774"/>
      <c r="H7" s="774"/>
      <c r="I7" s="774"/>
      <c r="J7" s="774"/>
      <c r="K7" s="774"/>
      <c r="L7" s="774"/>
      <c r="M7" s="774"/>
      <c r="N7" s="774"/>
      <c r="O7" s="774"/>
      <c r="P7" s="774"/>
      <c r="R7" s="774"/>
      <c r="S7" s="774" t="s">
        <v>535</v>
      </c>
      <c r="T7" s="792"/>
      <c r="U7" s="852"/>
      <c r="V7" s="852"/>
      <c r="W7" s="792"/>
    </row>
    <row r="8" spans="1:23">
      <c r="A8" s="816"/>
      <c r="C8" s="774"/>
      <c r="D8" s="774"/>
      <c r="E8" s="774"/>
      <c r="F8" s="774"/>
      <c r="G8" s="774"/>
      <c r="H8" s="774"/>
      <c r="I8" s="774"/>
      <c r="J8" s="894" t="s">
        <v>5</v>
      </c>
      <c r="K8" s="776"/>
      <c r="L8" s="774"/>
      <c r="M8" s="774"/>
      <c r="N8" s="774"/>
      <c r="O8" s="774"/>
      <c r="P8" s="774"/>
      <c r="Q8" s="774"/>
      <c r="R8" s="774"/>
      <c r="S8" s="774"/>
      <c r="T8" s="792"/>
      <c r="U8" s="852"/>
      <c r="V8" s="852"/>
      <c r="W8" s="792"/>
    </row>
    <row r="9" spans="1:23">
      <c r="A9" s="816"/>
      <c r="C9" s="774"/>
      <c r="D9" s="774"/>
      <c r="E9" s="774"/>
      <c r="F9" s="774"/>
      <c r="G9" s="774"/>
      <c r="H9" s="774"/>
      <c r="I9" s="774"/>
      <c r="J9" s="851"/>
      <c r="K9" s="851"/>
      <c r="L9" s="774"/>
      <c r="M9" s="774"/>
      <c r="N9" s="774"/>
      <c r="O9" s="774"/>
      <c r="P9" s="774"/>
      <c r="Q9" s="774"/>
      <c r="R9" s="774"/>
      <c r="S9" s="774"/>
      <c r="T9" s="792"/>
      <c r="U9" s="852"/>
      <c r="V9" s="852"/>
      <c r="W9" s="792"/>
    </row>
    <row r="10" spans="1:23">
      <c r="A10" s="816"/>
      <c r="C10" s="774" t="s">
        <v>534</v>
      </c>
      <c r="D10" s="774"/>
      <c r="E10" s="774"/>
      <c r="F10" s="774"/>
      <c r="G10" s="774"/>
      <c r="H10" s="774"/>
      <c r="I10" s="774"/>
      <c r="J10" s="851"/>
      <c r="K10" s="851"/>
      <c r="L10" s="774"/>
      <c r="M10" s="774"/>
      <c r="N10" s="774"/>
      <c r="O10" s="774"/>
      <c r="P10" s="774"/>
      <c r="Q10" s="774"/>
      <c r="R10" s="774"/>
      <c r="S10" s="774"/>
      <c r="T10" s="792"/>
      <c r="U10" s="852"/>
      <c r="V10" s="852"/>
      <c r="W10" s="792"/>
    </row>
    <row r="11" spans="1:23">
      <c r="A11" s="816"/>
      <c r="C11" s="774" t="s">
        <v>642</v>
      </c>
      <c r="D11" s="774"/>
      <c r="E11" s="774"/>
      <c r="F11" s="774"/>
      <c r="G11" s="774"/>
      <c r="H11" s="774"/>
      <c r="I11" s="774"/>
      <c r="J11" s="851"/>
      <c r="K11" s="851"/>
      <c r="Q11" s="774"/>
      <c r="R11" s="774"/>
      <c r="S11" s="774"/>
      <c r="T11" s="792"/>
      <c r="U11" s="792"/>
      <c r="V11" s="792"/>
      <c r="W11" s="792"/>
    </row>
    <row r="12" spans="1:23">
      <c r="A12" s="816"/>
      <c r="C12" s="774"/>
      <c r="D12" s="774"/>
      <c r="E12" s="774"/>
      <c r="F12" s="774"/>
      <c r="G12" s="774"/>
      <c r="H12" s="774"/>
      <c r="I12" s="774"/>
      <c r="J12" s="774"/>
      <c r="K12" s="774"/>
      <c r="Q12" s="772"/>
      <c r="R12" s="774"/>
      <c r="S12" s="774"/>
      <c r="T12" s="792"/>
      <c r="U12" s="792"/>
      <c r="V12" s="792"/>
      <c r="W12" s="792"/>
    </row>
    <row r="13" spans="1:23">
      <c r="C13" s="818" t="s">
        <v>62</v>
      </c>
      <c r="D13" s="818"/>
      <c r="E13" s="818"/>
      <c r="F13" s="818"/>
      <c r="G13" s="818"/>
      <c r="H13" s="818" t="s">
        <v>63</v>
      </c>
      <c r="I13" s="818"/>
      <c r="J13" s="818" t="s">
        <v>64</v>
      </c>
      <c r="K13" s="818"/>
      <c r="L13" s="776" t="s">
        <v>65</v>
      </c>
      <c r="R13" s="772"/>
      <c r="S13" s="776"/>
      <c r="T13" s="793"/>
      <c r="U13" s="776"/>
      <c r="V13" s="793"/>
      <c r="W13" s="792"/>
    </row>
    <row r="14" spans="1:23" ht="15.75">
      <c r="C14" s="774"/>
      <c r="D14" s="774"/>
      <c r="E14" s="774"/>
      <c r="F14" s="774"/>
      <c r="G14" s="774"/>
      <c r="H14" s="833" t="s">
        <v>533</v>
      </c>
      <c r="I14" s="833"/>
      <c r="J14" s="772"/>
      <c r="K14" s="772"/>
      <c r="R14" s="772"/>
      <c r="T14" s="793"/>
      <c r="U14" s="821"/>
      <c r="V14" s="821"/>
      <c r="W14" s="792"/>
    </row>
    <row r="15" spans="1:23" ht="15.75">
      <c r="A15" s="816" t="s">
        <v>8</v>
      </c>
      <c r="C15" s="774"/>
      <c r="D15" s="774"/>
      <c r="E15" s="774"/>
      <c r="F15" s="774"/>
      <c r="G15" s="774"/>
      <c r="H15" s="850" t="s">
        <v>69</v>
      </c>
      <c r="I15" s="850"/>
      <c r="J15" s="849" t="s">
        <v>68</v>
      </c>
      <c r="K15" s="849"/>
      <c r="L15" s="849" t="s">
        <v>16</v>
      </c>
      <c r="R15" s="772"/>
      <c r="T15" s="792"/>
      <c r="U15" s="848"/>
      <c r="V15" s="821"/>
      <c r="W15" s="792"/>
    </row>
    <row r="16" spans="1:23" ht="15.75">
      <c r="A16" s="816" t="s">
        <v>10</v>
      </c>
      <c r="C16" s="817"/>
      <c r="D16" s="817"/>
      <c r="E16" s="817"/>
      <c r="F16" s="817"/>
      <c r="G16" s="817"/>
      <c r="H16" s="772"/>
      <c r="I16" s="772"/>
      <c r="J16" s="772"/>
      <c r="K16" s="772"/>
      <c r="L16" s="772"/>
      <c r="R16" s="772"/>
      <c r="S16" s="772"/>
      <c r="T16" s="792"/>
      <c r="U16" s="793"/>
      <c r="V16" s="793"/>
      <c r="W16" s="792"/>
    </row>
    <row r="17" spans="1:23" ht="15.75">
      <c r="A17" s="847"/>
      <c r="C17" s="774"/>
      <c r="D17" s="774"/>
      <c r="E17" s="774"/>
      <c r="F17" s="774"/>
      <c r="G17" s="774"/>
      <c r="H17" s="772"/>
      <c r="I17" s="772"/>
      <c r="J17" s="772"/>
      <c r="K17" s="772"/>
      <c r="L17" s="772"/>
      <c r="R17" s="772"/>
      <c r="S17" s="772"/>
      <c r="T17" s="792"/>
      <c r="U17" s="793"/>
      <c r="V17" s="793"/>
      <c r="W17" s="792"/>
    </row>
    <row r="18" spans="1:23">
      <c r="A18" s="822">
        <v>1</v>
      </c>
      <c r="C18" s="774" t="s">
        <v>532</v>
      </c>
      <c r="D18" s="774"/>
      <c r="E18" s="774"/>
      <c r="F18" s="774"/>
      <c r="G18" s="774"/>
      <c r="H18" s="836" t="s">
        <v>1167</v>
      </c>
      <c r="I18" s="836"/>
      <c r="J18" s="883">
        <f>'ATC Attach O ER22-1602'!D87+'ATC Attach O ER22-1602'!D88-I129</f>
        <v>9243097305</v>
      </c>
      <c r="K18" s="772"/>
      <c r="R18" s="772"/>
      <c r="S18" s="772"/>
      <c r="T18" s="792"/>
      <c r="U18" s="793"/>
      <c r="V18" s="793"/>
      <c r="W18" s="792"/>
    </row>
    <row r="19" spans="1:23">
      <c r="A19" s="822" t="s">
        <v>140</v>
      </c>
      <c r="C19" s="774" t="s">
        <v>641</v>
      </c>
      <c r="D19" s="774"/>
      <c r="E19" s="774"/>
      <c r="F19" s="774"/>
      <c r="G19" s="774"/>
      <c r="H19" s="836" t="s">
        <v>1166</v>
      </c>
      <c r="I19" s="836"/>
      <c r="J19" s="889">
        <f>'ATC Attach O ER22-1602'!I97+'ATC Attach O ER22-1602'!I98-'ATC Attach O ER22-1602'!I106-I130</f>
        <v>2617360004</v>
      </c>
      <c r="K19" s="888"/>
      <c r="R19" s="772"/>
      <c r="S19" s="772"/>
      <c r="T19" s="792"/>
      <c r="U19" s="793"/>
      <c r="V19" s="793"/>
      <c r="W19" s="792"/>
    </row>
    <row r="20" spans="1:23">
      <c r="A20" s="822">
        <v>2</v>
      </c>
      <c r="C20" s="774" t="s">
        <v>531</v>
      </c>
      <c r="D20" s="774"/>
      <c r="E20" s="774"/>
      <c r="F20" s="774"/>
      <c r="G20" s="774"/>
      <c r="H20" s="836" t="s">
        <v>640</v>
      </c>
      <c r="I20" s="836"/>
      <c r="J20" s="887">
        <f>J18-J19</f>
        <v>6625737301</v>
      </c>
      <c r="K20" s="893"/>
      <c r="R20" s="772"/>
      <c r="S20" s="772"/>
      <c r="T20" s="792"/>
      <c r="U20" s="793"/>
      <c r="V20" s="793"/>
      <c r="W20" s="792"/>
    </row>
    <row r="21" spans="1:23">
      <c r="A21" s="822"/>
      <c r="H21" s="836"/>
      <c r="I21" s="836"/>
      <c r="R21" s="772"/>
      <c r="S21" s="772"/>
      <c r="T21" s="792"/>
      <c r="U21" s="793"/>
      <c r="V21" s="793"/>
      <c r="W21" s="792"/>
    </row>
    <row r="22" spans="1:23">
      <c r="A22" s="822"/>
      <c r="C22" s="774" t="s">
        <v>639</v>
      </c>
      <c r="D22" s="774"/>
      <c r="E22" s="774"/>
      <c r="F22" s="774"/>
      <c r="G22" s="774"/>
      <c r="H22" s="836"/>
      <c r="I22" s="836"/>
      <c r="J22" s="772"/>
      <c r="K22" s="772"/>
      <c r="L22" s="772"/>
      <c r="R22" s="772"/>
      <c r="S22" s="772"/>
      <c r="T22" s="793"/>
      <c r="U22" s="793"/>
      <c r="V22" s="793"/>
      <c r="W22" s="792"/>
    </row>
    <row r="23" spans="1:23">
      <c r="A23" s="822">
        <v>3</v>
      </c>
      <c r="C23" s="774" t="s">
        <v>529</v>
      </c>
      <c r="D23" s="774"/>
      <c r="E23" s="774"/>
      <c r="F23" s="774"/>
      <c r="G23" s="774"/>
      <c r="H23" s="836" t="s">
        <v>528</v>
      </c>
      <c r="I23" s="836"/>
      <c r="J23" s="883">
        <f>'ATC Attach O ER22-1602'!I173</f>
        <v>193131345.90570536</v>
      </c>
      <c r="K23" s="772"/>
      <c r="R23" s="772"/>
      <c r="S23" s="772"/>
      <c r="T23" s="793"/>
      <c r="U23" s="793"/>
      <c r="V23" s="793"/>
      <c r="W23" s="792"/>
    </row>
    <row r="24" spans="1:23">
      <c r="A24" s="822" t="s">
        <v>527</v>
      </c>
      <c r="C24" s="774" t="s">
        <v>441</v>
      </c>
      <c r="D24" s="774"/>
      <c r="E24" s="774"/>
      <c r="F24" s="774"/>
      <c r="G24" s="774"/>
      <c r="H24" s="836" t="s">
        <v>1164</v>
      </c>
      <c r="I24" s="836"/>
      <c r="J24" s="883">
        <f>'ATC Attach O ER22-1602'!I163+'ATC Attach O ER22-1602'!I170</f>
        <v>140645302</v>
      </c>
      <c r="K24" s="772"/>
      <c r="R24" s="772"/>
      <c r="S24" s="772"/>
      <c r="T24" s="793"/>
      <c r="U24" s="793"/>
      <c r="V24" s="793"/>
      <c r="W24" s="792"/>
    </row>
    <row r="25" spans="1:23">
      <c r="A25" s="822"/>
      <c r="C25" s="774"/>
      <c r="D25" s="774"/>
      <c r="E25" s="774"/>
      <c r="F25" s="774"/>
      <c r="G25" s="774"/>
      <c r="H25" s="836" t="s">
        <v>1142</v>
      </c>
      <c r="I25" s="836"/>
      <c r="J25" s="883"/>
      <c r="K25" s="772"/>
      <c r="R25" s="772"/>
      <c r="S25" s="772"/>
      <c r="T25" s="793"/>
      <c r="U25" s="793"/>
      <c r="V25" s="793"/>
      <c r="W25" s="792"/>
    </row>
    <row r="26" spans="1:23" s="845" customFormat="1">
      <c r="A26" s="822" t="s">
        <v>638</v>
      </c>
      <c r="C26" s="774" t="s">
        <v>1141</v>
      </c>
      <c r="D26" s="774"/>
      <c r="E26" s="774"/>
      <c r="F26" s="774"/>
      <c r="G26" s="774"/>
      <c r="H26" s="836" t="s">
        <v>1140</v>
      </c>
      <c r="I26" s="836"/>
      <c r="J26" s="883">
        <f>'Precert Exp'!C19</f>
        <v>21795130.260000002</v>
      </c>
      <c r="K26" s="892"/>
      <c r="N26" s="757"/>
      <c r="R26" s="892"/>
      <c r="S26" s="892"/>
      <c r="T26" s="891"/>
      <c r="U26" s="891"/>
      <c r="V26" s="891"/>
      <c r="W26" s="890"/>
    </row>
    <row r="27" spans="1:23">
      <c r="A27" s="822" t="s">
        <v>524</v>
      </c>
      <c r="C27" s="774" t="s">
        <v>637</v>
      </c>
      <c r="D27" s="774"/>
      <c r="E27" s="774"/>
      <c r="F27" s="774"/>
      <c r="G27" s="774"/>
      <c r="H27" s="836" t="s">
        <v>636</v>
      </c>
      <c r="I27" s="836"/>
      <c r="J27" s="883">
        <f>'ATC Attach O ER22-1602'!I164</f>
        <v>0</v>
      </c>
      <c r="K27" s="772"/>
      <c r="R27" s="772"/>
      <c r="S27" s="772"/>
      <c r="T27" s="793"/>
      <c r="U27" s="793"/>
      <c r="V27" s="793"/>
      <c r="W27" s="792"/>
    </row>
    <row r="28" spans="1:23">
      <c r="A28" s="822" t="s">
        <v>635</v>
      </c>
      <c r="C28" s="774" t="s">
        <v>634</v>
      </c>
      <c r="D28" s="774"/>
      <c r="E28" s="774"/>
      <c r="F28" s="774"/>
      <c r="G28" s="774"/>
      <c r="H28" s="836" t="s">
        <v>633</v>
      </c>
      <c r="I28" s="836"/>
      <c r="J28" s="889">
        <f>'ATC Attach O ER22-1602'!I165</f>
        <v>0</v>
      </c>
      <c r="K28" s="888"/>
      <c r="R28" s="772"/>
      <c r="S28" s="772"/>
      <c r="T28" s="793"/>
      <c r="U28" s="793"/>
      <c r="V28" s="793"/>
      <c r="W28" s="792"/>
    </row>
    <row r="29" spans="1:23">
      <c r="A29" s="822" t="s">
        <v>632</v>
      </c>
      <c r="C29" s="774" t="s">
        <v>631</v>
      </c>
      <c r="D29" s="774"/>
      <c r="E29" s="774"/>
      <c r="F29" s="774"/>
      <c r="G29" s="774"/>
      <c r="H29" s="836" t="s">
        <v>630</v>
      </c>
      <c r="I29" s="836"/>
      <c r="J29" s="887">
        <f>J24-(J26+J27+J28)</f>
        <v>118850171.73999999</v>
      </c>
      <c r="K29" s="772"/>
      <c r="R29" s="772"/>
      <c r="S29" s="772"/>
      <c r="T29" s="793"/>
      <c r="U29" s="793"/>
      <c r="V29" s="793"/>
      <c r="W29" s="792"/>
    </row>
    <row r="30" spans="1:23">
      <c r="A30" s="822"/>
      <c r="C30" s="774"/>
      <c r="D30" s="774"/>
      <c r="E30" s="774"/>
      <c r="F30" s="774"/>
      <c r="G30" s="774"/>
      <c r="H30" s="836"/>
      <c r="I30" s="836"/>
      <c r="J30" s="772"/>
      <c r="K30" s="772"/>
      <c r="R30" s="772"/>
      <c r="S30" s="772"/>
      <c r="T30" s="793"/>
      <c r="U30" s="793"/>
      <c r="V30" s="793"/>
      <c r="W30" s="792"/>
    </row>
    <row r="31" spans="1:23" ht="15.75">
      <c r="A31" s="822">
        <v>4</v>
      </c>
      <c r="C31" s="817" t="s">
        <v>629</v>
      </c>
      <c r="D31" s="817"/>
      <c r="E31" s="817"/>
      <c r="F31" s="817"/>
      <c r="G31" s="774"/>
      <c r="H31" s="836" t="s">
        <v>628</v>
      </c>
      <c r="I31" s="836"/>
      <c r="J31" s="824">
        <f>IF(J29=0,0,J29/J19)</f>
        <v>4.5408415945214387E-2</v>
      </c>
      <c r="K31" s="824"/>
      <c r="L31" s="886">
        <f>J31</f>
        <v>4.5408415945214387E-2</v>
      </c>
      <c r="R31" s="772"/>
      <c r="S31" s="772"/>
      <c r="T31" s="793"/>
      <c r="U31" s="793"/>
      <c r="V31" s="793"/>
      <c r="W31" s="792"/>
    </row>
    <row r="32" spans="1:23">
      <c r="A32" s="822"/>
      <c r="C32" s="774"/>
      <c r="D32" s="774"/>
      <c r="E32" s="774"/>
      <c r="F32" s="774"/>
      <c r="G32" s="774"/>
      <c r="H32" s="836"/>
      <c r="I32" s="836"/>
      <c r="J32" s="772"/>
      <c r="K32" s="772"/>
      <c r="R32" s="772"/>
      <c r="S32" s="772"/>
      <c r="T32" s="793"/>
      <c r="U32" s="793"/>
      <c r="V32" s="793"/>
      <c r="W32" s="792"/>
    </row>
    <row r="33" spans="1:23">
      <c r="A33" s="822"/>
      <c r="C33" s="774"/>
      <c r="D33" s="774"/>
      <c r="E33" s="774"/>
      <c r="F33" s="774"/>
      <c r="G33" s="774"/>
      <c r="H33" s="836"/>
      <c r="I33" s="836"/>
      <c r="J33" s="772"/>
      <c r="K33" s="772"/>
      <c r="R33" s="772"/>
      <c r="S33" s="772"/>
      <c r="T33" s="793"/>
      <c r="U33" s="793"/>
      <c r="V33" s="793"/>
      <c r="W33" s="792"/>
    </row>
    <row r="34" spans="1:23" ht="15.75">
      <c r="A34" s="822"/>
      <c r="C34" s="774" t="s">
        <v>627</v>
      </c>
      <c r="D34" s="774"/>
      <c r="E34" s="774"/>
      <c r="F34" s="774"/>
      <c r="G34" s="774"/>
      <c r="H34" s="836"/>
      <c r="I34" s="836"/>
      <c r="J34" s="825"/>
      <c r="K34" s="825"/>
      <c r="L34" s="872"/>
      <c r="R34" s="772"/>
      <c r="S34" s="824"/>
      <c r="T34" s="806"/>
      <c r="U34" s="842"/>
      <c r="V34" s="793"/>
      <c r="W34" s="792"/>
    </row>
    <row r="35" spans="1:23" ht="15.75">
      <c r="A35" s="822" t="s">
        <v>626</v>
      </c>
      <c r="C35" s="774" t="s">
        <v>625</v>
      </c>
      <c r="D35" s="774"/>
      <c r="E35" s="774"/>
      <c r="F35" s="774"/>
      <c r="G35" s="774"/>
      <c r="H35" s="836" t="s">
        <v>1139</v>
      </c>
      <c r="I35" s="836"/>
      <c r="J35" s="885">
        <f>J23-J29-J26</f>
        <v>52486043.905705363</v>
      </c>
      <c r="K35" s="825"/>
      <c r="L35" s="872"/>
      <c r="R35" s="772"/>
      <c r="S35" s="824"/>
      <c r="T35" s="806"/>
      <c r="U35" s="842"/>
      <c r="V35" s="793"/>
      <c r="W35" s="792"/>
    </row>
    <row r="36" spans="1:23" ht="15.75">
      <c r="A36" s="822" t="s">
        <v>624</v>
      </c>
      <c r="C36" s="774" t="s">
        <v>623</v>
      </c>
      <c r="D36" s="774"/>
      <c r="E36" s="774"/>
      <c r="F36" s="774"/>
      <c r="G36" s="774"/>
      <c r="H36" s="836" t="s">
        <v>622</v>
      </c>
      <c r="I36" s="836"/>
      <c r="J36" s="825">
        <f>IF(J35=0,0,J35/J18)</f>
        <v>5.6784043458369023E-3</v>
      </c>
      <c r="K36" s="825"/>
      <c r="L36" s="872">
        <f>J36</f>
        <v>5.6784043458369023E-3</v>
      </c>
      <c r="R36" s="772"/>
      <c r="S36" s="824"/>
      <c r="T36" s="806"/>
      <c r="U36" s="842"/>
      <c r="V36" s="793"/>
      <c r="W36" s="792"/>
    </row>
    <row r="37" spans="1:23" ht="15.75">
      <c r="A37" s="822"/>
      <c r="C37" s="774"/>
      <c r="D37" s="774"/>
      <c r="E37" s="774"/>
      <c r="F37" s="774"/>
      <c r="G37" s="774"/>
      <c r="H37" s="836"/>
      <c r="I37" s="836"/>
      <c r="J37" s="825"/>
      <c r="K37" s="825"/>
      <c r="L37" s="872"/>
      <c r="R37" s="772"/>
      <c r="S37" s="824"/>
      <c r="T37" s="806"/>
      <c r="U37" s="842"/>
      <c r="V37" s="793"/>
      <c r="W37" s="792"/>
    </row>
    <row r="38" spans="1:23" ht="15.75">
      <c r="A38" s="826"/>
      <c r="C38" s="774" t="s">
        <v>1138</v>
      </c>
      <c r="D38" s="774"/>
      <c r="E38" s="774"/>
      <c r="F38" s="774"/>
      <c r="G38" s="774"/>
      <c r="H38" s="773"/>
      <c r="I38" s="773"/>
      <c r="J38" s="772"/>
      <c r="K38" s="772"/>
      <c r="L38" s="772"/>
      <c r="R38" s="772"/>
      <c r="S38" s="824"/>
      <c r="T38" s="806"/>
      <c r="U38" s="842"/>
      <c r="V38" s="793"/>
      <c r="W38" s="792"/>
    </row>
    <row r="39" spans="1:23" ht="15.75">
      <c r="A39" s="826" t="s">
        <v>519</v>
      </c>
      <c r="C39" s="774" t="s">
        <v>1137</v>
      </c>
      <c r="D39" s="774"/>
      <c r="E39" s="774"/>
      <c r="F39" s="774"/>
      <c r="G39" s="774"/>
      <c r="H39" s="836" t="s">
        <v>1165</v>
      </c>
      <c r="I39" s="836"/>
      <c r="J39" s="883">
        <f>'ATC Attach O ER22-1602'!I177+'ATC Attach O ER22-1602'!I179+'ATC Attach O ER22-1602'!I180+I133</f>
        <v>42817242</v>
      </c>
      <c r="K39" s="772"/>
      <c r="R39" s="772"/>
      <c r="S39" s="824"/>
      <c r="T39" s="806"/>
      <c r="U39" s="842"/>
      <c r="V39" s="793"/>
      <c r="W39" s="792"/>
    </row>
    <row r="40" spans="1:23" ht="15.75">
      <c r="A40" s="826" t="s">
        <v>517</v>
      </c>
      <c r="C40" s="774" t="s">
        <v>516</v>
      </c>
      <c r="D40" s="774"/>
      <c r="E40" s="774"/>
      <c r="F40" s="774"/>
      <c r="G40" s="774"/>
      <c r="H40" s="836" t="s">
        <v>515</v>
      </c>
      <c r="I40" s="836"/>
      <c r="J40" s="825">
        <f>IF(J39=0,0,J39/J18)</f>
        <v>4.632347857772552E-3</v>
      </c>
      <c r="K40" s="825"/>
      <c r="L40" s="872">
        <f>J40</f>
        <v>4.632347857772552E-3</v>
      </c>
      <c r="R40" s="772"/>
      <c r="S40" s="824"/>
      <c r="T40" s="806"/>
      <c r="U40" s="842"/>
      <c r="V40" s="793"/>
      <c r="W40" s="792"/>
    </row>
    <row r="41" spans="1:23" ht="15.75">
      <c r="A41" s="822"/>
      <c r="C41" s="774"/>
      <c r="D41" s="774"/>
      <c r="E41" s="774"/>
      <c r="F41" s="774"/>
      <c r="G41" s="774"/>
      <c r="H41" s="836"/>
      <c r="I41" s="836"/>
      <c r="J41" s="825"/>
      <c r="K41" s="825"/>
      <c r="L41" s="872"/>
      <c r="R41" s="772"/>
      <c r="S41" s="824"/>
      <c r="T41" s="806"/>
      <c r="U41" s="842"/>
      <c r="V41" s="793"/>
      <c r="W41" s="792"/>
    </row>
    <row r="42" spans="1:23">
      <c r="A42" s="826"/>
      <c r="C42" s="774" t="s">
        <v>514</v>
      </c>
      <c r="D42" s="774"/>
      <c r="E42" s="774"/>
      <c r="F42" s="774"/>
      <c r="G42" s="774"/>
      <c r="H42" s="773"/>
      <c r="I42" s="773"/>
      <c r="J42" s="772"/>
      <c r="K42" s="772"/>
      <c r="L42" s="772"/>
      <c r="R42" s="772"/>
      <c r="S42" s="772"/>
      <c r="T42" s="793"/>
      <c r="U42" s="772"/>
      <c r="V42" s="793"/>
      <c r="W42" s="792"/>
    </row>
    <row r="43" spans="1:23" ht="15.75">
      <c r="A43" s="826" t="s">
        <v>513</v>
      </c>
      <c r="C43" s="774" t="s">
        <v>512</v>
      </c>
      <c r="D43" s="774"/>
      <c r="E43" s="774"/>
      <c r="F43" s="774"/>
      <c r="G43" s="774"/>
      <c r="H43" s="836" t="s">
        <v>511</v>
      </c>
      <c r="I43" s="836"/>
      <c r="J43" s="883">
        <f>'ATC Attach O ER22-1602'!I192</f>
        <v>36496384</v>
      </c>
      <c r="K43" s="772"/>
      <c r="R43" s="772"/>
      <c r="S43" s="843"/>
      <c r="T43" s="793"/>
      <c r="U43" s="822"/>
      <c r="V43" s="821"/>
      <c r="W43" s="792"/>
    </row>
    <row r="44" spans="1:23" ht="15.75">
      <c r="A44" s="826" t="s">
        <v>510</v>
      </c>
      <c r="C44" s="774" t="s">
        <v>509</v>
      </c>
      <c r="D44" s="774"/>
      <c r="E44" s="774"/>
      <c r="F44" s="774"/>
      <c r="G44" s="774"/>
      <c r="H44" s="836" t="s">
        <v>508</v>
      </c>
      <c r="I44" s="836"/>
      <c r="J44" s="825">
        <f>IF(J43=0,0,J43/J18)</f>
        <v>3.9485015461491997E-3</v>
      </c>
      <c r="K44" s="825"/>
      <c r="L44" s="872">
        <f>J44</f>
        <v>3.9485015461491997E-3</v>
      </c>
      <c r="R44" s="772"/>
      <c r="S44" s="824"/>
      <c r="T44" s="793"/>
      <c r="U44" s="842"/>
      <c r="V44" s="821"/>
      <c r="W44" s="792"/>
    </row>
    <row r="45" spans="1:23">
      <c r="A45" s="826"/>
      <c r="C45" s="774"/>
      <c r="D45" s="774"/>
      <c r="E45" s="774"/>
      <c r="F45" s="774"/>
      <c r="G45" s="774"/>
      <c r="H45" s="836"/>
      <c r="I45" s="836"/>
      <c r="J45" s="772"/>
      <c r="K45" s="772"/>
      <c r="L45" s="772"/>
      <c r="R45" s="772"/>
      <c r="V45" s="793"/>
      <c r="W45" s="792"/>
    </row>
    <row r="46" spans="1:23" ht="15.75">
      <c r="A46" s="835" t="s">
        <v>507</v>
      </c>
      <c r="B46" s="834"/>
      <c r="C46" s="817" t="s">
        <v>621</v>
      </c>
      <c r="D46" s="817"/>
      <c r="E46" s="817"/>
      <c r="F46" s="817"/>
      <c r="G46" s="817"/>
      <c r="H46" s="833" t="s">
        <v>620</v>
      </c>
      <c r="I46" s="833"/>
      <c r="J46" s="831">
        <f>J36+J40+J44</f>
        <v>1.4259253749758654E-2</v>
      </c>
      <c r="K46" s="831"/>
      <c r="L46" s="831">
        <f>L36+L40+L44</f>
        <v>1.4259253749758654E-2</v>
      </c>
      <c r="R46" s="772"/>
      <c r="V46" s="793"/>
      <c r="W46" s="792"/>
    </row>
    <row r="47" spans="1:23">
      <c r="A47" s="826"/>
      <c r="C47" s="774"/>
      <c r="D47" s="774"/>
      <c r="E47" s="774"/>
      <c r="F47" s="774"/>
      <c r="G47" s="774"/>
      <c r="H47" s="836"/>
      <c r="I47" s="836"/>
      <c r="J47" s="772"/>
      <c r="K47" s="772"/>
      <c r="L47" s="772"/>
      <c r="R47" s="772"/>
      <c r="S47" s="772"/>
      <c r="T47" s="793"/>
      <c r="U47" s="841"/>
      <c r="V47" s="793"/>
      <c r="W47" s="792"/>
    </row>
    <row r="48" spans="1:23">
      <c r="A48" s="826"/>
      <c r="B48" s="775"/>
      <c r="C48" s="772" t="s">
        <v>505</v>
      </c>
      <c r="D48" s="772"/>
      <c r="E48" s="772"/>
      <c r="F48" s="772"/>
      <c r="G48" s="772"/>
      <c r="H48" s="836"/>
      <c r="I48" s="836"/>
      <c r="J48" s="772"/>
      <c r="K48" s="772"/>
      <c r="L48" s="772"/>
      <c r="R48" s="884"/>
      <c r="S48" s="775"/>
      <c r="V48" s="821"/>
      <c r="W48" s="793" t="s">
        <v>3</v>
      </c>
    </row>
    <row r="49" spans="1:23">
      <c r="A49" s="826" t="s">
        <v>504</v>
      </c>
      <c r="B49" s="775"/>
      <c r="C49" s="772" t="s">
        <v>440</v>
      </c>
      <c r="D49" s="772"/>
      <c r="E49" s="772"/>
      <c r="F49" s="772"/>
      <c r="G49" s="772"/>
      <c r="H49" s="836" t="s">
        <v>503</v>
      </c>
      <c r="I49" s="836"/>
      <c r="J49" s="883">
        <f>'ATC Attach O ER22-1602'!I207</f>
        <v>96183657.201031044</v>
      </c>
      <c r="K49" s="772"/>
      <c r="L49" s="772"/>
      <c r="R49" s="884"/>
      <c r="S49" s="775"/>
      <c r="V49" s="821"/>
      <c r="W49" s="793"/>
    </row>
    <row r="50" spans="1:23" ht="15.75">
      <c r="A50" s="826" t="s">
        <v>502</v>
      </c>
      <c r="B50" s="775"/>
      <c r="C50" s="772" t="s">
        <v>501</v>
      </c>
      <c r="D50" s="772"/>
      <c r="E50" s="772"/>
      <c r="F50" s="772"/>
      <c r="G50" s="772"/>
      <c r="H50" s="836" t="s">
        <v>500</v>
      </c>
      <c r="I50" s="836"/>
      <c r="J50" s="825">
        <f>IF(J49=0,0,J49/J20)</f>
        <v>1.4516672308531516E-2</v>
      </c>
      <c r="K50" s="825"/>
      <c r="L50" s="872">
        <f>J50</f>
        <v>1.4516672308531516E-2</v>
      </c>
      <c r="R50" s="884"/>
      <c r="S50" s="775"/>
      <c r="T50" s="793"/>
      <c r="U50" s="793"/>
      <c r="V50" s="821"/>
      <c r="W50" s="793"/>
    </row>
    <row r="51" spans="1:23">
      <c r="A51" s="826"/>
      <c r="C51" s="772"/>
      <c r="D51" s="772"/>
      <c r="E51" s="772"/>
      <c r="F51" s="772"/>
      <c r="G51" s="772"/>
      <c r="H51" s="836"/>
      <c r="I51" s="836"/>
      <c r="J51" s="772"/>
      <c r="K51" s="772"/>
      <c r="L51" s="772"/>
      <c r="R51" s="772"/>
      <c r="T51" s="792"/>
      <c r="U51" s="793"/>
      <c r="V51" s="792"/>
      <c r="W51" s="792"/>
    </row>
    <row r="52" spans="1:23">
      <c r="A52" s="826"/>
      <c r="C52" s="774" t="s">
        <v>183</v>
      </c>
      <c r="D52" s="774"/>
      <c r="E52" s="774"/>
      <c r="F52" s="774"/>
      <c r="G52" s="774"/>
      <c r="H52" s="830"/>
      <c r="I52" s="830"/>
      <c r="R52" s="772"/>
      <c r="T52" s="793"/>
      <c r="U52" s="793"/>
      <c r="V52" s="793"/>
      <c r="W52" s="792"/>
    </row>
    <row r="53" spans="1:23">
      <c r="A53" s="826" t="s">
        <v>499</v>
      </c>
      <c r="C53" s="774" t="s">
        <v>498</v>
      </c>
      <c r="D53" s="774"/>
      <c r="E53" s="774"/>
      <c r="F53" s="774"/>
      <c r="G53" s="774"/>
      <c r="H53" s="836" t="s">
        <v>497</v>
      </c>
      <c r="I53" s="836"/>
      <c r="J53" s="883">
        <f>'ATC Attach O ER22-1602'!I209</f>
        <v>469140300.32271814</v>
      </c>
      <c r="K53" s="772"/>
      <c r="L53" s="772"/>
      <c r="R53" s="772"/>
      <c r="T53" s="793"/>
      <c r="U53" s="793"/>
      <c r="V53" s="793"/>
      <c r="W53" s="792"/>
    </row>
    <row r="54" spans="1:23" ht="15.75">
      <c r="A54" s="826" t="s">
        <v>496</v>
      </c>
      <c r="B54" s="775"/>
      <c r="C54" s="772" t="s">
        <v>495</v>
      </c>
      <c r="D54" s="772"/>
      <c r="E54" s="772"/>
      <c r="F54" s="772"/>
      <c r="G54" s="772"/>
      <c r="H54" s="836" t="s">
        <v>494</v>
      </c>
      <c r="I54" s="836"/>
      <c r="J54" s="839">
        <f>IF(J53=0,0,J53/J20)</f>
        <v>7.0805750214683633E-2</v>
      </c>
      <c r="K54" s="839"/>
      <c r="L54" s="872">
        <f>J54</f>
        <v>7.0805750214683633E-2</v>
      </c>
      <c r="R54" s="772"/>
      <c r="U54" s="837"/>
      <c r="V54" s="821"/>
      <c r="W54" s="793"/>
    </row>
    <row r="55" spans="1:23">
      <c r="A55" s="826"/>
      <c r="C55" s="774"/>
      <c r="D55" s="774"/>
      <c r="E55" s="774"/>
      <c r="F55" s="774"/>
      <c r="G55" s="774"/>
      <c r="H55" s="836"/>
      <c r="I55" s="836"/>
      <c r="J55" s="772"/>
      <c r="K55" s="772"/>
      <c r="L55" s="772"/>
      <c r="R55" s="772"/>
      <c r="S55" s="830"/>
      <c r="T55" s="793"/>
      <c r="U55" s="793"/>
      <c r="V55" s="793"/>
      <c r="W55" s="792"/>
    </row>
    <row r="56" spans="1:23" ht="15.75">
      <c r="A56" s="835" t="s">
        <v>493</v>
      </c>
      <c r="B56" s="834"/>
      <c r="C56" s="817" t="s">
        <v>479</v>
      </c>
      <c r="D56" s="817"/>
      <c r="E56" s="817"/>
      <c r="F56" s="817"/>
      <c r="G56" s="817"/>
      <c r="H56" s="833" t="s">
        <v>492</v>
      </c>
      <c r="I56" s="833"/>
      <c r="J56" s="832"/>
      <c r="K56" s="832"/>
      <c r="L56" s="831">
        <f>L50+L54</f>
        <v>8.5322422523215147E-2</v>
      </c>
      <c r="R56" s="772"/>
      <c r="S56" s="830"/>
      <c r="T56" s="793"/>
      <c r="U56" s="793"/>
      <c r="V56" s="793"/>
      <c r="W56" s="792"/>
    </row>
    <row r="57" spans="1:23">
      <c r="R57" s="882"/>
      <c r="S57" s="882"/>
      <c r="T57" s="793"/>
      <c r="U57" s="793"/>
      <c r="V57" s="793"/>
      <c r="W57" s="792"/>
    </row>
    <row r="58" spans="1:23">
      <c r="A58" s="816"/>
      <c r="C58" s="767"/>
      <c r="D58" s="767"/>
      <c r="E58" s="767"/>
      <c r="F58" s="767"/>
      <c r="G58" s="767"/>
      <c r="H58" s="767"/>
      <c r="I58" s="767"/>
      <c r="J58" s="772"/>
      <c r="K58" s="772"/>
      <c r="L58" s="767"/>
      <c r="M58" s="767"/>
      <c r="N58" s="767"/>
      <c r="O58" s="767"/>
      <c r="P58" s="767"/>
      <c r="R58" s="772"/>
      <c r="S58" s="772"/>
      <c r="T58" s="793"/>
      <c r="U58" s="793"/>
      <c r="V58" s="821"/>
      <c r="W58" s="793" t="s">
        <v>3</v>
      </c>
    </row>
    <row r="59" spans="1:23">
      <c r="S59" s="820"/>
    </row>
    <row r="60" spans="1:23">
      <c r="S60" s="820"/>
    </row>
    <row r="62" spans="1:23">
      <c r="A62" s="816"/>
      <c r="C62" s="767"/>
      <c r="D62" s="767"/>
      <c r="E62" s="767"/>
      <c r="F62" s="767"/>
      <c r="G62" s="767"/>
      <c r="H62" s="767"/>
      <c r="I62" s="767"/>
      <c r="J62" s="772"/>
      <c r="K62" s="772"/>
      <c r="L62" s="767"/>
      <c r="M62" s="767"/>
      <c r="N62" s="767"/>
      <c r="O62" s="767"/>
      <c r="P62" s="767"/>
      <c r="R62" s="772"/>
      <c r="T62" s="793"/>
      <c r="U62" s="792"/>
      <c r="V62" s="793"/>
      <c r="W62" s="792"/>
    </row>
    <row r="63" spans="1:23">
      <c r="A63" s="816"/>
      <c r="C63" s="774" t="str">
        <f>C5</f>
        <v>Formula Rate calculation</v>
      </c>
      <c r="D63" s="774"/>
      <c r="E63" s="774"/>
      <c r="F63" s="774"/>
      <c r="G63" s="774"/>
      <c r="H63" s="767"/>
      <c r="I63" s="767"/>
      <c r="J63" s="767" t="str">
        <f>J5</f>
        <v xml:space="preserve">     Rate Formula Template</v>
      </c>
      <c r="K63" s="767"/>
      <c r="L63" s="767"/>
      <c r="M63" s="767"/>
      <c r="N63" s="767"/>
      <c r="O63" s="767"/>
      <c r="P63" s="767"/>
      <c r="R63" s="772"/>
      <c r="S63" s="820" t="s">
        <v>1136</v>
      </c>
      <c r="T63" s="793"/>
      <c r="U63" s="792"/>
      <c r="V63" s="793"/>
      <c r="W63" s="792"/>
    </row>
    <row r="64" spans="1:23">
      <c r="A64" s="816"/>
      <c r="C64" s="774"/>
      <c r="D64" s="774"/>
      <c r="E64" s="774"/>
      <c r="F64" s="774"/>
      <c r="G64" s="774"/>
      <c r="H64" s="767"/>
      <c r="I64" s="767"/>
      <c r="J64" s="767" t="s">
        <v>490</v>
      </c>
      <c r="K64" s="767"/>
      <c r="L64" s="767"/>
      <c r="M64" s="767"/>
      <c r="N64" s="767"/>
      <c r="O64" s="767"/>
      <c r="P64" s="767"/>
      <c r="Q64" s="772"/>
      <c r="R64" s="772"/>
      <c r="S64" s="819" t="str">
        <f>S5</f>
        <v>For  the 12 months ended 12/31/2026</v>
      </c>
      <c r="T64" s="793"/>
      <c r="U64" s="792"/>
      <c r="V64" s="793"/>
      <c r="W64" s="792"/>
    </row>
    <row r="65" spans="1:26" ht="14.25" customHeight="1">
      <c r="A65" s="816"/>
      <c r="C65" s="767"/>
      <c r="D65" s="767"/>
      <c r="E65" s="767"/>
      <c r="F65" s="767"/>
      <c r="G65" s="767"/>
      <c r="H65" s="767"/>
      <c r="I65" s="767"/>
      <c r="J65" s="767"/>
      <c r="K65" s="767"/>
      <c r="L65" s="767"/>
      <c r="M65" s="767"/>
      <c r="N65" s="767"/>
      <c r="O65" s="767"/>
      <c r="P65" s="767"/>
      <c r="R65" s="772"/>
      <c r="S65" s="767" t="s">
        <v>489</v>
      </c>
      <c r="T65" s="793"/>
      <c r="U65" s="792"/>
      <c r="V65" s="793"/>
      <c r="W65" s="792"/>
    </row>
    <row r="66" spans="1:26">
      <c r="A66" s="816"/>
      <c r="H66" s="767"/>
      <c r="I66" s="767"/>
      <c r="J66" s="767" t="str">
        <f>J8</f>
        <v>American Transmission Company LLC</v>
      </c>
      <c r="K66" s="767"/>
      <c r="L66" s="767"/>
      <c r="M66" s="767"/>
      <c r="N66" s="767"/>
      <c r="O66" s="767"/>
      <c r="P66" s="767"/>
      <c r="Q66" s="767"/>
      <c r="R66" s="772"/>
      <c r="S66" s="772"/>
      <c r="T66" s="793"/>
      <c r="U66" s="792"/>
      <c r="V66" s="793"/>
      <c r="W66" s="792"/>
    </row>
    <row r="67" spans="1:26">
      <c r="A67" s="816"/>
      <c r="H67" s="774"/>
      <c r="I67" s="774"/>
      <c r="J67" s="774"/>
      <c r="K67" s="774"/>
      <c r="L67" s="774"/>
      <c r="M67" s="774"/>
      <c r="N67" s="774"/>
      <c r="O67" s="774"/>
      <c r="P67" s="774"/>
      <c r="Q67" s="774"/>
      <c r="R67" s="774"/>
      <c r="S67" s="774"/>
      <c r="T67" s="793"/>
      <c r="U67" s="792"/>
      <c r="V67" s="793"/>
      <c r="W67" s="792"/>
    </row>
    <row r="68" spans="1:26" ht="15.75">
      <c r="A68" s="816"/>
      <c r="C68" s="767"/>
      <c r="D68" s="767"/>
      <c r="E68" s="767"/>
      <c r="F68" s="767"/>
      <c r="G68" s="767"/>
      <c r="I68" s="881" t="s">
        <v>619</v>
      </c>
      <c r="L68" s="774"/>
      <c r="M68" s="774"/>
      <c r="N68" s="774"/>
      <c r="O68" s="774"/>
      <c r="P68" s="774"/>
      <c r="Q68" s="774"/>
      <c r="R68" s="772"/>
      <c r="S68" s="772"/>
      <c r="T68" s="793"/>
      <c r="U68" s="792"/>
      <c r="V68" s="793"/>
      <c r="W68" s="792"/>
    </row>
    <row r="69" spans="1:26" ht="15.75">
      <c r="A69" s="816"/>
      <c r="C69" s="767"/>
      <c r="D69" s="767"/>
      <c r="E69" s="767"/>
      <c r="F69" s="767"/>
      <c r="G69" s="767"/>
      <c r="H69" s="817"/>
      <c r="I69" s="817"/>
      <c r="L69" s="774"/>
      <c r="M69" s="774"/>
      <c r="N69" s="774"/>
      <c r="O69" s="774"/>
      <c r="P69" s="774"/>
      <c r="Q69" s="774"/>
      <c r="R69" s="772"/>
      <c r="S69" s="772"/>
      <c r="T69" s="793"/>
      <c r="U69" s="792"/>
      <c r="V69" s="793"/>
      <c r="W69" s="792"/>
    </row>
    <row r="70" spans="1:26" ht="15.75">
      <c r="A70" s="880"/>
      <c r="C70" s="879" t="s">
        <v>62</v>
      </c>
      <c r="D70" s="879" t="s">
        <v>63</v>
      </c>
      <c r="E70" s="879" t="s">
        <v>64</v>
      </c>
      <c r="F70" s="879" t="s">
        <v>65</v>
      </c>
      <c r="G70" s="879" t="s">
        <v>66</v>
      </c>
      <c r="H70" s="879" t="s">
        <v>618</v>
      </c>
      <c r="I70" s="879" t="s">
        <v>617</v>
      </c>
      <c r="J70" s="879" t="s">
        <v>616</v>
      </c>
      <c r="K70" s="879" t="s">
        <v>615</v>
      </c>
      <c r="L70" s="879" t="s">
        <v>614</v>
      </c>
      <c r="M70" s="879" t="s">
        <v>613</v>
      </c>
      <c r="N70" s="879" t="s">
        <v>612</v>
      </c>
      <c r="O70" s="879" t="s">
        <v>611</v>
      </c>
      <c r="P70" s="879" t="s">
        <v>610</v>
      </c>
      <c r="Q70" s="879" t="s">
        <v>609</v>
      </c>
      <c r="R70" s="879" t="s">
        <v>608</v>
      </c>
      <c r="S70" s="879" t="s">
        <v>607</v>
      </c>
      <c r="T70" s="793"/>
      <c r="U70" s="792"/>
      <c r="V70" s="793"/>
      <c r="W70" s="792"/>
    </row>
    <row r="71" spans="1:26" ht="85.5" customHeight="1">
      <c r="A71" s="814" t="s">
        <v>486</v>
      </c>
      <c r="B71" s="813"/>
      <c r="C71" s="812" t="s">
        <v>485</v>
      </c>
      <c r="D71" s="812" t="s">
        <v>484</v>
      </c>
      <c r="E71" s="812" t="s">
        <v>606</v>
      </c>
      <c r="F71" s="812" t="s">
        <v>605</v>
      </c>
      <c r="G71" s="812" t="s">
        <v>604</v>
      </c>
      <c r="H71" s="810" t="s">
        <v>603</v>
      </c>
      <c r="I71" s="810" t="s">
        <v>602</v>
      </c>
      <c r="J71" s="878" t="s">
        <v>601</v>
      </c>
      <c r="K71" s="811" t="s">
        <v>481</v>
      </c>
      <c r="L71" s="810" t="s">
        <v>480</v>
      </c>
      <c r="M71" s="810" t="s">
        <v>479</v>
      </c>
      <c r="N71" s="811" t="s">
        <v>478</v>
      </c>
      <c r="O71" s="810" t="s">
        <v>477</v>
      </c>
      <c r="P71" s="810" t="s">
        <v>1135</v>
      </c>
      <c r="Q71" s="807" t="s">
        <v>475</v>
      </c>
      <c r="R71" s="808" t="s">
        <v>474</v>
      </c>
      <c r="S71" s="807" t="s">
        <v>600</v>
      </c>
      <c r="T71" s="806"/>
      <c r="U71" s="792"/>
      <c r="V71" s="793"/>
      <c r="W71" s="792"/>
    </row>
    <row r="72" spans="1:26" ht="46.5" customHeight="1">
      <c r="A72" s="805"/>
      <c r="B72" s="804"/>
      <c r="C72" s="804"/>
      <c r="D72" s="804"/>
      <c r="E72" s="876" t="s">
        <v>33</v>
      </c>
      <c r="F72" s="804"/>
      <c r="G72" s="804" t="s">
        <v>599</v>
      </c>
      <c r="H72" s="876" t="s">
        <v>598</v>
      </c>
      <c r="I72" s="802" t="s">
        <v>597</v>
      </c>
      <c r="J72" s="876" t="s">
        <v>596</v>
      </c>
      <c r="K72" s="877" t="s">
        <v>595</v>
      </c>
      <c r="L72" s="876" t="s">
        <v>594</v>
      </c>
      <c r="M72" s="802" t="s">
        <v>470</v>
      </c>
      <c r="N72" s="803" t="s">
        <v>593</v>
      </c>
      <c r="O72" s="802" t="s">
        <v>57</v>
      </c>
      <c r="P72" s="802" t="s">
        <v>468</v>
      </c>
      <c r="Q72" s="800" t="s">
        <v>592</v>
      </c>
      <c r="R72" s="799" t="s">
        <v>466</v>
      </c>
      <c r="S72" s="798" t="s">
        <v>591</v>
      </c>
      <c r="T72" s="793"/>
      <c r="U72" s="792"/>
      <c r="V72" s="793"/>
      <c r="W72" s="792"/>
    </row>
    <row r="73" spans="1:26">
      <c r="A73" s="797" t="s">
        <v>590</v>
      </c>
      <c r="B73" s="774"/>
      <c r="C73" s="774"/>
      <c r="D73" s="774"/>
      <c r="E73" s="774"/>
      <c r="F73" s="774"/>
      <c r="G73" s="774"/>
      <c r="H73" s="774"/>
      <c r="I73" s="774"/>
      <c r="J73" s="774"/>
      <c r="K73" s="795"/>
      <c r="L73" s="774"/>
      <c r="M73" s="774"/>
      <c r="N73" s="795"/>
      <c r="O73" s="774"/>
      <c r="P73" s="774"/>
      <c r="Q73" s="795"/>
      <c r="R73" s="772"/>
      <c r="S73" s="794"/>
      <c r="T73" s="793"/>
      <c r="U73" s="792"/>
      <c r="V73" s="793"/>
      <c r="W73" s="792"/>
    </row>
    <row r="74" spans="1:26" ht="15.75">
      <c r="A74" s="875" t="s">
        <v>140</v>
      </c>
      <c r="C74" s="757" t="s">
        <v>887</v>
      </c>
      <c r="D74" s="821">
        <v>2844</v>
      </c>
      <c r="E74" s="514">
        <f>SUMIF('MM Support Data'!$C$7:$O$7,$D74,'MM Support Data'!$C$23:$O$23)</f>
        <v>33509843.040000003</v>
      </c>
      <c r="F74" s="514">
        <f>SUMIF('MM Support Data'!$C$7:$O$7,$D74,'MM Support Data'!$C$39:$O$39)</f>
        <v>9048376.8378373347</v>
      </c>
      <c r="G74" s="872">
        <f t="shared" ref="G74:G97" si="0">$L$31</f>
        <v>4.5408415945214387E-2</v>
      </c>
      <c r="H74" s="873">
        <f t="shared" ref="H74:H97" si="1">ROUND(F74*G74,0)</f>
        <v>410872</v>
      </c>
      <c r="I74" s="872">
        <f t="shared" ref="I74:I97" si="2">$L$46</f>
        <v>1.4259253749758654E-2</v>
      </c>
      <c r="J74" s="837">
        <f>ROUND(E74*I74,0)</f>
        <v>477825</v>
      </c>
      <c r="K74" s="899">
        <f t="shared" ref="K74:K97" si="3">ROUND(SUM(H74+J74,),0)</f>
        <v>888697</v>
      </c>
      <c r="L74" s="873">
        <f>E74-F74</f>
        <v>24461466.202162668</v>
      </c>
      <c r="M74" s="872">
        <f t="shared" ref="M74:M97" si="4">$L$56</f>
        <v>8.5322422523215147E-2</v>
      </c>
      <c r="N74" s="871">
        <f t="shared" ref="N74:N97" si="5">ROUND(L74*M74,0)</f>
        <v>2087112</v>
      </c>
      <c r="O74" s="514">
        <f>SUMIF('MM Support Data'!$C$7:$O$7,$D74,'MM Support Data'!$C$59:$O$59)</f>
        <v>699857.99783732661</v>
      </c>
      <c r="P74" s="514">
        <f>SUMIF('MM Support Data'!$C$7:$O$7,$D74,'MM Support Data'!$C$64:$O$64)</f>
        <v>0</v>
      </c>
      <c r="Q74" s="898">
        <f t="shared" ref="Q74:Q97" si="6">ROUND(SUM(K74+N74+O74+P74),0)</f>
        <v>3675667</v>
      </c>
      <c r="R74" s="870">
        <f>IF(ISNA(VLOOKUP(D74,'MM True-up Template'!$A$55:$AO$64,41,FALSE)),0,VLOOKUP(D74,'MM True-up Template'!$A$55:$AO$64,41,FALSE))</f>
        <v>291568.78548287851</v>
      </c>
      <c r="S74" s="869">
        <f t="shared" ref="S74:S97" si="7">Q74+R74</f>
        <v>3967235.7854828783</v>
      </c>
      <c r="T74" s="758"/>
      <c r="U74" s="758"/>
      <c r="V74" s="758"/>
      <c r="W74" s="758"/>
      <c r="X74" s="758"/>
      <c r="Y74" s="758"/>
      <c r="Z74" s="758"/>
    </row>
    <row r="75" spans="1:26" ht="15.75">
      <c r="A75" s="875" t="s">
        <v>464</v>
      </c>
      <c r="C75" s="757" t="s">
        <v>888</v>
      </c>
      <c r="D75" s="821">
        <v>3127</v>
      </c>
      <c r="E75" s="514">
        <f>SUMIF('MM Support Data'!$C$7:$O$7,$D75,'MM Support Data'!$C$23:$O$23)</f>
        <v>553229563.4529767</v>
      </c>
      <c r="F75" s="514">
        <f>SUMIF('MM Support Data'!$C$7:$O$7,$D75,'MM Support Data'!$C$39:$O$39)</f>
        <v>64681356.079403557</v>
      </c>
      <c r="G75" s="872">
        <f t="shared" si="0"/>
        <v>4.5408415945214387E-2</v>
      </c>
      <c r="H75" s="873">
        <f t="shared" si="1"/>
        <v>2937078</v>
      </c>
      <c r="I75" s="872">
        <f t="shared" si="2"/>
        <v>1.4259253749758654E-2</v>
      </c>
      <c r="J75" s="837">
        <f>ROUND(E75*I75,0)</f>
        <v>7888641</v>
      </c>
      <c r="K75" s="899">
        <f t="shared" si="3"/>
        <v>10825719</v>
      </c>
      <c r="L75" s="873">
        <f>E75-F75</f>
        <v>488548207.37357312</v>
      </c>
      <c r="M75" s="872">
        <f t="shared" si="4"/>
        <v>8.5322422523215147E-2</v>
      </c>
      <c r="N75" s="871">
        <f t="shared" si="5"/>
        <v>41684117</v>
      </c>
      <c r="O75" s="514">
        <f>SUMIF('MM Support Data'!$C$7:$O$7,$D75,'MM Support Data'!$C$59:$O$59)</f>
        <v>12014812.670677328</v>
      </c>
      <c r="P75" s="514">
        <f>SUMIF('MM Support Data'!$C$7:$O$7,$D75,'MM Support Data'!$C$64:$O$64)</f>
        <v>0</v>
      </c>
      <c r="Q75" s="898">
        <f t="shared" si="6"/>
        <v>64524649</v>
      </c>
      <c r="R75" s="870">
        <f>IF(ISNA(VLOOKUP(D75,'MM True-up Template'!$A$55:$AO$64,41,FALSE)),0,VLOOKUP(D75,'MM True-up Template'!$A$55:$AO$64,41,FALSE))</f>
        <v>3096983.0732371476</v>
      </c>
      <c r="S75" s="869">
        <f t="shared" si="7"/>
        <v>67621632.073237151</v>
      </c>
      <c r="T75" s="758"/>
      <c r="U75" s="758"/>
      <c r="V75" s="758"/>
      <c r="W75" s="758"/>
      <c r="X75" s="758"/>
      <c r="Y75" s="758"/>
      <c r="Z75" s="758"/>
    </row>
    <row r="76" spans="1:26" ht="15.75">
      <c r="A76" s="875" t="s">
        <v>463</v>
      </c>
      <c r="C76" s="757" t="s">
        <v>1004</v>
      </c>
      <c r="D76" s="821">
        <v>23408</v>
      </c>
      <c r="E76" s="514">
        <f>SUMIF('MM Support Data'!$C$7:$O$7,$D76,'MM Support Data'!$C$23:$O$23)</f>
        <v>81813670.864615396</v>
      </c>
      <c r="F76" s="514">
        <f>SUMIF('MM Support Data'!$C$7:$O$7,$D76,'MM Support Data'!$C$39:$O$39)</f>
        <v>52036.690957003491</v>
      </c>
      <c r="G76" s="872">
        <f t="shared" si="0"/>
        <v>4.5408415945214387E-2</v>
      </c>
      <c r="H76" s="873">
        <f t="shared" si="1"/>
        <v>2363</v>
      </c>
      <c r="I76" s="872">
        <f t="shared" si="2"/>
        <v>1.4259253749758654E-2</v>
      </c>
      <c r="J76" s="837">
        <f t="shared" ref="J76:J97" si="8">ROUND(E76*I76,0)</f>
        <v>1166602</v>
      </c>
      <c r="K76" s="899">
        <f t="shared" si="3"/>
        <v>1168965</v>
      </c>
      <c r="L76" s="873">
        <f t="shared" ref="L76:L97" si="9">E76-F76</f>
        <v>81761634.173658386</v>
      </c>
      <c r="M76" s="872">
        <f t="shared" si="4"/>
        <v>8.5322422523215147E-2</v>
      </c>
      <c r="N76" s="871">
        <f t="shared" si="5"/>
        <v>6976101</v>
      </c>
      <c r="O76" s="514">
        <f>SUMIF('MM Support Data'!$C$7:$O$7,$D76,'MM Support Data'!$C$59:$O$59)</f>
        <v>104073.38191400001</v>
      </c>
      <c r="P76" s="514">
        <f>SUMIF('MM Support Data'!$C$7:$O$7,$D76,'MM Support Data'!$C$64:$O$64)</f>
        <v>401764.72</v>
      </c>
      <c r="Q76" s="898">
        <f t="shared" si="6"/>
        <v>8650904</v>
      </c>
      <c r="R76" s="870">
        <f>IF(ISNA(VLOOKUP(D76,'MM True-up Template'!$A$55:$AO$64,41,FALSE)),0,VLOOKUP(D76,'MM True-up Template'!$A$55:$AO$64,41,FALSE))</f>
        <v>6613864.1386575969</v>
      </c>
      <c r="S76" s="869">
        <f t="shared" si="7"/>
        <v>15264768.138657596</v>
      </c>
      <c r="T76" s="758"/>
      <c r="U76" s="758"/>
      <c r="V76" s="758"/>
      <c r="W76" s="758"/>
      <c r="X76" s="758"/>
      <c r="Y76" s="758"/>
      <c r="Z76" s="758"/>
    </row>
    <row r="77" spans="1:26" ht="15.75">
      <c r="A77" s="875" t="s">
        <v>462</v>
      </c>
      <c r="C77" s="757" t="s">
        <v>1005</v>
      </c>
      <c r="D77" s="821">
        <v>23372</v>
      </c>
      <c r="E77" s="514">
        <f>SUMIF('MM Support Data'!$C$7:$O$7,$D77,'MM Support Data'!$C$23:$O$23)</f>
        <v>1993154.1584615381</v>
      </c>
      <c r="F77" s="514">
        <f>SUMIF('MM Support Data'!$C$7:$O$7,$D77,'MM Support Data'!$C$39:$O$39)</f>
        <v>27847.91648199995</v>
      </c>
      <c r="G77" s="872">
        <f t="shared" si="0"/>
        <v>4.5408415945214387E-2</v>
      </c>
      <c r="H77" s="873">
        <f t="shared" si="1"/>
        <v>1265</v>
      </c>
      <c r="I77" s="872">
        <f t="shared" si="2"/>
        <v>1.4259253749758654E-2</v>
      </c>
      <c r="J77" s="837">
        <f t="shared" si="8"/>
        <v>28421</v>
      </c>
      <c r="K77" s="899">
        <f t="shared" si="3"/>
        <v>29686</v>
      </c>
      <c r="L77" s="873">
        <f t="shared" si="9"/>
        <v>1965306.2419795382</v>
      </c>
      <c r="M77" s="872">
        <f t="shared" si="4"/>
        <v>8.5322422523215147E-2</v>
      </c>
      <c r="N77" s="871">
        <f t="shared" si="5"/>
        <v>167685</v>
      </c>
      <c r="O77" s="514">
        <f>SUMIF('MM Support Data'!$C$7:$O$7,$D77,'MM Support Data'!$C$59:$O$59)</f>
        <v>27847.91648199999</v>
      </c>
      <c r="P77" s="514">
        <f>SUMIF('MM Support Data'!$C$7:$O$7,$D77,'MM Support Data'!$C$64:$O$64)</f>
        <v>0</v>
      </c>
      <c r="Q77" s="898">
        <f t="shared" si="6"/>
        <v>225219</v>
      </c>
      <c r="R77" s="870">
        <f>IF(ISNA(VLOOKUP(D77,'MM True-up Template'!$A$55:$AO$64,41,FALSE)),0,VLOOKUP(D77,'MM True-up Template'!$A$55:$AO$64,41,FALSE))</f>
        <v>-4550045.5160365142</v>
      </c>
      <c r="S77" s="869">
        <f t="shared" si="7"/>
        <v>-4324826.5160365142</v>
      </c>
      <c r="T77" s="758"/>
      <c r="U77" s="758"/>
      <c r="V77" s="758"/>
      <c r="W77" s="758"/>
      <c r="X77" s="758"/>
      <c r="Y77" s="758"/>
      <c r="Z77" s="758"/>
    </row>
    <row r="78" spans="1:26" ht="15.75">
      <c r="A78" s="875" t="s">
        <v>462</v>
      </c>
      <c r="C78" s="757" t="s">
        <v>1154</v>
      </c>
      <c r="D78" s="821">
        <v>50559</v>
      </c>
      <c r="E78" s="514">
        <f>SUMIF('MM Support Data'!$C$7:$O$7,$D78,'MM Support Data'!$C$23:$O$23)</f>
        <v>0</v>
      </c>
      <c r="F78" s="514">
        <f>SUMIF('MM Support Data'!$C$7:$O$7,$D78,'MM Support Data'!$C$39:$O$39)</f>
        <v>0</v>
      </c>
      <c r="G78" s="872">
        <f t="shared" si="0"/>
        <v>4.5408415945214387E-2</v>
      </c>
      <c r="H78" s="873">
        <f t="shared" si="1"/>
        <v>0</v>
      </c>
      <c r="I78" s="872">
        <f t="shared" si="2"/>
        <v>1.4259253749758654E-2</v>
      </c>
      <c r="J78" s="837">
        <f t="shared" si="8"/>
        <v>0</v>
      </c>
      <c r="K78" s="899">
        <f t="shared" si="3"/>
        <v>0</v>
      </c>
      <c r="L78" s="873">
        <f t="shared" si="9"/>
        <v>0</v>
      </c>
      <c r="M78" s="872">
        <f t="shared" si="4"/>
        <v>8.5322422523215147E-2</v>
      </c>
      <c r="N78" s="871">
        <f t="shared" si="5"/>
        <v>0</v>
      </c>
      <c r="O78" s="514">
        <f>SUMIF('MM Support Data'!$C$7:$O$7,$D78,'MM Support Data'!$C$59:$O$59)</f>
        <v>0</v>
      </c>
      <c r="P78" s="514">
        <f>SUMIF('MM Support Data'!$C$7:$O$7,$D78,'MM Support Data'!$C$64:$O$64)</f>
        <v>30296</v>
      </c>
      <c r="Q78" s="898">
        <f t="shared" si="6"/>
        <v>30296</v>
      </c>
      <c r="R78" s="870">
        <f>IF(ISNA(VLOOKUP(D78,'MM True-up Template'!$A$55:$AO$64,41,FALSE)),0,VLOOKUP(D78,'MM True-up Template'!$A$55:$AO$64,41,FALSE))</f>
        <v>0</v>
      </c>
      <c r="S78" s="869">
        <f t="shared" si="7"/>
        <v>30296</v>
      </c>
      <c r="T78" s="758"/>
      <c r="U78" s="758"/>
      <c r="V78" s="758"/>
      <c r="W78" s="758"/>
      <c r="X78" s="758"/>
      <c r="Y78" s="758"/>
      <c r="Z78" s="758"/>
    </row>
    <row r="79" spans="1:26" ht="15.75">
      <c r="A79" s="875" t="s">
        <v>915</v>
      </c>
      <c r="C79" s="757" t="s">
        <v>1152</v>
      </c>
      <c r="D79" s="821">
        <v>50562</v>
      </c>
      <c r="E79" s="514">
        <f>SUMIF('MM Support Data'!$C$7:$O$7,$D79,'MM Support Data'!$C$23:$O$23)</f>
        <v>2517330.7569230772</v>
      </c>
      <c r="F79" s="514">
        <f>SUMIF('MM Support Data'!$C$7:$O$7,$D79,'MM Support Data'!$C$39:$O$39)</f>
        <v>0</v>
      </c>
      <c r="G79" s="872">
        <f t="shared" si="0"/>
        <v>4.5408415945214387E-2</v>
      </c>
      <c r="H79" s="873">
        <f t="shared" si="1"/>
        <v>0</v>
      </c>
      <c r="I79" s="872">
        <f t="shared" si="2"/>
        <v>1.4259253749758654E-2</v>
      </c>
      <c r="J79" s="837">
        <f t="shared" si="8"/>
        <v>35895</v>
      </c>
      <c r="K79" s="899">
        <f t="shared" si="3"/>
        <v>35895</v>
      </c>
      <c r="L79" s="873">
        <f t="shared" si="9"/>
        <v>2517330.7569230772</v>
      </c>
      <c r="M79" s="872">
        <f t="shared" si="4"/>
        <v>8.5322422523215147E-2</v>
      </c>
      <c r="N79" s="871">
        <f t="shared" si="5"/>
        <v>214785</v>
      </c>
      <c r="O79" s="514">
        <f>SUMIF('MM Support Data'!$C$7:$O$7,$D79,'MM Support Data'!$C$59:$O$59)</f>
        <v>0</v>
      </c>
      <c r="P79" s="514">
        <f>SUMIF('MM Support Data'!$C$7:$O$7,$D79,'MM Support Data'!$C$64:$O$64)</f>
        <v>2185992.04</v>
      </c>
      <c r="Q79" s="898">
        <f t="shared" si="6"/>
        <v>2436672</v>
      </c>
      <c r="R79" s="870">
        <f>IF(ISNA(VLOOKUP(D79,'MM True-up Template'!$A$55:$AO$64,41,FALSE)),0,VLOOKUP(D79,'MM True-up Template'!$A$55:$AO$64,41,FALSE))</f>
        <v>0</v>
      </c>
      <c r="S79" s="869">
        <f t="shared" si="7"/>
        <v>2436672</v>
      </c>
      <c r="T79" s="758"/>
      <c r="U79" s="758"/>
      <c r="V79" s="758"/>
      <c r="W79" s="758"/>
      <c r="X79" s="758"/>
      <c r="Y79" s="758"/>
      <c r="Z79" s="758"/>
    </row>
    <row r="80" spans="1:26" ht="15.75">
      <c r="A80" s="875" t="s">
        <v>461</v>
      </c>
      <c r="C80" s="757" t="s">
        <v>1153</v>
      </c>
      <c r="D80" s="821">
        <v>50563</v>
      </c>
      <c r="E80" s="514">
        <f>SUMIF('MM Support Data'!$C$7:$O$7,$D80,'MM Support Data'!$C$23:$O$23)</f>
        <v>0</v>
      </c>
      <c r="F80" s="514">
        <f>SUMIF('MM Support Data'!$C$7:$O$7,$D80,'MM Support Data'!$C$39:$O$39)</f>
        <v>0</v>
      </c>
      <c r="G80" s="872">
        <f t="shared" si="0"/>
        <v>4.5408415945214387E-2</v>
      </c>
      <c r="H80" s="873">
        <f t="shared" si="1"/>
        <v>0</v>
      </c>
      <c r="I80" s="872">
        <f t="shared" si="2"/>
        <v>1.4259253749758654E-2</v>
      </c>
      <c r="J80" s="837">
        <f t="shared" si="8"/>
        <v>0</v>
      </c>
      <c r="K80" s="899">
        <f t="shared" si="3"/>
        <v>0</v>
      </c>
      <c r="L80" s="873">
        <f t="shared" si="9"/>
        <v>0</v>
      </c>
      <c r="M80" s="872">
        <f t="shared" si="4"/>
        <v>8.5322422523215147E-2</v>
      </c>
      <c r="N80" s="871">
        <f t="shared" si="5"/>
        <v>0</v>
      </c>
      <c r="O80" s="514">
        <f>SUMIF('MM Support Data'!$C$7:$O$7,$D80,'MM Support Data'!$C$59:$O$59)</f>
        <v>0</v>
      </c>
      <c r="P80" s="514">
        <f>SUMIF('MM Support Data'!$C$7:$O$7,$D80,'MM Support Data'!$C$64:$O$64)</f>
        <v>30296</v>
      </c>
      <c r="Q80" s="898">
        <f t="shared" si="6"/>
        <v>30296</v>
      </c>
      <c r="R80" s="870">
        <f>IF(ISNA(VLOOKUP(D80,'MM True-up Template'!$A$55:$AO$64,41,FALSE)),0,VLOOKUP(D80,'MM True-up Template'!$A$55:$AO$64,41,FALSE))</f>
        <v>0</v>
      </c>
      <c r="S80" s="869">
        <f t="shared" si="7"/>
        <v>30296</v>
      </c>
      <c r="T80" s="758"/>
      <c r="U80" s="758"/>
      <c r="V80" s="758"/>
      <c r="W80" s="758"/>
      <c r="X80" s="758"/>
      <c r="Y80" s="758"/>
      <c r="Z80" s="758"/>
    </row>
    <row r="81" spans="1:26" ht="15.75">
      <c r="A81" s="875" t="s">
        <v>460</v>
      </c>
      <c r="D81" s="821"/>
      <c r="E81" s="514">
        <f>SUMIF('MM Support Data'!$C$7:$O$7,$D81,'MM Support Data'!$C$23:$O$23)</f>
        <v>0</v>
      </c>
      <c r="F81" s="514">
        <f>SUMIF('MM Support Data'!$C$7:$O$7,$D81,'MM Support Data'!$C$39:$O$39)</f>
        <v>0</v>
      </c>
      <c r="G81" s="872">
        <f t="shared" si="0"/>
        <v>4.5408415945214387E-2</v>
      </c>
      <c r="H81" s="873">
        <f t="shared" si="1"/>
        <v>0</v>
      </c>
      <c r="I81" s="872">
        <f t="shared" si="2"/>
        <v>1.4259253749758654E-2</v>
      </c>
      <c r="J81" s="837">
        <f t="shared" si="8"/>
        <v>0</v>
      </c>
      <c r="K81" s="899">
        <f t="shared" si="3"/>
        <v>0</v>
      </c>
      <c r="L81" s="873">
        <f t="shared" si="9"/>
        <v>0</v>
      </c>
      <c r="M81" s="872">
        <f t="shared" si="4"/>
        <v>8.5322422523215147E-2</v>
      </c>
      <c r="N81" s="871">
        <f t="shared" si="5"/>
        <v>0</v>
      </c>
      <c r="O81" s="514">
        <f>SUMIF('MM Support Data'!$C$7:$O$7,$D81,'MM Support Data'!$C$59:$O$59)</f>
        <v>0</v>
      </c>
      <c r="P81" s="514">
        <f>SUMIF('MM Support Data'!$C$7:$O$7,$D81,'MM Support Data'!$C$64:$O$64)</f>
        <v>0</v>
      </c>
      <c r="Q81" s="898">
        <f t="shared" si="6"/>
        <v>0</v>
      </c>
      <c r="R81" s="870">
        <f>IF(ISNA(VLOOKUP(D81,'MM True-up Template'!$A$55:$AO$64,41,FALSE)),0,VLOOKUP(D81,'MM True-up Template'!$A$55:$AO$64,41,FALSE))</f>
        <v>0</v>
      </c>
      <c r="S81" s="869">
        <f t="shared" si="7"/>
        <v>0</v>
      </c>
      <c r="T81" s="758"/>
      <c r="U81" s="758"/>
      <c r="V81" s="758"/>
      <c r="W81" s="758"/>
      <c r="X81" s="758"/>
      <c r="Y81" s="758"/>
      <c r="Z81" s="758"/>
    </row>
    <row r="82" spans="1:26" ht="15.75">
      <c r="A82" s="875" t="s">
        <v>458</v>
      </c>
      <c r="C82" s="758"/>
      <c r="D82" s="874"/>
      <c r="E82" s="514">
        <f>SUMIF('MM Support Data'!$C$7:$O$7,$D82,'MM Support Data'!$C$23:$O$23)</f>
        <v>0</v>
      </c>
      <c r="F82" s="514">
        <f>SUMIF('MM Support Data'!$C$7:$O$7,$D82,'MM Support Data'!$C$39:$O$39)</f>
        <v>0</v>
      </c>
      <c r="G82" s="872">
        <f t="shared" si="0"/>
        <v>4.5408415945214387E-2</v>
      </c>
      <c r="H82" s="873">
        <f t="shared" si="1"/>
        <v>0</v>
      </c>
      <c r="I82" s="872">
        <f t="shared" si="2"/>
        <v>1.4259253749758654E-2</v>
      </c>
      <c r="J82" s="837">
        <f t="shared" si="8"/>
        <v>0</v>
      </c>
      <c r="K82" s="899">
        <f t="shared" si="3"/>
        <v>0</v>
      </c>
      <c r="L82" s="873">
        <f t="shared" si="9"/>
        <v>0</v>
      </c>
      <c r="M82" s="872">
        <f t="shared" si="4"/>
        <v>8.5322422523215147E-2</v>
      </c>
      <c r="N82" s="871">
        <f t="shared" si="5"/>
        <v>0</v>
      </c>
      <c r="O82" s="514">
        <f>SUMIF('MM Support Data'!$C$7:$O$7,$D82,'MM Support Data'!$C$59:$O$59)</f>
        <v>0</v>
      </c>
      <c r="P82" s="514">
        <f>SUMIF('MM Support Data'!$C$7:$O$7,$D82,'MM Support Data'!$C$64:$O$64)</f>
        <v>0</v>
      </c>
      <c r="Q82" s="898">
        <f t="shared" si="6"/>
        <v>0</v>
      </c>
      <c r="R82" s="870">
        <f>IF(ISNA(VLOOKUP(D82,'MM True-up Template'!$A$55:$AO$64,41,FALSE)),0,VLOOKUP(D82,'MM True-up Template'!$A$55:$AO$64,41,FALSE))</f>
        <v>0</v>
      </c>
      <c r="S82" s="869">
        <f t="shared" si="7"/>
        <v>0</v>
      </c>
      <c r="T82" s="758"/>
      <c r="U82" s="758"/>
      <c r="V82" s="758"/>
      <c r="W82" s="758"/>
      <c r="X82" s="758"/>
      <c r="Y82" s="758"/>
      <c r="Z82" s="758"/>
    </row>
    <row r="83" spans="1:26" ht="15.75">
      <c r="A83" s="875" t="s">
        <v>457</v>
      </c>
      <c r="C83" s="758"/>
      <c r="D83" s="874"/>
      <c r="E83" s="514">
        <f>SUMIF('MM Support Data'!$C$7:$O$7,$D83,'MM Support Data'!$C$23:$O$23)</f>
        <v>0</v>
      </c>
      <c r="F83" s="514">
        <f>SUMIF('MM Support Data'!$C$7:$O$7,$D83,'MM Support Data'!$C$39:$O$39)</f>
        <v>0</v>
      </c>
      <c r="G83" s="872">
        <f t="shared" si="0"/>
        <v>4.5408415945214387E-2</v>
      </c>
      <c r="H83" s="873">
        <f t="shared" si="1"/>
        <v>0</v>
      </c>
      <c r="I83" s="872">
        <f t="shared" si="2"/>
        <v>1.4259253749758654E-2</v>
      </c>
      <c r="J83" s="837">
        <f t="shared" si="8"/>
        <v>0</v>
      </c>
      <c r="K83" s="899">
        <f t="shared" si="3"/>
        <v>0</v>
      </c>
      <c r="L83" s="873">
        <f t="shared" si="9"/>
        <v>0</v>
      </c>
      <c r="M83" s="872">
        <f t="shared" si="4"/>
        <v>8.5322422523215147E-2</v>
      </c>
      <c r="N83" s="871">
        <f t="shared" si="5"/>
        <v>0</v>
      </c>
      <c r="O83" s="514">
        <f>SUMIF('MM Support Data'!$C$7:$O$7,$D83,'MM Support Data'!$C$59:$O$59)</f>
        <v>0</v>
      </c>
      <c r="P83" s="514">
        <f>SUMIF('MM Support Data'!$C$7:$O$7,$D83,'MM Support Data'!$C$64:$O$64)</f>
        <v>0</v>
      </c>
      <c r="Q83" s="898">
        <f t="shared" si="6"/>
        <v>0</v>
      </c>
      <c r="R83" s="870">
        <f>IF(ISNA(VLOOKUP(D83,'MM True-up Template'!$A$55:$AO$64,41,FALSE)),0,VLOOKUP(D83,'MM True-up Template'!$A$55:$AO$64,41,FALSE))</f>
        <v>0</v>
      </c>
      <c r="S83" s="869">
        <f t="shared" si="7"/>
        <v>0</v>
      </c>
      <c r="T83" s="758"/>
      <c r="U83" s="758"/>
      <c r="V83" s="758"/>
      <c r="W83" s="758"/>
      <c r="X83" s="758"/>
      <c r="Y83" s="758"/>
      <c r="Z83" s="758"/>
    </row>
    <row r="84" spans="1:26" ht="15.75">
      <c r="A84" s="875" t="s">
        <v>456</v>
      </c>
      <c r="C84" s="758"/>
      <c r="D84" s="874"/>
      <c r="E84" s="514">
        <f>SUMIF('MM Support Data'!$C$7:$O$7,$D84,'MM Support Data'!$C$23:$O$23)</f>
        <v>0</v>
      </c>
      <c r="F84" s="514">
        <f>SUMIF('MM Support Data'!$C$7:$O$7,$D84,'MM Support Data'!$C$39:$O$39)</f>
        <v>0</v>
      </c>
      <c r="G84" s="872">
        <f t="shared" si="0"/>
        <v>4.5408415945214387E-2</v>
      </c>
      <c r="H84" s="873">
        <f t="shared" si="1"/>
        <v>0</v>
      </c>
      <c r="I84" s="872">
        <f t="shared" si="2"/>
        <v>1.4259253749758654E-2</v>
      </c>
      <c r="J84" s="837">
        <f t="shared" si="8"/>
        <v>0</v>
      </c>
      <c r="K84" s="899">
        <f t="shared" si="3"/>
        <v>0</v>
      </c>
      <c r="L84" s="873">
        <f t="shared" si="9"/>
        <v>0</v>
      </c>
      <c r="M84" s="872">
        <f t="shared" si="4"/>
        <v>8.5322422523215147E-2</v>
      </c>
      <c r="N84" s="871">
        <f t="shared" si="5"/>
        <v>0</v>
      </c>
      <c r="O84" s="514">
        <f>SUMIF('MM Support Data'!$C$7:$O$7,$D84,'MM Support Data'!$C$59:$O$59)</f>
        <v>0</v>
      </c>
      <c r="P84" s="514">
        <f>SUMIF('MM Support Data'!$C$7:$O$7,$D84,'MM Support Data'!$C$64:$O$64)</f>
        <v>0</v>
      </c>
      <c r="Q84" s="898">
        <f t="shared" si="6"/>
        <v>0</v>
      </c>
      <c r="R84" s="870">
        <f>IF(ISNA(VLOOKUP(D84,'MM True-up Template'!$A$55:$AO$64,41,FALSE)),0,VLOOKUP(D84,'MM True-up Template'!$A$55:$AO$64,41,FALSE))</f>
        <v>0</v>
      </c>
      <c r="S84" s="869">
        <f t="shared" si="7"/>
        <v>0</v>
      </c>
      <c r="T84" s="758"/>
      <c r="U84" s="758"/>
      <c r="V84" s="758"/>
      <c r="W84" s="758"/>
      <c r="X84" s="758"/>
      <c r="Y84" s="758"/>
      <c r="Z84" s="758"/>
    </row>
    <row r="85" spans="1:26" ht="15.75">
      <c r="A85" s="875" t="s">
        <v>455</v>
      </c>
      <c r="C85" s="758"/>
      <c r="D85" s="874"/>
      <c r="E85" s="514">
        <f>SUMIF('MM Support Data'!$C$7:$O$7,$D85,'MM Support Data'!$C$23:$O$23)</f>
        <v>0</v>
      </c>
      <c r="F85" s="514">
        <f>SUMIF('MM Support Data'!$C$7:$O$7,$D85,'MM Support Data'!$C$39:$O$39)</f>
        <v>0</v>
      </c>
      <c r="G85" s="872">
        <f t="shared" si="0"/>
        <v>4.5408415945214387E-2</v>
      </c>
      <c r="H85" s="873">
        <f t="shared" si="1"/>
        <v>0</v>
      </c>
      <c r="I85" s="872">
        <f t="shared" si="2"/>
        <v>1.4259253749758654E-2</v>
      </c>
      <c r="J85" s="837">
        <f t="shared" si="8"/>
        <v>0</v>
      </c>
      <c r="K85" s="899">
        <f t="shared" si="3"/>
        <v>0</v>
      </c>
      <c r="L85" s="873">
        <f t="shared" si="9"/>
        <v>0</v>
      </c>
      <c r="M85" s="872">
        <f t="shared" si="4"/>
        <v>8.5322422523215147E-2</v>
      </c>
      <c r="N85" s="871">
        <f t="shared" si="5"/>
        <v>0</v>
      </c>
      <c r="O85" s="514">
        <f>SUMIF('MM Support Data'!$C$7:$O$7,$D85,'MM Support Data'!$C$59:$O$59)</f>
        <v>0</v>
      </c>
      <c r="P85" s="514">
        <f>SUMIF('MM Support Data'!$C$7:$O$7,$D85,'MM Support Data'!$C$64:$O$64)</f>
        <v>0</v>
      </c>
      <c r="Q85" s="898">
        <f t="shared" si="6"/>
        <v>0</v>
      </c>
      <c r="R85" s="870">
        <f>IF(ISNA(VLOOKUP(D85,'MM True-up Template'!$A$55:$AO$64,41,FALSE)),0,VLOOKUP(D85,'MM True-up Template'!$A$55:$AO$64,41,FALSE))</f>
        <v>0</v>
      </c>
      <c r="S85" s="869">
        <f t="shared" si="7"/>
        <v>0</v>
      </c>
      <c r="T85" s="758"/>
      <c r="U85" s="758"/>
      <c r="V85" s="758"/>
      <c r="W85" s="758"/>
      <c r="X85" s="758"/>
      <c r="Y85" s="758"/>
      <c r="Z85" s="758"/>
    </row>
    <row r="86" spans="1:26" ht="15.75">
      <c r="A86" s="875" t="s">
        <v>454</v>
      </c>
      <c r="C86" s="758"/>
      <c r="D86" s="874"/>
      <c r="E86" s="514">
        <f>SUMIF('MM Support Data'!$C$7:$O$7,$D86,'MM Support Data'!$C$23:$O$23)</f>
        <v>0</v>
      </c>
      <c r="F86" s="514">
        <f>SUMIF('MM Support Data'!$C$7:$O$7,$D86,'MM Support Data'!$C$39:$O$39)</f>
        <v>0</v>
      </c>
      <c r="G86" s="872">
        <f t="shared" si="0"/>
        <v>4.5408415945214387E-2</v>
      </c>
      <c r="H86" s="873">
        <f t="shared" si="1"/>
        <v>0</v>
      </c>
      <c r="I86" s="872">
        <f t="shared" si="2"/>
        <v>1.4259253749758654E-2</v>
      </c>
      <c r="J86" s="837">
        <f t="shared" si="8"/>
        <v>0</v>
      </c>
      <c r="K86" s="899">
        <f t="shared" si="3"/>
        <v>0</v>
      </c>
      <c r="L86" s="873">
        <f t="shared" si="9"/>
        <v>0</v>
      </c>
      <c r="M86" s="872">
        <f t="shared" si="4"/>
        <v>8.5322422523215147E-2</v>
      </c>
      <c r="N86" s="871">
        <f t="shared" si="5"/>
        <v>0</v>
      </c>
      <c r="O86" s="514">
        <f>SUMIF('MM Support Data'!$C$7:$O$7,$D86,'MM Support Data'!$C$59:$O$59)</f>
        <v>0</v>
      </c>
      <c r="P86" s="514">
        <f>SUMIF('MM Support Data'!$C$7:$O$7,$D86,'MM Support Data'!$C$64:$O$64)</f>
        <v>0</v>
      </c>
      <c r="Q86" s="898">
        <f t="shared" si="6"/>
        <v>0</v>
      </c>
      <c r="R86" s="870">
        <f>IF(ISNA(VLOOKUP(D86,'MM True-up Template'!$A$55:$AO$64,41,FALSE)),0,VLOOKUP(D86,'MM True-up Template'!$A$55:$AO$64,41,FALSE))</f>
        <v>0</v>
      </c>
      <c r="S86" s="869">
        <f t="shared" si="7"/>
        <v>0</v>
      </c>
      <c r="T86" s="758"/>
      <c r="U86" s="758"/>
      <c r="V86" s="758"/>
      <c r="W86" s="758"/>
      <c r="X86" s="758"/>
      <c r="Y86" s="758"/>
      <c r="Z86" s="758"/>
    </row>
    <row r="87" spans="1:26" ht="15.75">
      <c r="A87" s="875" t="s">
        <v>453</v>
      </c>
      <c r="C87" s="758"/>
      <c r="D87" s="874"/>
      <c r="E87" s="514">
        <f>SUMIF('MM Support Data'!$C$7:$O$7,$D87,'MM Support Data'!$C$23:$O$23)</f>
        <v>0</v>
      </c>
      <c r="F87" s="514">
        <f>SUMIF('MM Support Data'!$C$7:$O$7,$D87,'MM Support Data'!$C$39:$O$39)</f>
        <v>0</v>
      </c>
      <c r="G87" s="872">
        <f t="shared" si="0"/>
        <v>4.5408415945214387E-2</v>
      </c>
      <c r="H87" s="873">
        <f t="shared" si="1"/>
        <v>0</v>
      </c>
      <c r="I87" s="872">
        <f t="shared" si="2"/>
        <v>1.4259253749758654E-2</v>
      </c>
      <c r="J87" s="837">
        <f t="shared" si="8"/>
        <v>0</v>
      </c>
      <c r="K87" s="899">
        <f t="shared" si="3"/>
        <v>0</v>
      </c>
      <c r="L87" s="873">
        <f t="shared" si="9"/>
        <v>0</v>
      </c>
      <c r="M87" s="872">
        <f t="shared" si="4"/>
        <v>8.5322422523215147E-2</v>
      </c>
      <c r="N87" s="871">
        <f t="shared" si="5"/>
        <v>0</v>
      </c>
      <c r="O87" s="514">
        <f>SUMIF('MM Support Data'!$C$7:$O$7,$D87,'MM Support Data'!$C$59:$O$59)</f>
        <v>0</v>
      </c>
      <c r="P87" s="514">
        <f>SUMIF('MM Support Data'!$C$7:$O$7,$D87,'MM Support Data'!$C$64:$O$64)</f>
        <v>0</v>
      </c>
      <c r="Q87" s="898">
        <f t="shared" si="6"/>
        <v>0</v>
      </c>
      <c r="R87" s="870">
        <f>IF(ISNA(VLOOKUP(D87,'MM True-up Template'!$A$55:$AO$64,41,FALSE)),0,VLOOKUP(D87,'MM True-up Template'!$A$55:$AO$64,41,FALSE))</f>
        <v>0</v>
      </c>
      <c r="S87" s="869">
        <f t="shared" si="7"/>
        <v>0</v>
      </c>
      <c r="T87" s="758"/>
      <c r="U87" s="758"/>
      <c r="V87" s="758"/>
      <c r="W87" s="758"/>
      <c r="X87" s="758"/>
      <c r="Y87" s="758"/>
      <c r="Z87" s="758"/>
    </row>
    <row r="88" spans="1:26" ht="15.75">
      <c r="A88" s="875" t="s">
        <v>452</v>
      </c>
      <c r="C88" s="758"/>
      <c r="D88" s="874"/>
      <c r="E88" s="514">
        <f>SUMIF('MM Support Data'!$C$7:$O$7,$D88,'MM Support Data'!$C$23:$O$23)</f>
        <v>0</v>
      </c>
      <c r="F88" s="514">
        <f>SUMIF('MM Support Data'!$C$7:$O$7,$D88,'MM Support Data'!$C$39:$O$39)</f>
        <v>0</v>
      </c>
      <c r="G88" s="872">
        <f t="shared" si="0"/>
        <v>4.5408415945214387E-2</v>
      </c>
      <c r="H88" s="873">
        <f t="shared" si="1"/>
        <v>0</v>
      </c>
      <c r="I88" s="872">
        <f t="shared" si="2"/>
        <v>1.4259253749758654E-2</v>
      </c>
      <c r="J88" s="837">
        <f t="shared" si="8"/>
        <v>0</v>
      </c>
      <c r="K88" s="899">
        <f t="shared" si="3"/>
        <v>0</v>
      </c>
      <c r="L88" s="873">
        <f t="shared" si="9"/>
        <v>0</v>
      </c>
      <c r="M88" s="872">
        <f t="shared" si="4"/>
        <v>8.5322422523215147E-2</v>
      </c>
      <c r="N88" s="871">
        <f t="shared" si="5"/>
        <v>0</v>
      </c>
      <c r="O88" s="514">
        <f>SUMIF('MM Support Data'!$C$7:$O$7,$D88,'MM Support Data'!$C$59:$O$59)</f>
        <v>0</v>
      </c>
      <c r="P88" s="514">
        <f>SUMIF('MM Support Data'!$C$7:$O$7,$D88,'MM Support Data'!$C$64:$O$64)</f>
        <v>0</v>
      </c>
      <c r="Q88" s="898">
        <f t="shared" si="6"/>
        <v>0</v>
      </c>
      <c r="R88" s="870">
        <f>IF(ISNA(VLOOKUP(D88,'MM True-up Template'!$A$55:$AO$64,41,FALSE)),0,VLOOKUP(D88,'MM True-up Template'!$A$55:$AO$64,41,FALSE))</f>
        <v>0</v>
      </c>
      <c r="S88" s="869">
        <f t="shared" si="7"/>
        <v>0</v>
      </c>
      <c r="T88" s="758"/>
      <c r="U88" s="758"/>
      <c r="V88" s="758"/>
      <c r="W88" s="758"/>
      <c r="X88" s="758"/>
      <c r="Y88" s="758"/>
      <c r="Z88" s="758"/>
    </row>
    <row r="89" spans="1:26" ht="15.75">
      <c r="A89" s="875" t="s">
        <v>451</v>
      </c>
      <c r="C89" s="758"/>
      <c r="D89" s="874"/>
      <c r="E89" s="514">
        <f>SUMIF('MM Support Data'!$C$7:$O$7,$D89,'MM Support Data'!$C$23:$O$23)</f>
        <v>0</v>
      </c>
      <c r="F89" s="514">
        <f>SUMIF('MM Support Data'!$C$7:$O$7,$D89,'MM Support Data'!$C$39:$O$39)</f>
        <v>0</v>
      </c>
      <c r="G89" s="872">
        <f t="shared" si="0"/>
        <v>4.5408415945214387E-2</v>
      </c>
      <c r="H89" s="873">
        <f t="shared" si="1"/>
        <v>0</v>
      </c>
      <c r="I89" s="872">
        <f t="shared" si="2"/>
        <v>1.4259253749758654E-2</v>
      </c>
      <c r="J89" s="837">
        <f t="shared" si="8"/>
        <v>0</v>
      </c>
      <c r="K89" s="899">
        <f t="shared" si="3"/>
        <v>0</v>
      </c>
      <c r="L89" s="873">
        <f t="shared" si="9"/>
        <v>0</v>
      </c>
      <c r="M89" s="872">
        <f t="shared" si="4"/>
        <v>8.5322422523215147E-2</v>
      </c>
      <c r="N89" s="871">
        <f t="shared" si="5"/>
        <v>0</v>
      </c>
      <c r="O89" s="514">
        <f>SUMIF('MM Support Data'!$C$7:$O$7,$D89,'MM Support Data'!$C$59:$O$59)</f>
        <v>0</v>
      </c>
      <c r="P89" s="514">
        <f>SUMIF('MM Support Data'!$C$7:$O$7,$D89,'MM Support Data'!$C$64:$O$64)</f>
        <v>0</v>
      </c>
      <c r="Q89" s="898">
        <f t="shared" si="6"/>
        <v>0</v>
      </c>
      <c r="R89" s="870">
        <f>IF(ISNA(VLOOKUP(D89,'MM True-up Template'!$A$55:$AO$64,41,FALSE)),0,VLOOKUP(D89,'MM True-up Template'!$A$55:$AO$64,41,FALSE))</f>
        <v>0</v>
      </c>
      <c r="S89" s="869">
        <f t="shared" si="7"/>
        <v>0</v>
      </c>
      <c r="T89" s="758"/>
      <c r="U89" s="758"/>
      <c r="V89" s="758"/>
      <c r="W89" s="758"/>
      <c r="X89" s="758"/>
      <c r="Y89" s="758"/>
      <c r="Z89" s="758"/>
    </row>
    <row r="90" spans="1:26" ht="15.75">
      <c r="A90" s="875" t="s">
        <v>800</v>
      </c>
      <c r="C90" s="758"/>
      <c r="D90" s="874"/>
      <c r="E90" s="514">
        <f>SUMIF('MM Support Data'!$C$7:$O$7,$D90,'MM Support Data'!$C$23:$O$23)</f>
        <v>0</v>
      </c>
      <c r="F90" s="514">
        <f>SUMIF('MM Support Data'!$C$7:$O$7,$D90,'MM Support Data'!$C$39:$O$39)</f>
        <v>0</v>
      </c>
      <c r="G90" s="872">
        <f t="shared" si="0"/>
        <v>4.5408415945214387E-2</v>
      </c>
      <c r="H90" s="873">
        <f t="shared" si="1"/>
        <v>0</v>
      </c>
      <c r="I90" s="872">
        <f t="shared" si="2"/>
        <v>1.4259253749758654E-2</v>
      </c>
      <c r="J90" s="837">
        <f t="shared" si="8"/>
        <v>0</v>
      </c>
      <c r="K90" s="899">
        <f t="shared" si="3"/>
        <v>0</v>
      </c>
      <c r="L90" s="873">
        <f t="shared" si="9"/>
        <v>0</v>
      </c>
      <c r="M90" s="872">
        <f t="shared" si="4"/>
        <v>8.5322422523215147E-2</v>
      </c>
      <c r="N90" s="871">
        <f t="shared" si="5"/>
        <v>0</v>
      </c>
      <c r="O90" s="514">
        <f>SUMIF('MM Support Data'!$C$7:$O$7,$D90,'MM Support Data'!$C$59:$O$59)</f>
        <v>0</v>
      </c>
      <c r="P90" s="514">
        <f>SUMIF('MM Support Data'!$C$7:$O$7,$D90,'MM Support Data'!$C$64:$O$64)</f>
        <v>0</v>
      </c>
      <c r="Q90" s="898">
        <f t="shared" si="6"/>
        <v>0</v>
      </c>
      <c r="R90" s="870">
        <f>IF(ISNA(VLOOKUP(D90,'MM True-up Template'!$A$55:$AO$64,41,FALSE)),0,VLOOKUP(D90,'MM True-up Template'!$A$55:$AO$64,41,FALSE))</f>
        <v>0</v>
      </c>
      <c r="S90" s="869">
        <f t="shared" si="7"/>
        <v>0</v>
      </c>
      <c r="T90" s="758"/>
      <c r="U90" s="758"/>
      <c r="V90" s="758"/>
      <c r="W90" s="758"/>
      <c r="X90" s="758"/>
      <c r="Y90" s="758"/>
      <c r="Z90" s="758"/>
    </row>
    <row r="91" spans="1:26" ht="15.75">
      <c r="A91" s="875" t="s">
        <v>801</v>
      </c>
      <c r="C91" s="758"/>
      <c r="D91" s="874"/>
      <c r="E91" s="514">
        <f>SUMIF('MM Support Data'!$C$7:$O$7,$D91,'MM Support Data'!$C$23:$O$23)</f>
        <v>0</v>
      </c>
      <c r="F91" s="514">
        <f>SUMIF('MM Support Data'!$C$7:$O$7,$D91,'MM Support Data'!$C$39:$O$39)</f>
        <v>0</v>
      </c>
      <c r="G91" s="872">
        <f t="shared" si="0"/>
        <v>4.5408415945214387E-2</v>
      </c>
      <c r="H91" s="873">
        <f t="shared" si="1"/>
        <v>0</v>
      </c>
      <c r="I91" s="872">
        <f t="shared" si="2"/>
        <v>1.4259253749758654E-2</v>
      </c>
      <c r="J91" s="837">
        <f t="shared" si="8"/>
        <v>0</v>
      </c>
      <c r="K91" s="899">
        <f t="shared" si="3"/>
        <v>0</v>
      </c>
      <c r="L91" s="873">
        <f t="shared" si="9"/>
        <v>0</v>
      </c>
      <c r="M91" s="872">
        <f t="shared" si="4"/>
        <v>8.5322422523215147E-2</v>
      </c>
      <c r="N91" s="871">
        <f t="shared" si="5"/>
        <v>0</v>
      </c>
      <c r="O91" s="514">
        <f>SUMIF('MM Support Data'!$C$7:$O$7,$D91,'MM Support Data'!$C$59:$O$59)</f>
        <v>0</v>
      </c>
      <c r="P91" s="514">
        <f>SUMIF('MM Support Data'!$C$7:$O$7,$D91,'MM Support Data'!$C$64:$O$64)</f>
        <v>0</v>
      </c>
      <c r="Q91" s="898">
        <f t="shared" si="6"/>
        <v>0</v>
      </c>
      <c r="R91" s="870">
        <f>IF(ISNA(VLOOKUP(D91,'MM True-up Template'!$A$55:$AO$64,41,FALSE)),0,VLOOKUP(D91,'MM True-up Template'!$A$55:$AO$64,41,FALSE))</f>
        <v>0</v>
      </c>
      <c r="S91" s="869">
        <f t="shared" si="7"/>
        <v>0</v>
      </c>
      <c r="T91" s="758"/>
      <c r="U91" s="758"/>
      <c r="V91" s="758"/>
      <c r="W91" s="758"/>
      <c r="X91" s="758"/>
      <c r="Y91" s="758"/>
      <c r="Z91" s="758"/>
    </row>
    <row r="92" spans="1:26" ht="15.75">
      <c r="A92" s="875" t="s">
        <v>802</v>
      </c>
      <c r="C92" s="758"/>
      <c r="D92" s="874"/>
      <c r="E92" s="514">
        <f>SUMIF('MM Support Data'!$C$7:$O$7,$D92,'MM Support Data'!$C$23:$O$23)</f>
        <v>0</v>
      </c>
      <c r="F92" s="514">
        <f>SUMIF('MM Support Data'!$C$7:$O$7,$D92,'MM Support Data'!$C$39:$O$39)</f>
        <v>0</v>
      </c>
      <c r="G92" s="872">
        <f t="shared" si="0"/>
        <v>4.5408415945214387E-2</v>
      </c>
      <c r="H92" s="873">
        <f t="shared" si="1"/>
        <v>0</v>
      </c>
      <c r="I92" s="872">
        <f t="shared" si="2"/>
        <v>1.4259253749758654E-2</v>
      </c>
      <c r="J92" s="837">
        <f t="shared" si="8"/>
        <v>0</v>
      </c>
      <c r="K92" s="899">
        <f t="shared" si="3"/>
        <v>0</v>
      </c>
      <c r="L92" s="873">
        <f t="shared" si="9"/>
        <v>0</v>
      </c>
      <c r="M92" s="872">
        <f t="shared" si="4"/>
        <v>8.5322422523215147E-2</v>
      </c>
      <c r="N92" s="871">
        <f t="shared" si="5"/>
        <v>0</v>
      </c>
      <c r="O92" s="514">
        <f>SUMIF('MM Support Data'!$C$7:$O$7,$D92,'MM Support Data'!$C$59:$O$59)</f>
        <v>0</v>
      </c>
      <c r="P92" s="514">
        <f>SUMIF('MM Support Data'!$C$7:$O$7,$D92,'MM Support Data'!$C$64:$O$64)</f>
        <v>0</v>
      </c>
      <c r="Q92" s="898">
        <f t="shared" si="6"/>
        <v>0</v>
      </c>
      <c r="R92" s="870">
        <f>IF(ISNA(VLOOKUP(D92,'MM True-up Template'!$A$55:$AO$64,41,FALSE)),0,VLOOKUP(D92,'MM True-up Template'!$A$55:$AO$64,41,FALSE))</f>
        <v>0</v>
      </c>
      <c r="S92" s="869">
        <f t="shared" si="7"/>
        <v>0</v>
      </c>
      <c r="T92" s="758"/>
      <c r="U92" s="758"/>
      <c r="V92" s="758"/>
      <c r="W92" s="758"/>
      <c r="X92" s="758"/>
      <c r="Y92" s="758"/>
      <c r="Z92" s="758"/>
    </row>
    <row r="93" spans="1:26" ht="15.75">
      <c r="A93" s="875" t="s">
        <v>803</v>
      </c>
      <c r="C93" s="758"/>
      <c r="D93" s="874"/>
      <c r="E93" s="514">
        <f>SUMIF('MM Support Data'!$C$7:$O$7,$D93,'MM Support Data'!$C$23:$O$23)</f>
        <v>0</v>
      </c>
      <c r="F93" s="514">
        <f>SUMIF('MM Support Data'!$C$7:$O$7,$D93,'MM Support Data'!$C$39:$O$39)</f>
        <v>0</v>
      </c>
      <c r="G93" s="872">
        <f t="shared" si="0"/>
        <v>4.5408415945214387E-2</v>
      </c>
      <c r="H93" s="873">
        <f t="shared" si="1"/>
        <v>0</v>
      </c>
      <c r="I93" s="872">
        <f t="shared" si="2"/>
        <v>1.4259253749758654E-2</v>
      </c>
      <c r="J93" s="837">
        <f t="shared" si="8"/>
        <v>0</v>
      </c>
      <c r="K93" s="899">
        <f t="shared" si="3"/>
        <v>0</v>
      </c>
      <c r="L93" s="873">
        <f t="shared" si="9"/>
        <v>0</v>
      </c>
      <c r="M93" s="872">
        <f t="shared" si="4"/>
        <v>8.5322422523215147E-2</v>
      </c>
      <c r="N93" s="871">
        <f t="shared" si="5"/>
        <v>0</v>
      </c>
      <c r="O93" s="514">
        <f>SUMIF('MM Support Data'!$C$7:$O$7,$D93,'MM Support Data'!$C$59:$O$59)</f>
        <v>0</v>
      </c>
      <c r="P93" s="514">
        <f>SUMIF('MM Support Data'!$C$7:$O$7,$D93,'MM Support Data'!$C$64:$O$64)</f>
        <v>0</v>
      </c>
      <c r="Q93" s="898">
        <f t="shared" si="6"/>
        <v>0</v>
      </c>
      <c r="R93" s="870">
        <f>IF(ISNA(VLOOKUP(D93,'MM True-up Template'!$A$55:$AO$64,41,FALSE)),0,VLOOKUP(D93,'MM True-up Template'!$A$55:$AO$64,41,FALSE))</f>
        <v>0</v>
      </c>
      <c r="S93" s="869">
        <f t="shared" si="7"/>
        <v>0</v>
      </c>
      <c r="T93" s="758"/>
      <c r="U93" s="758"/>
      <c r="V93" s="758"/>
      <c r="W93" s="758"/>
      <c r="X93" s="758"/>
      <c r="Y93" s="758"/>
      <c r="Z93" s="758"/>
    </row>
    <row r="94" spans="1:26" ht="15.75">
      <c r="A94" s="875" t="s">
        <v>854</v>
      </c>
      <c r="C94" s="758"/>
      <c r="D94" s="874"/>
      <c r="E94" s="514">
        <f>SUMIF('MM Support Data'!$C$7:$O$7,$D94,'MM Support Data'!$C$23:$O$23)</f>
        <v>0</v>
      </c>
      <c r="F94" s="514">
        <f>SUMIF('MM Support Data'!$C$7:$O$7,$D94,'MM Support Data'!$C$39:$O$39)</f>
        <v>0</v>
      </c>
      <c r="G94" s="872">
        <f t="shared" si="0"/>
        <v>4.5408415945214387E-2</v>
      </c>
      <c r="H94" s="873">
        <f t="shared" si="1"/>
        <v>0</v>
      </c>
      <c r="I94" s="872">
        <f t="shared" si="2"/>
        <v>1.4259253749758654E-2</v>
      </c>
      <c r="J94" s="837">
        <f t="shared" si="8"/>
        <v>0</v>
      </c>
      <c r="K94" s="899">
        <f t="shared" si="3"/>
        <v>0</v>
      </c>
      <c r="L94" s="873">
        <f t="shared" si="9"/>
        <v>0</v>
      </c>
      <c r="M94" s="872">
        <f t="shared" si="4"/>
        <v>8.5322422523215147E-2</v>
      </c>
      <c r="N94" s="871">
        <f t="shared" si="5"/>
        <v>0</v>
      </c>
      <c r="O94" s="514">
        <f>SUMIF('MM Support Data'!$C$7:$O$7,$D94,'MM Support Data'!$C$59:$O$59)</f>
        <v>0</v>
      </c>
      <c r="P94" s="514">
        <f>SUMIF('MM Support Data'!$C$7:$O$7,$D94,'MM Support Data'!$C$64:$O$64)</f>
        <v>0</v>
      </c>
      <c r="Q94" s="898">
        <f t="shared" si="6"/>
        <v>0</v>
      </c>
      <c r="R94" s="870">
        <f>IF(ISNA(VLOOKUP(D94,'MM True-up Template'!$A$55:$AO$64,41,FALSE)),0,VLOOKUP(D94,'MM True-up Template'!$A$55:$AO$64,41,FALSE))</f>
        <v>0</v>
      </c>
      <c r="S94" s="869">
        <f t="shared" si="7"/>
        <v>0</v>
      </c>
      <c r="T94" s="758"/>
      <c r="U94" s="758"/>
      <c r="V94" s="758"/>
      <c r="W94" s="758"/>
      <c r="X94" s="758"/>
      <c r="Y94" s="758"/>
      <c r="Z94" s="758"/>
    </row>
    <row r="95" spans="1:26" ht="15.75">
      <c r="A95" s="875" t="s">
        <v>844</v>
      </c>
      <c r="C95" s="758"/>
      <c r="D95" s="874"/>
      <c r="E95" s="514">
        <f>SUMIF('MM Support Data'!$C$7:$O$7,$D95,'MM Support Data'!$C$23:$O$23)</f>
        <v>0</v>
      </c>
      <c r="F95" s="514">
        <f>SUMIF('MM Support Data'!$C$7:$O$7,$D95,'MM Support Data'!$C$39:$O$39)</f>
        <v>0</v>
      </c>
      <c r="G95" s="872">
        <f t="shared" si="0"/>
        <v>4.5408415945214387E-2</v>
      </c>
      <c r="H95" s="873">
        <f t="shared" si="1"/>
        <v>0</v>
      </c>
      <c r="I95" s="872">
        <f t="shared" si="2"/>
        <v>1.4259253749758654E-2</v>
      </c>
      <c r="J95" s="837">
        <f t="shared" si="8"/>
        <v>0</v>
      </c>
      <c r="K95" s="899">
        <f t="shared" si="3"/>
        <v>0</v>
      </c>
      <c r="L95" s="873">
        <f t="shared" si="9"/>
        <v>0</v>
      </c>
      <c r="M95" s="872">
        <f t="shared" si="4"/>
        <v>8.5322422523215147E-2</v>
      </c>
      <c r="N95" s="871">
        <f t="shared" si="5"/>
        <v>0</v>
      </c>
      <c r="O95" s="514">
        <f>SUMIF('MM Support Data'!$C$7:$O$7,$D95,'MM Support Data'!$C$59:$O$59)</f>
        <v>0</v>
      </c>
      <c r="P95" s="514">
        <f>SUMIF('MM Support Data'!$C$7:$O$7,$D95,'MM Support Data'!$C$64:$O$64)</f>
        <v>0</v>
      </c>
      <c r="Q95" s="898">
        <f t="shared" si="6"/>
        <v>0</v>
      </c>
      <c r="R95" s="870">
        <f>IF(ISNA(VLOOKUP(D95,'MM True-up Template'!$A$55:$AO$64,41,FALSE)),0,VLOOKUP(D95,'MM True-up Template'!$A$55:$AO$64,41,FALSE))</f>
        <v>0</v>
      </c>
      <c r="S95" s="869">
        <f t="shared" si="7"/>
        <v>0</v>
      </c>
      <c r="T95" s="758"/>
      <c r="U95" s="758"/>
      <c r="V95" s="758"/>
      <c r="W95" s="758"/>
      <c r="X95" s="758"/>
      <c r="Y95" s="758"/>
      <c r="Z95" s="758"/>
    </row>
    <row r="96" spans="1:26" ht="15.75">
      <c r="A96" s="875" t="s">
        <v>845</v>
      </c>
      <c r="C96" s="758"/>
      <c r="D96" s="874"/>
      <c r="E96" s="514">
        <f>SUMIF('MM Support Data'!$C$7:$O$7,$D96,'MM Support Data'!$C$23:$O$23)</f>
        <v>0</v>
      </c>
      <c r="F96" s="514">
        <f>SUMIF('MM Support Data'!$C$7:$O$7,$D96,'MM Support Data'!$C$39:$O$39)</f>
        <v>0</v>
      </c>
      <c r="G96" s="872">
        <f t="shared" si="0"/>
        <v>4.5408415945214387E-2</v>
      </c>
      <c r="H96" s="873">
        <f t="shared" si="1"/>
        <v>0</v>
      </c>
      <c r="I96" s="872">
        <f t="shared" si="2"/>
        <v>1.4259253749758654E-2</v>
      </c>
      <c r="J96" s="837">
        <f t="shared" si="8"/>
        <v>0</v>
      </c>
      <c r="K96" s="899">
        <f t="shared" si="3"/>
        <v>0</v>
      </c>
      <c r="L96" s="873">
        <f t="shared" si="9"/>
        <v>0</v>
      </c>
      <c r="M96" s="872">
        <f t="shared" si="4"/>
        <v>8.5322422523215147E-2</v>
      </c>
      <c r="N96" s="871">
        <f t="shared" si="5"/>
        <v>0</v>
      </c>
      <c r="O96" s="514">
        <f>SUMIF('MM Support Data'!$C$7:$O$7,$D96,'MM Support Data'!$C$59:$O$59)</f>
        <v>0</v>
      </c>
      <c r="P96" s="514">
        <f>SUMIF('MM Support Data'!$C$7:$O$7,$D96,'MM Support Data'!$C$64:$O$64)</f>
        <v>0</v>
      </c>
      <c r="Q96" s="898">
        <f t="shared" si="6"/>
        <v>0</v>
      </c>
      <c r="R96" s="870">
        <f>IF(ISNA(VLOOKUP(D96,'MM True-up Template'!$A$55:$AO$64,41,FALSE)),0,VLOOKUP(D96,'MM True-up Template'!$A$55:$AO$64,41,FALSE))</f>
        <v>0</v>
      </c>
      <c r="S96" s="869">
        <f t="shared" si="7"/>
        <v>0</v>
      </c>
      <c r="T96" s="758"/>
      <c r="U96" s="758"/>
      <c r="V96" s="758"/>
      <c r="W96" s="758"/>
      <c r="X96" s="758"/>
      <c r="Y96" s="758"/>
      <c r="Z96" s="758"/>
    </row>
    <row r="97" spans="1:26" ht="15.75">
      <c r="A97" s="875" t="s">
        <v>846</v>
      </c>
      <c r="C97" s="758"/>
      <c r="D97" s="874"/>
      <c r="E97" s="514">
        <f>SUMIF('MM Support Data'!$C$7:$O$7,$D97,'MM Support Data'!$C$23:$O$23)</f>
        <v>0</v>
      </c>
      <c r="F97" s="514">
        <f>SUMIF('MM Support Data'!$C$7:$O$7,$D97,'MM Support Data'!$C$39:$O$39)</f>
        <v>0</v>
      </c>
      <c r="G97" s="872">
        <f t="shared" si="0"/>
        <v>4.5408415945214387E-2</v>
      </c>
      <c r="H97" s="873">
        <f t="shared" si="1"/>
        <v>0</v>
      </c>
      <c r="I97" s="872">
        <f t="shared" si="2"/>
        <v>1.4259253749758654E-2</v>
      </c>
      <c r="J97" s="837">
        <f t="shared" si="8"/>
        <v>0</v>
      </c>
      <c r="K97" s="899">
        <f t="shared" si="3"/>
        <v>0</v>
      </c>
      <c r="L97" s="873">
        <f t="shared" si="9"/>
        <v>0</v>
      </c>
      <c r="M97" s="872">
        <f t="shared" si="4"/>
        <v>8.5322422523215147E-2</v>
      </c>
      <c r="N97" s="871">
        <f t="shared" si="5"/>
        <v>0</v>
      </c>
      <c r="O97" s="514">
        <f>SUMIF('MM Support Data'!$C$7:$O$7,$D97,'MM Support Data'!$C$59:$O$59)</f>
        <v>0</v>
      </c>
      <c r="P97" s="514">
        <f>SUMIF('MM Support Data'!$C$7:$O$7,$D97,'MM Support Data'!$C$64:$O$64)</f>
        <v>0</v>
      </c>
      <c r="Q97" s="898">
        <f t="shared" si="6"/>
        <v>0</v>
      </c>
      <c r="R97" s="870">
        <f>IF(ISNA(VLOOKUP(D97,'MM True-up Template'!$A$55:$AO$64,41,FALSE)),0,VLOOKUP(D97,'MM True-up Template'!$A$55:$AO$64,41,FALSE))</f>
        <v>0</v>
      </c>
      <c r="S97" s="869">
        <f t="shared" si="7"/>
        <v>0</v>
      </c>
      <c r="T97" s="758"/>
      <c r="U97" s="758"/>
      <c r="V97" s="758"/>
      <c r="W97" s="758"/>
      <c r="X97" s="758"/>
      <c r="Y97" s="758"/>
      <c r="Z97" s="758"/>
    </row>
    <row r="98" spans="1:26">
      <c r="A98" s="868"/>
      <c r="B98" s="867"/>
      <c r="C98" s="866"/>
      <c r="D98" s="866"/>
      <c r="E98" s="866"/>
      <c r="F98" s="866"/>
      <c r="G98" s="866"/>
      <c r="H98" s="866"/>
      <c r="I98" s="866"/>
      <c r="J98" s="866"/>
      <c r="K98" s="865"/>
      <c r="L98" s="866"/>
      <c r="M98" s="866"/>
      <c r="N98" s="865"/>
      <c r="O98" s="866"/>
      <c r="P98" s="866"/>
      <c r="Q98" s="865"/>
      <c r="R98" s="866"/>
      <c r="S98" s="865"/>
      <c r="T98" s="758"/>
      <c r="U98" s="758"/>
      <c r="V98" s="758"/>
      <c r="W98" s="758"/>
      <c r="X98" s="758"/>
      <c r="Y98" s="758"/>
      <c r="Z98" s="758"/>
    </row>
    <row r="99" spans="1:26">
      <c r="A99" s="776" t="s">
        <v>450</v>
      </c>
      <c r="B99" s="775"/>
      <c r="C99" s="774" t="s">
        <v>587</v>
      </c>
      <c r="D99" s="774"/>
      <c r="E99" s="768">
        <f>SUM(E74:E98)</f>
        <v>673063562.27297676</v>
      </c>
      <c r="F99" s="768">
        <f>SUM(F74:F98)</f>
        <v>73809617.524679899</v>
      </c>
      <c r="G99" s="774"/>
      <c r="H99" s="768">
        <f>SUM(H74:H98)</f>
        <v>3351578</v>
      </c>
      <c r="I99" s="773"/>
      <c r="J99" s="768">
        <f>SUM(J74:J98)</f>
        <v>9597384</v>
      </c>
      <c r="K99" s="768">
        <f>SUM(K74:K98)</f>
        <v>12948962</v>
      </c>
      <c r="L99" s="768">
        <f>SUM(L74:L98)</f>
        <v>599253944.74829674</v>
      </c>
      <c r="M99" s="772"/>
      <c r="N99" s="768">
        <f t="shared" ref="N99:S99" si="10">SUM(N74:N98)</f>
        <v>51129800</v>
      </c>
      <c r="O99" s="768">
        <f t="shared" si="10"/>
        <v>12846591.966910655</v>
      </c>
      <c r="P99" s="768">
        <f t="shared" si="10"/>
        <v>2648348.7599999998</v>
      </c>
      <c r="Q99" s="768">
        <f t="shared" si="10"/>
        <v>79573703</v>
      </c>
      <c r="R99" s="768">
        <f t="shared" si="10"/>
        <v>5452370.4813411087</v>
      </c>
      <c r="S99" s="768">
        <f t="shared" si="10"/>
        <v>85026073.481341124</v>
      </c>
      <c r="T99" s="758"/>
      <c r="U99" s="758"/>
      <c r="V99" s="758"/>
      <c r="W99" s="758"/>
      <c r="X99" s="758"/>
      <c r="Y99" s="758"/>
      <c r="Z99" s="758"/>
    </row>
    <row r="100" spans="1:26">
      <c r="A100" s="770"/>
      <c r="B100" s="758"/>
      <c r="C100" s="758"/>
      <c r="D100" s="758"/>
      <c r="E100" s="758"/>
      <c r="F100" s="758"/>
      <c r="G100" s="758"/>
      <c r="H100" s="758"/>
      <c r="I100" s="758"/>
      <c r="J100" s="758"/>
      <c r="K100" s="758"/>
      <c r="L100" s="758"/>
      <c r="M100" s="758"/>
      <c r="N100" s="758"/>
      <c r="O100" s="758"/>
      <c r="P100" s="758"/>
      <c r="Q100" s="758"/>
      <c r="R100" s="758"/>
      <c r="S100" s="758"/>
      <c r="T100" s="758"/>
      <c r="U100" s="758"/>
      <c r="V100" s="758"/>
      <c r="W100" s="758"/>
      <c r="X100" s="758"/>
      <c r="Y100" s="758"/>
      <c r="Z100" s="758"/>
    </row>
    <row r="101" spans="1:26">
      <c r="A101" s="769">
        <v>3</v>
      </c>
      <c r="B101" s="758"/>
      <c r="C101" s="767" t="s">
        <v>448</v>
      </c>
      <c r="D101" s="767"/>
      <c r="E101" s="767"/>
      <c r="F101" s="767"/>
      <c r="G101" s="758"/>
      <c r="H101" s="758"/>
      <c r="I101" s="758"/>
      <c r="J101" s="758"/>
      <c r="K101" s="758"/>
      <c r="L101" s="758"/>
      <c r="M101" s="758"/>
      <c r="N101" s="758"/>
      <c r="O101" s="758"/>
      <c r="P101" s="758"/>
      <c r="Q101" s="768">
        <f>Q99</f>
        <v>79573703</v>
      </c>
      <c r="R101" s="758"/>
      <c r="S101" s="758"/>
      <c r="T101" s="758"/>
      <c r="U101" s="758"/>
      <c r="V101" s="758"/>
      <c r="W101" s="758"/>
      <c r="X101" s="758"/>
      <c r="Y101" s="758"/>
      <c r="Z101" s="758"/>
    </row>
    <row r="102" spans="1:26">
      <c r="A102" s="758"/>
      <c r="B102" s="758"/>
      <c r="C102" s="758"/>
      <c r="D102" s="758"/>
      <c r="E102" s="758"/>
      <c r="F102" s="758"/>
      <c r="G102" s="758"/>
      <c r="H102" s="758"/>
      <c r="I102" s="758"/>
      <c r="J102" s="758"/>
      <c r="K102" s="758"/>
      <c r="L102" s="758"/>
      <c r="M102" s="758"/>
      <c r="N102" s="758"/>
      <c r="O102" s="758"/>
      <c r="P102" s="758"/>
      <c r="Q102" s="758"/>
      <c r="R102" s="758"/>
      <c r="S102" s="758"/>
      <c r="T102" s="758"/>
      <c r="U102" s="758"/>
      <c r="V102" s="758"/>
      <c r="W102" s="758"/>
      <c r="X102" s="758"/>
      <c r="Y102" s="758"/>
      <c r="Z102" s="758"/>
    </row>
    <row r="103" spans="1:26">
      <c r="A103" s="758"/>
      <c r="B103" s="758"/>
      <c r="C103" s="863"/>
      <c r="D103" s="758"/>
      <c r="E103" s="758"/>
      <c r="F103" s="758"/>
      <c r="G103" s="758"/>
      <c r="H103" s="758"/>
      <c r="I103" s="758"/>
      <c r="J103" s="758"/>
      <c r="K103" s="758"/>
      <c r="L103" s="758"/>
      <c r="M103" s="758"/>
      <c r="N103" s="758"/>
      <c r="O103" s="758"/>
      <c r="P103" s="758"/>
      <c r="Q103" s="758"/>
      <c r="R103" s="758"/>
      <c r="S103" s="758"/>
      <c r="T103" s="758"/>
      <c r="U103" s="758"/>
      <c r="V103" s="758"/>
      <c r="W103" s="758"/>
      <c r="X103" s="758"/>
      <c r="Y103" s="758"/>
      <c r="Z103" s="758"/>
    </row>
    <row r="104" spans="1:26">
      <c r="A104" s="758"/>
      <c r="B104" s="758"/>
      <c r="C104" s="863"/>
      <c r="D104" s="758"/>
      <c r="E104" s="758"/>
      <c r="F104" s="758"/>
      <c r="G104" s="758"/>
      <c r="H104" s="758"/>
      <c r="I104" s="758"/>
      <c r="J104" s="758"/>
      <c r="K104" s="758"/>
      <c r="L104" s="758"/>
      <c r="M104" s="758"/>
      <c r="N104" s="758"/>
      <c r="O104" s="758"/>
      <c r="P104" s="758"/>
      <c r="Q104" s="758"/>
      <c r="R104" s="758"/>
      <c r="S104" s="758"/>
      <c r="T104" s="758"/>
      <c r="U104" s="758"/>
      <c r="V104" s="758"/>
      <c r="W104" s="758"/>
      <c r="X104" s="758"/>
      <c r="Y104" s="758"/>
      <c r="Z104" s="758"/>
    </row>
    <row r="105" spans="1:26">
      <c r="A105" s="769">
        <v>4</v>
      </c>
      <c r="B105" s="758"/>
      <c r="C105" s="767" t="s">
        <v>1134</v>
      </c>
      <c r="D105" s="758"/>
      <c r="E105" s="758"/>
      <c r="F105" s="758"/>
      <c r="G105" s="758"/>
      <c r="H105" s="758"/>
      <c r="I105" s="758"/>
      <c r="J105" s="758"/>
      <c r="K105" s="758"/>
      <c r="L105" s="758"/>
      <c r="M105" s="758"/>
      <c r="N105" s="758"/>
      <c r="O105" s="758"/>
      <c r="P105" s="758"/>
      <c r="Q105" s="864">
        <v>0</v>
      </c>
      <c r="R105" s="864">
        <v>0</v>
      </c>
      <c r="S105" s="758">
        <f>Q105+R105</f>
        <v>0</v>
      </c>
      <c r="T105" s="758"/>
      <c r="U105" s="758"/>
      <c r="V105" s="758"/>
      <c r="W105" s="758"/>
      <c r="X105" s="758"/>
      <c r="Y105" s="758"/>
      <c r="Z105" s="758"/>
    </row>
    <row r="106" spans="1:26">
      <c r="A106" s="758"/>
      <c r="B106" s="758"/>
      <c r="C106" s="758"/>
      <c r="D106" s="758"/>
      <c r="E106" s="758"/>
      <c r="F106" s="758"/>
      <c r="G106" s="758"/>
      <c r="H106" s="758"/>
      <c r="I106" s="758"/>
      <c r="J106" s="758"/>
      <c r="K106" s="758"/>
      <c r="L106" s="758"/>
      <c r="M106" s="758"/>
      <c r="N106" s="758"/>
      <c r="O106" s="758"/>
      <c r="P106" s="758"/>
      <c r="Q106" s="758"/>
      <c r="R106" s="758"/>
      <c r="S106" s="758"/>
      <c r="T106" s="758"/>
      <c r="U106" s="758"/>
      <c r="V106" s="758"/>
      <c r="W106" s="758"/>
      <c r="X106" s="758"/>
      <c r="Y106" s="758"/>
      <c r="Z106" s="758"/>
    </row>
    <row r="107" spans="1:26">
      <c r="A107" s="769">
        <v>5</v>
      </c>
      <c r="B107" s="758"/>
      <c r="C107" s="767" t="s">
        <v>1133</v>
      </c>
      <c r="D107" s="758"/>
      <c r="E107" s="758"/>
      <c r="F107" s="758"/>
      <c r="G107" s="758"/>
      <c r="H107" s="758"/>
      <c r="I107" s="758"/>
      <c r="J107" s="758"/>
      <c r="K107" s="758"/>
      <c r="L107" s="758"/>
      <c r="M107" s="758"/>
      <c r="N107" s="758"/>
      <c r="O107" s="758"/>
      <c r="P107" s="758"/>
      <c r="Q107" s="864">
        <v>0</v>
      </c>
      <c r="R107" s="864">
        <v>0</v>
      </c>
      <c r="S107" s="758">
        <f>Q107+R107</f>
        <v>0</v>
      </c>
      <c r="T107" s="758"/>
      <c r="U107" s="758"/>
      <c r="V107" s="758"/>
      <c r="W107" s="758"/>
      <c r="X107" s="758"/>
      <c r="Y107" s="758"/>
      <c r="Z107" s="758"/>
    </row>
    <row r="108" spans="1:26">
      <c r="A108" s="758"/>
      <c r="B108" s="758"/>
      <c r="C108" s="863"/>
      <c r="D108" s="758"/>
      <c r="E108" s="758"/>
      <c r="F108" s="758"/>
      <c r="G108" s="758"/>
      <c r="H108" s="758"/>
      <c r="I108" s="758"/>
      <c r="J108" s="758"/>
      <c r="K108" s="758"/>
      <c r="L108" s="758"/>
      <c r="M108" s="758"/>
      <c r="N108" s="758"/>
      <c r="O108" s="758"/>
      <c r="P108" s="758"/>
      <c r="Q108" s="758"/>
      <c r="R108" s="758"/>
      <c r="S108" s="758"/>
      <c r="T108" s="758"/>
      <c r="U108" s="758"/>
      <c r="V108" s="758"/>
      <c r="W108" s="758"/>
      <c r="X108" s="758"/>
      <c r="Y108" s="758"/>
      <c r="Z108" s="758"/>
    </row>
    <row r="109" spans="1:26">
      <c r="A109" s="769">
        <v>6</v>
      </c>
      <c r="B109" s="758"/>
      <c r="C109" s="767" t="s">
        <v>1132</v>
      </c>
      <c r="D109" s="758"/>
      <c r="E109" s="758"/>
      <c r="F109" s="758"/>
      <c r="G109" s="758"/>
      <c r="H109" s="758"/>
      <c r="I109" s="758"/>
      <c r="J109" s="758"/>
      <c r="K109" s="758"/>
      <c r="L109" s="758"/>
      <c r="M109" s="758"/>
      <c r="N109" s="758"/>
      <c r="O109" s="758"/>
      <c r="P109" s="758"/>
      <c r="Q109" s="864">
        <v>0</v>
      </c>
      <c r="R109" s="864">
        <v>0</v>
      </c>
      <c r="S109" s="758">
        <f>Q109+R109</f>
        <v>0</v>
      </c>
      <c r="T109" s="758"/>
      <c r="U109" s="758"/>
      <c r="V109" s="758"/>
      <c r="W109" s="758"/>
      <c r="X109" s="758"/>
      <c r="Y109" s="758"/>
      <c r="Z109" s="758"/>
    </row>
    <row r="110" spans="1:26">
      <c r="A110" s="758"/>
      <c r="B110" s="758"/>
      <c r="C110" s="863"/>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8"/>
    </row>
    <row r="111" spans="1:26">
      <c r="A111" s="767" t="s">
        <v>279</v>
      </c>
      <c r="B111" s="758"/>
      <c r="C111" s="758"/>
      <c r="D111" s="758"/>
      <c r="E111" s="758"/>
      <c r="F111" s="758"/>
      <c r="G111" s="758"/>
      <c r="H111" s="758"/>
      <c r="I111" s="758"/>
      <c r="J111" s="758"/>
      <c r="K111" s="758"/>
      <c r="L111" s="758"/>
      <c r="M111" s="758"/>
      <c r="N111" s="758"/>
      <c r="O111" s="758"/>
      <c r="P111" s="758"/>
      <c r="Q111" s="758"/>
      <c r="R111" s="758"/>
      <c r="S111" s="758"/>
      <c r="T111" s="758"/>
      <c r="U111" s="758"/>
      <c r="V111" s="758"/>
      <c r="W111" s="758"/>
      <c r="X111" s="758"/>
      <c r="Y111" s="758"/>
      <c r="Z111" s="758"/>
    </row>
    <row r="112" spans="1:26" ht="15.75" thickBot="1">
      <c r="A112" s="766" t="s">
        <v>280</v>
      </c>
      <c r="B112" s="758"/>
      <c r="C112" s="758"/>
      <c r="D112" s="758"/>
      <c r="E112" s="758"/>
      <c r="F112" s="758"/>
      <c r="G112" s="758"/>
      <c r="H112" s="758"/>
      <c r="I112" s="758"/>
      <c r="J112" s="758"/>
      <c r="K112" s="758"/>
      <c r="L112" s="758"/>
      <c r="M112" s="758"/>
      <c r="N112" s="758"/>
      <c r="O112" s="758"/>
      <c r="P112" s="758"/>
      <c r="Q112" s="758"/>
      <c r="R112" s="758"/>
      <c r="S112" s="758"/>
      <c r="T112" s="758"/>
      <c r="U112" s="758"/>
      <c r="V112" s="758"/>
      <c r="W112" s="758"/>
      <c r="X112" s="758"/>
      <c r="Y112" s="758"/>
      <c r="Z112" s="758"/>
    </row>
    <row r="113" spans="1:26" ht="45.75" customHeight="1">
      <c r="A113" s="764" t="s">
        <v>281</v>
      </c>
      <c r="C113" s="1005" t="s">
        <v>1168</v>
      </c>
      <c r="D113" s="1005"/>
      <c r="E113" s="1005"/>
      <c r="F113" s="1005"/>
      <c r="G113" s="1005"/>
      <c r="H113" s="1005"/>
      <c r="I113" s="1005"/>
      <c r="J113" s="1005"/>
      <c r="K113" s="1005"/>
      <c r="L113" s="1005"/>
      <c r="M113" s="1005"/>
      <c r="N113" s="1005"/>
      <c r="O113" s="1005"/>
      <c r="P113" s="1005"/>
      <c r="Q113" s="1005"/>
      <c r="R113" s="1005"/>
      <c r="S113" s="1005"/>
      <c r="T113" s="758"/>
      <c r="U113" s="758"/>
      <c r="V113" s="758"/>
      <c r="W113" s="758"/>
      <c r="X113" s="758"/>
      <c r="Y113" s="758"/>
      <c r="Z113" s="758"/>
    </row>
    <row r="114" spans="1:26" ht="17.100000000000001" customHeight="1">
      <c r="A114" s="764" t="s">
        <v>283</v>
      </c>
      <c r="C114" s="1005" t="s">
        <v>1169</v>
      </c>
      <c r="D114" s="1005"/>
      <c r="E114" s="1005"/>
      <c r="F114" s="1005"/>
      <c r="G114" s="1005"/>
      <c r="H114" s="1005"/>
      <c r="I114" s="1005"/>
      <c r="J114" s="1005"/>
      <c r="K114" s="1005"/>
      <c r="L114" s="1005"/>
      <c r="M114" s="1005"/>
      <c r="N114" s="1005"/>
      <c r="O114" s="1005"/>
      <c r="P114" s="1005"/>
      <c r="Q114" s="1005"/>
      <c r="R114" s="1005"/>
      <c r="S114" s="1005"/>
      <c r="T114" s="758"/>
      <c r="U114" s="758"/>
      <c r="V114" s="758"/>
      <c r="W114" s="758"/>
      <c r="X114" s="758"/>
      <c r="Y114" s="758"/>
      <c r="Z114" s="758"/>
    </row>
    <row r="115" spans="1:26" ht="17.100000000000001" customHeight="1">
      <c r="A115" s="764" t="s">
        <v>285</v>
      </c>
      <c r="C115" s="1005" t="s">
        <v>1170</v>
      </c>
      <c r="D115" s="1005"/>
      <c r="E115" s="1005"/>
      <c r="F115" s="1005"/>
      <c r="G115" s="1005"/>
      <c r="H115" s="1005"/>
      <c r="I115" s="1005"/>
      <c r="J115" s="1005"/>
      <c r="K115" s="1005"/>
      <c r="L115" s="1005"/>
      <c r="M115" s="1005"/>
      <c r="N115" s="1005"/>
      <c r="O115" s="1005"/>
      <c r="P115" s="1005"/>
      <c r="Q115" s="1005"/>
      <c r="R115" s="1005"/>
      <c r="S115" s="1005"/>
      <c r="T115" s="758"/>
      <c r="U115" s="758"/>
      <c r="V115" s="758"/>
      <c r="W115" s="758"/>
      <c r="X115" s="758"/>
      <c r="Y115" s="758"/>
      <c r="Z115" s="758"/>
    </row>
    <row r="116" spans="1:26" ht="17.100000000000001" customHeight="1">
      <c r="A116" s="764"/>
      <c r="C116" s="1005" t="s">
        <v>1131</v>
      </c>
      <c r="D116" s="1005"/>
      <c r="E116" s="1005"/>
      <c r="F116" s="1005"/>
      <c r="G116" s="1005"/>
      <c r="H116" s="1005"/>
      <c r="I116" s="1005"/>
      <c r="J116" s="1005"/>
      <c r="K116" s="1005"/>
      <c r="L116" s="1005"/>
      <c r="M116" s="1005"/>
      <c r="N116" s="1005"/>
      <c r="O116" s="1005"/>
      <c r="P116" s="1005"/>
      <c r="Q116" s="1005"/>
      <c r="R116" s="1005"/>
      <c r="S116" s="1005"/>
      <c r="T116" s="758"/>
      <c r="U116" s="758"/>
      <c r="V116" s="758"/>
      <c r="W116" s="758"/>
      <c r="X116" s="758"/>
      <c r="Y116" s="758"/>
      <c r="Z116" s="758"/>
    </row>
    <row r="117" spans="1:26" ht="17.100000000000001" customHeight="1">
      <c r="A117" s="764" t="s">
        <v>287</v>
      </c>
      <c r="C117" s="1005" t="s">
        <v>586</v>
      </c>
      <c r="D117" s="1005"/>
      <c r="E117" s="1005"/>
      <c r="F117" s="1005"/>
      <c r="G117" s="1005"/>
      <c r="H117" s="1005"/>
      <c r="I117" s="1005"/>
      <c r="J117" s="1005"/>
      <c r="K117" s="1005"/>
      <c r="L117" s="1005"/>
      <c r="M117" s="1005"/>
      <c r="N117" s="1005"/>
      <c r="O117" s="1005"/>
      <c r="P117" s="1005"/>
      <c r="Q117" s="1005"/>
      <c r="R117" s="1005"/>
      <c r="S117" s="1005"/>
      <c r="T117" s="758"/>
      <c r="U117" s="758"/>
      <c r="V117" s="758"/>
      <c r="W117" s="758"/>
      <c r="X117" s="758"/>
      <c r="Y117" s="758"/>
      <c r="Z117" s="758"/>
    </row>
    <row r="118" spans="1:26" ht="17.100000000000001" customHeight="1">
      <c r="A118" s="765" t="s">
        <v>288</v>
      </c>
      <c r="C118" s="1005" t="s">
        <v>1130</v>
      </c>
      <c r="D118" s="1005"/>
      <c r="E118" s="1005"/>
      <c r="F118" s="1005"/>
      <c r="G118" s="1005"/>
      <c r="H118" s="1005"/>
      <c r="I118" s="1005"/>
      <c r="J118" s="1005"/>
      <c r="K118" s="1005"/>
      <c r="L118" s="1005"/>
      <c r="M118" s="1005"/>
      <c r="N118" s="1005"/>
      <c r="O118" s="1005"/>
      <c r="P118" s="1005"/>
      <c r="Q118" s="1005"/>
      <c r="R118" s="1005"/>
      <c r="S118" s="1005"/>
      <c r="T118" s="758"/>
      <c r="U118" s="758"/>
      <c r="V118" s="758"/>
      <c r="W118" s="758"/>
      <c r="X118" s="758"/>
      <c r="Y118" s="758"/>
      <c r="Z118" s="758"/>
    </row>
    <row r="119" spans="1:26" ht="17.100000000000001" customHeight="1">
      <c r="A119" s="765" t="s">
        <v>290</v>
      </c>
      <c r="C119" s="1005" t="s">
        <v>585</v>
      </c>
      <c r="D119" s="1005"/>
      <c r="E119" s="1005"/>
      <c r="F119" s="1005"/>
      <c r="G119" s="1005"/>
      <c r="H119" s="1005"/>
      <c r="I119" s="1005"/>
      <c r="J119" s="1005"/>
      <c r="K119" s="1005"/>
      <c r="L119" s="1005"/>
      <c r="M119" s="1005"/>
      <c r="N119" s="1005"/>
      <c r="O119" s="1005"/>
      <c r="P119" s="1005"/>
      <c r="Q119" s="1005"/>
      <c r="R119" s="1005"/>
      <c r="S119" s="1005"/>
      <c r="T119" s="758"/>
      <c r="U119" s="758"/>
      <c r="V119" s="758"/>
      <c r="W119" s="758"/>
      <c r="X119" s="758"/>
      <c r="Y119" s="758"/>
      <c r="Z119" s="758"/>
    </row>
    <row r="120" spans="1:26" ht="17.100000000000001" customHeight="1">
      <c r="A120" s="765" t="s">
        <v>292</v>
      </c>
      <c r="C120" s="1005" t="s">
        <v>584</v>
      </c>
      <c r="D120" s="1005"/>
      <c r="E120" s="1005"/>
      <c r="F120" s="1005"/>
      <c r="G120" s="1005"/>
      <c r="H120" s="1005"/>
      <c r="I120" s="1005"/>
      <c r="J120" s="1005"/>
      <c r="K120" s="1005"/>
      <c r="L120" s="1005"/>
      <c r="M120" s="1005"/>
      <c r="N120" s="1005"/>
      <c r="O120" s="1005"/>
      <c r="P120" s="1005"/>
      <c r="Q120" s="1005"/>
      <c r="R120" s="1005"/>
      <c r="S120" s="1005"/>
      <c r="T120" s="758"/>
      <c r="U120" s="758"/>
      <c r="V120" s="758"/>
      <c r="W120" s="758"/>
      <c r="X120" s="758"/>
      <c r="Y120" s="758"/>
      <c r="Z120" s="758"/>
    </row>
    <row r="121" spans="1:26" ht="35.25" customHeight="1">
      <c r="A121" s="764" t="s">
        <v>294</v>
      </c>
      <c r="C121" s="1005" t="s">
        <v>1171</v>
      </c>
      <c r="D121" s="1005"/>
      <c r="E121" s="1005"/>
      <c r="F121" s="1005"/>
      <c r="G121" s="1005"/>
      <c r="H121" s="1005"/>
      <c r="I121" s="1005"/>
      <c r="J121" s="1005"/>
      <c r="K121" s="1005"/>
      <c r="L121" s="1005"/>
      <c r="M121" s="1005"/>
      <c r="N121" s="1005"/>
      <c r="O121" s="1005"/>
      <c r="P121" s="1005"/>
      <c r="Q121" s="1005"/>
      <c r="R121" s="1005"/>
      <c r="S121" s="1005"/>
      <c r="T121" s="758"/>
      <c r="U121" s="758"/>
      <c r="V121" s="758"/>
      <c r="W121" s="758"/>
      <c r="X121" s="758"/>
      <c r="Y121" s="758"/>
      <c r="Z121" s="758"/>
    </row>
    <row r="122" spans="1:26" s="845" customFormat="1" ht="17.100000000000001" customHeight="1">
      <c r="A122" s="765" t="s">
        <v>296</v>
      </c>
      <c r="C122" s="1005" t="s">
        <v>1129</v>
      </c>
      <c r="D122" s="1005"/>
      <c r="E122" s="1005"/>
      <c r="F122" s="1005"/>
      <c r="G122" s="1005"/>
      <c r="H122" s="1005"/>
      <c r="I122" s="1005"/>
      <c r="J122" s="1005"/>
      <c r="K122" s="1005"/>
      <c r="L122" s="1005"/>
      <c r="M122" s="1005"/>
      <c r="N122" s="1005"/>
      <c r="O122" s="1005"/>
      <c r="P122" s="1005"/>
      <c r="Q122" s="1005"/>
      <c r="R122" s="1005"/>
      <c r="S122" s="1005"/>
      <c r="T122" s="862"/>
      <c r="U122" s="862"/>
      <c r="V122" s="862"/>
      <c r="W122" s="862"/>
      <c r="X122" s="862"/>
      <c r="Y122" s="862"/>
      <c r="Z122" s="862"/>
    </row>
    <row r="123" spans="1:26" s="845" customFormat="1" ht="17.100000000000001" customHeight="1">
      <c r="A123" s="765" t="s">
        <v>298</v>
      </c>
      <c r="B123" s="862"/>
      <c r="C123" s="757" t="s">
        <v>1128</v>
      </c>
      <c r="D123" s="758"/>
      <c r="E123" s="758"/>
      <c r="F123" s="758"/>
      <c r="G123" s="758"/>
      <c r="H123" s="758"/>
      <c r="I123" s="758"/>
      <c r="J123" s="758"/>
      <c r="K123" s="758"/>
      <c r="L123" s="758"/>
      <c r="M123" s="758"/>
      <c r="N123" s="758"/>
      <c r="O123" s="758"/>
      <c r="P123" s="758"/>
      <c r="Q123" s="758"/>
      <c r="R123" s="758"/>
      <c r="S123" s="758"/>
      <c r="T123" s="862"/>
      <c r="U123" s="862"/>
      <c r="V123" s="862"/>
      <c r="W123" s="862"/>
      <c r="X123" s="862"/>
      <c r="Y123" s="862"/>
      <c r="Z123" s="862"/>
    </row>
    <row r="124" spans="1:26" ht="17.100000000000001" customHeight="1">
      <c r="A124" s="765" t="s">
        <v>300</v>
      </c>
      <c r="B124" s="861"/>
      <c r="C124" s="1005" t="s">
        <v>1127</v>
      </c>
      <c r="D124" s="1005"/>
      <c r="E124" s="1005"/>
      <c r="F124" s="1005"/>
      <c r="G124" s="1005"/>
      <c r="H124" s="1005"/>
      <c r="I124" s="1005"/>
      <c r="J124" s="1005"/>
      <c r="K124" s="1005"/>
      <c r="L124" s="1005"/>
      <c r="M124" s="1005"/>
      <c r="N124" s="1005"/>
      <c r="O124" s="1005"/>
      <c r="P124" s="1005"/>
      <c r="Q124" s="1005"/>
      <c r="R124" s="1005"/>
      <c r="S124" s="1005"/>
      <c r="T124" s="758"/>
      <c r="U124" s="758"/>
      <c r="V124" s="758"/>
      <c r="W124" s="758"/>
      <c r="X124" s="758"/>
      <c r="Y124" s="758"/>
      <c r="Z124" s="758"/>
    </row>
    <row r="125" spans="1:26" ht="15.75">
      <c r="A125" s="828"/>
      <c r="B125" s="861"/>
      <c r="C125" s="1005" t="s">
        <v>1126</v>
      </c>
      <c r="D125" s="1005"/>
      <c r="E125" s="1005"/>
      <c r="F125" s="1005"/>
      <c r="G125" s="1005"/>
      <c r="H125" s="1005"/>
      <c r="I125" s="1005"/>
      <c r="J125" s="1005"/>
      <c r="K125" s="1005"/>
      <c r="L125" s="1005"/>
      <c r="M125" s="1005"/>
      <c r="N125" s="1005"/>
      <c r="O125" s="1005"/>
      <c r="P125" s="1005"/>
      <c r="Q125" s="1005"/>
      <c r="R125" s="1005"/>
      <c r="S125" s="1005"/>
      <c r="T125" s="758"/>
      <c r="U125" s="758"/>
      <c r="V125" s="758"/>
      <c r="W125" s="758"/>
      <c r="X125" s="758"/>
      <c r="Y125" s="758"/>
      <c r="Z125" s="758"/>
    </row>
    <row r="126" spans="1:26">
      <c r="C126" s="1005" t="s">
        <v>1125</v>
      </c>
      <c r="D126" s="1005"/>
      <c r="E126" s="1005"/>
      <c r="F126" s="1005"/>
      <c r="G126" s="1005"/>
      <c r="H126" s="1005"/>
      <c r="I126" s="1005"/>
      <c r="J126" s="1005"/>
      <c r="K126" s="1005"/>
      <c r="L126" s="1005"/>
      <c r="M126" s="1005"/>
      <c r="N126" s="1005"/>
      <c r="O126" s="1005"/>
      <c r="P126" s="1005"/>
      <c r="Q126" s="1005"/>
      <c r="R126" s="1005"/>
      <c r="S126" s="1005"/>
      <c r="T126" s="758"/>
      <c r="U126" s="758"/>
      <c r="V126" s="758"/>
      <c r="W126" s="758"/>
      <c r="X126" s="758"/>
      <c r="Y126" s="758"/>
      <c r="Z126" s="758"/>
    </row>
    <row r="127" spans="1:26">
      <c r="A127" s="760" t="s">
        <v>309</v>
      </c>
      <c r="B127" s="759"/>
      <c r="C127" s="1003" t="s">
        <v>1124</v>
      </c>
      <c r="D127" s="1003"/>
      <c r="E127" s="1003"/>
      <c r="F127" s="1003"/>
      <c r="G127" s="1003"/>
      <c r="H127" s="1003"/>
      <c r="I127" s="1003"/>
      <c r="J127" s="1003"/>
      <c r="K127" s="1003"/>
      <c r="L127" s="1003"/>
      <c r="M127" s="1003"/>
      <c r="N127" s="1003"/>
      <c r="O127" s="1003"/>
      <c r="P127" s="758"/>
      <c r="Q127" s="758"/>
      <c r="R127" s="758"/>
      <c r="S127" s="758"/>
      <c r="T127" s="758"/>
      <c r="U127" s="758"/>
      <c r="V127" s="758"/>
      <c r="W127" s="758"/>
      <c r="X127" s="758"/>
      <c r="Y127" s="758"/>
      <c r="Z127" s="758"/>
    </row>
    <row r="128" spans="1:26">
      <c r="C128" s="920"/>
      <c r="D128" s="920"/>
      <c r="E128" s="920"/>
      <c r="F128" s="920"/>
      <c r="G128" s="920"/>
      <c r="H128" s="920"/>
      <c r="I128" s="921" t="s">
        <v>70</v>
      </c>
      <c r="J128" s="921" t="s">
        <v>19</v>
      </c>
      <c r="K128" s="921" t="s">
        <v>68</v>
      </c>
      <c r="L128" s="922"/>
      <c r="M128" s="758"/>
      <c r="N128" s="758"/>
      <c r="O128" s="758"/>
      <c r="P128" s="758"/>
      <c r="Q128" s="758"/>
      <c r="R128" s="758"/>
      <c r="S128" s="758"/>
      <c r="T128" s="758"/>
      <c r="U128" s="758"/>
      <c r="V128" s="758"/>
      <c r="W128" s="758"/>
      <c r="X128" s="758"/>
      <c r="Y128" s="758"/>
      <c r="Z128" s="758"/>
    </row>
    <row r="129" spans="3:26" ht="15.75">
      <c r="C129" s="923" t="s">
        <v>1120</v>
      </c>
      <c r="D129" s="922"/>
      <c r="E129" s="924"/>
      <c r="F129" s="924"/>
      <c r="G129" s="924"/>
      <c r="H129" s="922"/>
      <c r="I129" s="925">
        <f>'Software-Comm Equip'!C24</f>
        <v>244323418</v>
      </c>
      <c r="J129" s="926">
        <f>'ATC Attach O ER22-1602'!I241</f>
        <v>1</v>
      </c>
      <c r="K129" s="927">
        <f>I129*J129</f>
        <v>244323418</v>
      </c>
      <c r="L129" s="928" t="s">
        <v>1119</v>
      </c>
      <c r="M129" s="758"/>
      <c r="N129" s="758"/>
      <c r="O129" s="758"/>
      <c r="P129" s="758"/>
      <c r="Q129" s="758"/>
      <c r="R129" s="758"/>
      <c r="S129" s="758"/>
      <c r="T129" s="758"/>
      <c r="U129" s="758"/>
      <c r="V129" s="758"/>
      <c r="W129" s="758"/>
      <c r="X129" s="758"/>
      <c r="Y129" s="758"/>
      <c r="Z129" s="758"/>
    </row>
    <row r="130" spans="3:26" ht="15.75">
      <c r="C130" s="923" t="s">
        <v>1118</v>
      </c>
      <c r="D130" s="922"/>
      <c r="E130" s="924"/>
      <c r="F130" s="924"/>
      <c r="G130" s="924"/>
      <c r="H130" s="922"/>
      <c r="I130" s="925">
        <f>'Software-Comm Equip'!D24</f>
        <v>62729955</v>
      </c>
      <c r="J130" s="929">
        <f>+J129</f>
        <v>1</v>
      </c>
      <c r="K130" s="927">
        <f>I130*J130</f>
        <v>62729955</v>
      </c>
      <c r="L130" s="928" t="s">
        <v>1123</v>
      </c>
      <c r="M130" s="758"/>
      <c r="N130" s="758"/>
      <c r="O130" s="758"/>
      <c r="P130" s="758"/>
      <c r="Q130" s="758"/>
      <c r="R130" s="758"/>
      <c r="S130" s="758"/>
      <c r="T130" s="758"/>
      <c r="U130" s="758"/>
      <c r="V130" s="758"/>
      <c r="W130" s="758"/>
      <c r="X130" s="758"/>
      <c r="Y130" s="758"/>
      <c r="Z130" s="758"/>
    </row>
    <row r="131" spans="3:26">
      <c r="C131" s="923" t="s">
        <v>1117</v>
      </c>
      <c r="D131" s="922"/>
      <c r="E131" s="924"/>
      <c r="F131" s="924"/>
      <c r="G131" s="924"/>
      <c r="H131" s="922"/>
      <c r="I131" s="930">
        <f>I129-I130</f>
        <v>181593463</v>
      </c>
      <c r="J131" s="931"/>
      <c r="K131" s="930">
        <f>K129-K130</f>
        <v>181593463</v>
      </c>
      <c r="L131" s="928"/>
      <c r="M131" s="758"/>
      <c r="N131" s="758"/>
      <c r="O131" s="758"/>
      <c r="P131" s="758"/>
      <c r="Q131" s="758"/>
      <c r="R131" s="758"/>
      <c r="S131" s="758"/>
      <c r="T131" s="758"/>
      <c r="U131" s="758"/>
      <c r="V131" s="758"/>
      <c r="W131" s="758"/>
      <c r="X131" s="758"/>
      <c r="Y131" s="758"/>
      <c r="Z131" s="758"/>
    </row>
    <row r="132" spans="3:26">
      <c r="C132" s="924"/>
      <c r="D132" s="922"/>
      <c r="E132" s="924"/>
      <c r="F132" s="924"/>
      <c r="G132" s="924"/>
      <c r="H132" s="922"/>
      <c r="I132" s="924"/>
      <c r="J132" s="931"/>
      <c r="K132" s="924"/>
      <c r="L132" s="928"/>
      <c r="M132" s="758"/>
      <c r="N132" s="758"/>
      <c r="O132" s="758"/>
      <c r="P132" s="758"/>
      <c r="Q132" s="758"/>
      <c r="R132" s="758"/>
      <c r="S132" s="758"/>
      <c r="T132" s="758"/>
      <c r="U132" s="758"/>
      <c r="V132" s="758"/>
      <c r="W132" s="758"/>
      <c r="X132" s="758"/>
      <c r="Y132" s="758"/>
      <c r="Z132" s="758"/>
    </row>
    <row r="133" spans="3:26" ht="15.75">
      <c r="C133" s="923" t="s">
        <v>1115</v>
      </c>
      <c r="D133" s="922"/>
      <c r="E133" s="924"/>
      <c r="F133" s="924"/>
      <c r="G133" s="924"/>
      <c r="H133" s="922"/>
      <c r="I133" s="925">
        <f>'Software-Comm Equip'!C41</f>
        <v>17613228</v>
      </c>
      <c r="J133" s="929">
        <f>+J130</f>
        <v>1</v>
      </c>
      <c r="K133" s="927">
        <f>I133*J133</f>
        <v>17613228</v>
      </c>
      <c r="L133" s="928" t="s">
        <v>1114</v>
      </c>
      <c r="M133" s="758"/>
      <c r="N133" s="758"/>
      <c r="O133" s="758"/>
      <c r="P133" s="758"/>
      <c r="Q133" s="758"/>
      <c r="R133" s="758"/>
      <c r="S133" s="758"/>
      <c r="T133" s="758"/>
      <c r="U133" s="758"/>
      <c r="V133" s="758"/>
      <c r="W133" s="758"/>
      <c r="X133" s="758"/>
      <c r="Y133" s="758"/>
      <c r="Z133" s="758"/>
    </row>
    <row r="134" spans="3:26">
      <c r="C134" s="758"/>
      <c r="D134" s="758"/>
      <c r="E134" s="758"/>
      <c r="F134" s="758"/>
      <c r="G134" s="758"/>
      <c r="H134" s="758"/>
      <c r="I134" s="758"/>
      <c r="J134" s="758"/>
      <c r="K134" s="758"/>
      <c r="L134" s="758"/>
      <c r="M134" s="758"/>
      <c r="N134" s="758"/>
      <c r="O134" s="758"/>
      <c r="P134" s="758"/>
      <c r="Q134" s="758"/>
      <c r="R134" s="758"/>
      <c r="S134" s="758"/>
      <c r="T134" s="758"/>
      <c r="U134" s="758"/>
      <c r="V134" s="758"/>
      <c r="W134" s="758"/>
      <c r="X134" s="758"/>
      <c r="Y134" s="758"/>
      <c r="Z134" s="758"/>
    </row>
    <row r="135" spans="3:26">
      <c r="C135" s="758"/>
      <c r="D135" s="758"/>
      <c r="E135" s="758"/>
      <c r="F135" s="758"/>
      <c r="G135" s="758"/>
      <c r="H135" s="758"/>
      <c r="I135" s="758"/>
      <c r="J135" s="758"/>
      <c r="K135" s="758"/>
      <c r="L135" s="758"/>
      <c r="M135" s="758"/>
      <c r="N135" s="758"/>
      <c r="O135" s="758"/>
      <c r="P135" s="758"/>
      <c r="Q135" s="758"/>
      <c r="R135" s="758"/>
      <c r="S135" s="758"/>
      <c r="T135" s="758"/>
      <c r="U135" s="758"/>
      <c r="V135" s="758"/>
      <c r="W135" s="758"/>
      <c r="X135" s="758"/>
      <c r="Y135" s="758"/>
      <c r="Z135" s="758"/>
    </row>
    <row r="136" spans="3:26">
      <c r="C136" s="758"/>
      <c r="D136" s="758"/>
      <c r="E136" s="758"/>
      <c r="F136" s="758"/>
      <c r="G136" s="758"/>
      <c r="H136" s="758"/>
      <c r="I136" s="758"/>
      <c r="J136" s="758"/>
      <c r="K136" s="758"/>
      <c r="L136" s="758"/>
      <c r="M136" s="758"/>
      <c r="N136" s="758"/>
      <c r="O136" s="758"/>
      <c r="P136" s="758"/>
      <c r="Q136" s="758"/>
      <c r="R136" s="758"/>
      <c r="S136" s="758"/>
      <c r="T136" s="758"/>
      <c r="U136" s="758"/>
      <c r="V136" s="758"/>
      <c r="W136" s="758"/>
      <c r="X136" s="758"/>
      <c r="Y136" s="758"/>
      <c r="Z136" s="758"/>
    </row>
    <row r="137" spans="3:26">
      <c r="C137" s="758"/>
      <c r="D137" s="758"/>
      <c r="E137" s="758"/>
      <c r="F137" s="758"/>
      <c r="G137" s="758"/>
      <c r="H137" s="758"/>
      <c r="I137" s="758"/>
      <c r="J137" s="758"/>
      <c r="K137" s="758"/>
      <c r="L137" s="758"/>
      <c r="M137" s="758"/>
      <c r="N137" s="758"/>
      <c r="O137" s="758"/>
      <c r="P137" s="758"/>
      <c r="Q137" s="758"/>
      <c r="R137" s="758"/>
      <c r="S137" s="758"/>
      <c r="T137" s="758"/>
      <c r="U137" s="758"/>
      <c r="V137" s="758"/>
      <c r="W137" s="758"/>
      <c r="X137" s="758"/>
      <c r="Y137" s="758"/>
      <c r="Z137" s="758"/>
    </row>
    <row r="138" spans="3:26">
      <c r="C138" s="758"/>
      <c r="D138" s="758"/>
      <c r="E138" s="758"/>
      <c r="F138" s="758"/>
      <c r="G138" s="758"/>
      <c r="H138" s="758"/>
      <c r="I138" s="758"/>
      <c r="J138" s="758"/>
      <c r="K138" s="758"/>
      <c r="L138" s="758"/>
      <c r="M138" s="758"/>
      <c r="N138" s="758"/>
      <c r="O138" s="758"/>
      <c r="P138" s="758"/>
      <c r="Q138" s="758"/>
      <c r="R138" s="758"/>
      <c r="S138" s="758"/>
      <c r="T138" s="758"/>
      <c r="U138" s="758"/>
      <c r="V138" s="758"/>
      <c r="W138" s="758"/>
      <c r="X138" s="758"/>
      <c r="Y138" s="758"/>
      <c r="Z138" s="758"/>
    </row>
    <row r="139" spans="3:26">
      <c r="C139" s="758"/>
      <c r="D139" s="758"/>
      <c r="E139" s="758"/>
      <c r="F139" s="758"/>
      <c r="G139" s="758"/>
      <c r="H139" s="758"/>
      <c r="I139" s="758"/>
      <c r="J139" s="758"/>
      <c r="K139" s="758"/>
      <c r="L139" s="758"/>
      <c r="M139" s="758"/>
      <c r="N139" s="758"/>
      <c r="O139" s="758"/>
      <c r="P139" s="758"/>
      <c r="Q139" s="758"/>
      <c r="R139" s="758"/>
      <c r="S139" s="758"/>
      <c r="T139" s="758"/>
      <c r="U139" s="758"/>
      <c r="V139" s="758"/>
      <c r="W139" s="758"/>
      <c r="X139" s="758"/>
      <c r="Y139" s="758"/>
      <c r="Z139" s="758"/>
    </row>
    <row r="140" spans="3:26">
      <c r="C140" s="758"/>
      <c r="D140" s="758"/>
      <c r="E140" s="758"/>
      <c r="F140" s="758"/>
      <c r="G140" s="758"/>
      <c r="H140" s="758"/>
      <c r="I140" s="758"/>
      <c r="J140" s="758"/>
      <c r="K140" s="758"/>
      <c r="L140" s="758"/>
      <c r="M140" s="758"/>
      <c r="N140" s="758"/>
      <c r="O140" s="758"/>
      <c r="P140" s="758"/>
      <c r="Q140" s="758"/>
      <c r="R140" s="758"/>
      <c r="S140" s="758"/>
      <c r="T140" s="758"/>
      <c r="U140" s="758"/>
      <c r="V140" s="758"/>
      <c r="W140" s="758"/>
      <c r="X140" s="758"/>
      <c r="Y140" s="758"/>
      <c r="Z140" s="758"/>
    </row>
    <row r="141" spans="3:26">
      <c r="C141" s="758"/>
      <c r="D141" s="758"/>
      <c r="E141" s="758"/>
      <c r="F141" s="758"/>
      <c r="G141" s="758"/>
      <c r="H141" s="758"/>
      <c r="I141" s="758"/>
      <c r="J141" s="758"/>
      <c r="K141" s="758"/>
      <c r="L141" s="758"/>
      <c r="M141" s="758"/>
      <c r="N141" s="758"/>
      <c r="O141" s="758"/>
      <c r="P141" s="758"/>
      <c r="Q141" s="758"/>
      <c r="R141" s="758"/>
      <c r="S141" s="758"/>
      <c r="T141" s="758"/>
      <c r="U141" s="758"/>
      <c r="V141" s="758"/>
      <c r="W141" s="758"/>
      <c r="X141" s="758"/>
      <c r="Y141" s="758"/>
      <c r="Z141" s="758"/>
    </row>
    <row r="142" spans="3:26">
      <c r="C142" s="758"/>
      <c r="D142" s="758"/>
      <c r="E142" s="758"/>
      <c r="F142" s="758"/>
      <c r="G142" s="758"/>
      <c r="H142" s="758"/>
      <c r="I142" s="758"/>
      <c r="J142" s="758"/>
      <c r="K142" s="758"/>
      <c r="L142" s="758"/>
      <c r="M142" s="758"/>
      <c r="N142" s="758"/>
      <c r="O142" s="758"/>
      <c r="P142" s="758"/>
      <c r="Q142" s="758"/>
      <c r="R142" s="758"/>
      <c r="S142" s="758"/>
      <c r="T142" s="758"/>
      <c r="U142" s="758"/>
      <c r="V142" s="758"/>
      <c r="W142" s="758"/>
      <c r="X142" s="758"/>
      <c r="Y142" s="758"/>
      <c r="Z142" s="758"/>
    </row>
    <row r="143" spans="3:26">
      <c r="C143" s="758"/>
      <c r="D143" s="758"/>
      <c r="E143" s="758"/>
      <c r="F143" s="758"/>
      <c r="G143" s="758"/>
      <c r="H143" s="758"/>
      <c r="I143" s="758"/>
      <c r="J143" s="758"/>
      <c r="K143" s="758"/>
      <c r="L143" s="758"/>
      <c r="M143" s="758"/>
      <c r="N143" s="758"/>
      <c r="O143" s="758"/>
      <c r="P143" s="758"/>
      <c r="Q143" s="758"/>
      <c r="R143" s="758"/>
      <c r="S143" s="758"/>
      <c r="T143" s="758"/>
      <c r="U143" s="758"/>
      <c r="V143" s="758"/>
      <c r="W143" s="758"/>
      <c r="X143" s="758"/>
      <c r="Y143" s="758"/>
      <c r="Z143" s="758"/>
    </row>
    <row r="144" spans="3:26">
      <c r="C144" s="758"/>
      <c r="D144" s="758"/>
      <c r="E144" s="758"/>
      <c r="F144" s="758"/>
      <c r="G144" s="758"/>
      <c r="H144" s="758"/>
      <c r="I144" s="758"/>
      <c r="J144" s="758"/>
      <c r="K144" s="758"/>
      <c r="L144" s="758"/>
      <c r="M144" s="758"/>
      <c r="N144" s="758"/>
      <c r="O144" s="758"/>
      <c r="P144" s="758"/>
      <c r="Q144" s="758"/>
      <c r="R144" s="758"/>
      <c r="S144" s="758"/>
      <c r="T144" s="758"/>
      <c r="U144" s="758"/>
      <c r="V144" s="758"/>
      <c r="W144" s="758"/>
      <c r="X144" s="758"/>
      <c r="Y144" s="758"/>
      <c r="Z144" s="758"/>
    </row>
    <row r="145" spans="3:26">
      <c r="C145" s="758"/>
      <c r="D145" s="758"/>
      <c r="E145" s="758"/>
      <c r="F145" s="758"/>
      <c r="G145" s="758"/>
      <c r="H145" s="758"/>
      <c r="I145" s="758"/>
      <c r="J145" s="758"/>
      <c r="K145" s="758"/>
      <c r="L145" s="758"/>
      <c r="M145" s="758"/>
      <c r="N145" s="758"/>
      <c r="O145" s="758"/>
      <c r="P145" s="758"/>
      <c r="Q145" s="758"/>
      <c r="R145" s="758"/>
      <c r="S145" s="758"/>
      <c r="T145" s="758"/>
      <c r="U145" s="758"/>
      <c r="V145" s="758"/>
      <c r="W145" s="758"/>
      <c r="X145" s="758"/>
      <c r="Y145" s="758"/>
      <c r="Z145" s="758"/>
    </row>
    <row r="146" spans="3:26">
      <c r="C146" s="758"/>
      <c r="D146" s="758"/>
      <c r="E146" s="758"/>
      <c r="F146" s="758"/>
      <c r="G146" s="758"/>
      <c r="H146" s="758"/>
      <c r="I146" s="758"/>
      <c r="J146" s="758"/>
      <c r="K146" s="758"/>
      <c r="L146" s="758"/>
      <c r="M146" s="758"/>
      <c r="N146" s="758"/>
      <c r="O146" s="758"/>
      <c r="P146" s="758"/>
      <c r="Q146" s="758"/>
      <c r="R146" s="758"/>
      <c r="S146" s="758"/>
      <c r="T146" s="758"/>
      <c r="U146" s="758"/>
      <c r="V146" s="758"/>
      <c r="W146" s="758"/>
      <c r="X146" s="758"/>
      <c r="Y146" s="758"/>
      <c r="Z146" s="758"/>
    </row>
    <row r="147" spans="3:26">
      <c r="C147" s="758"/>
      <c r="D147" s="758"/>
      <c r="E147" s="758"/>
      <c r="F147" s="758"/>
      <c r="G147" s="758"/>
      <c r="H147" s="758"/>
      <c r="I147" s="758"/>
      <c r="J147" s="758"/>
      <c r="K147" s="758"/>
      <c r="L147" s="758"/>
      <c r="M147" s="758"/>
      <c r="N147" s="758"/>
      <c r="O147" s="758"/>
      <c r="P147" s="758"/>
      <c r="Q147" s="758"/>
      <c r="R147" s="758"/>
      <c r="S147" s="758"/>
      <c r="T147" s="758"/>
      <c r="U147" s="758"/>
      <c r="V147" s="758"/>
      <c r="W147" s="758"/>
      <c r="X147" s="758"/>
      <c r="Y147" s="758"/>
      <c r="Z147" s="758"/>
    </row>
    <row r="148" spans="3:26">
      <c r="C148" s="758"/>
      <c r="D148" s="758"/>
      <c r="E148" s="758"/>
      <c r="F148" s="758"/>
      <c r="G148" s="758"/>
      <c r="H148" s="758"/>
      <c r="I148" s="758"/>
      <c r="J148" s="758"/>
      <c r="K148" s="758"/>
      <c r="L148" s="758"/>
      <c r="M148" s="758"/>
      <c r="N148" s="758"/>
      <c r="O148" s="758"/>
      <c r="P148" s="758"/>
      <c r="Q148" s="758"/>
      <c r="R148" s="758"/>
      <c r="S148" s="758"/>
      <c r="T148" s="758"/>
      <c r="U148" s="758"/>
      <c r="V148" s="758"/>
      <c r="W148" s="758"/>
      <c r="X148" s="758"/>
      <c r="Y148" s="758"/>
      <c r="Z148" s="758"/>
    </row>
    <row r="149" spans="3:26">
      <c r="C149" s="758"/>
      <c r="D149" s="758"/>
      <c r="E149" s="758"/>
      <c r="F149" s="758"/>
      <c r="G149" s="758"/>
      <c r="H149" s="758"/>
      <c r="I149" s="758"/>
      <c r="J149" s="758"/>
      <c r="K149" s="758"/>
      <c r="L149" s="758"/>
      <c r="M149" s="758"/>
      <c r="N149" s="758"/>
      <c r="O149" s="758"/>
      <c r="P149" s="758"/>
      <c r="Q149" s="758"/>
      <c r="R149" s="758"/>
      <c r="S149" s="758"/>
      <c r="T149" s="758"/>
      <c r="U149" s="758"/>
      <c r="V149" s="758"/>
      <c r="W149" s="758"/>
      <c r="X149" s="758"/>
      <c r="Y149" s="758"/>
      <c r="Z149" s="758"/>
    </row>
    <row r="150" spans="3:26">
      <c r="C150" s="758"/>
      <c r="D150" s="758"/>
      <c r="E150" s="758"/>
      <c r="F150" s="758"/>
      <c r="G150" s="758"/>
      <c r="H150" s="758"/>
      <c r="I150" s="758"/>
      <c r="J150" s="758"/>
      <c r="K150" s="758"/>
      <c r="L150" s="758"/>
      <c r="M150" s="758"/>
      <c r="N150" s="758"/>
      <c r="O150" s="758"/>
      <c r="P150" s="758"/>
      <c r="Q150" s="758"/>
      <c r="R150" s="758"/>
      <c r="S150" s="758"/>
      <c r="T150" s="758"/>
      <c r="U150" s="758"/>
      <c r="V150" s="758"/>
      <c r="W150" s="758"/>
      <c r="X150" s="758"/>
      <c r="Y150" s="758"/>
      <c r="Z150" s="758"/>
    </row>
    <row r="151" spans="3:26">
      <c r="C151" s="758"/>
      <c r="D151" s="758"/>
      <c r="E151" s="758"/>
      <c r="F151" s="758"/>
      <c r="G151" s="758"/>
      <c r="H151" s="758"/>
      <c r="I151" s="758"/>
      <c r="J151" s="758"/>
      <c r="K151" s="758"/>
      <c r="L151" s="758"/>
      <c r="M151" s="758"/>
      <c r="N151" s="758"/>
      <c r="O151" s="758"/>
      <c r="P151" s="758"/>
      <c r="Q151" s="758"/>
      <c r="R151" s="758"/>
      <c r="S151" s="758"/>
      <c r="T151" s="758"/>
      <c r="U151" s="758"/>
      <c r="V151" s="758"/>
      <c r="W151" s="758"/>
      <c r="X151" s="758"/>
      <c r="Y151" s="758"/>
      <c r="Z151" s="758"/>
    </row>
    <row r="152" spans="3:26">
      <c r="C152" s="758"/>
      <c r="D152" s="758"/>
      <c r="E152" s="758"/>
      <c r="F152" s="758"/>
      <c r="G152" s="758"/>
      <c r="H152" s="758"/>
      <c r="I152" s="758"/>
      <c r="J152" s="758"/>
      <c r="K152" s="758"/>
      <c r="L152" s="758"/>
      <c r="M152" s="758"/>
      <c r="N152" s="758"/>
      <c r="O152" s="758"/>
      <c r="P152" s="758"/>
      <c r="Q152" s="758"/>
      <c r="R152" s="758"/>
      <c r="S152" s="758"/>
      <c r="T152" s="758"/>
      <c r="U152" s="758"/>
      <c r="V152" s="758"/>
      <c r="W152" s="758"/>
      <c r="X152" s="758"/>
      <c r="Y152" s="758"/>
      <c r="Z152" s="758"/>
    </row>
    <row r="153" spans="3:26">
      <c r="C153" s="758"/>
      <c r="D153" s="758"/>
      <c r="E153" s="758"/>
      <c r="F153" s="758"/>
      <c r="G153" s="758"/>
      <c r="H153" s="758"/>
      <c r="I153" s="758"/>
      <c r="J153" s="758"/>
      <c r="K153" s="758"/>
      <c r="L153" s="758"/>
      <c r="M153" s="758"/>
      <c r="N153" s="758"/>
      <c r="O153" s="758"/>
      <c r="P153" s="758"/>
      <c r="Q153" s="758"/>
      <c r="R153" s="758"/>
      <c r="S153" s="758"/>
      <c r="T153" s="758"/>
      <c r="U153" s="758"/>
      <c r="V153" s="758"/>
      <c r="W153" s="758"/>
      <c r="X153" s="758"/>
      <c r="Y153" s="758"/>
      <c r="Z153" s="758"/>
    </row>
    <row r="154" spans="3:26">
      <c r="C154" s="758"/>
      <c r="D154" s="758"/>
      <c r="E154" s="758"/>
      <c r="F154" s="758"/>
      <c r="G154" s="758"/>
      <c r="H154" s="758"/>
      <c r="I154" s="758"/>
      <c r="J154" s="758"/>
      <c r="K154" s="758"/>
      <c r="L154" s="758"/>
      <c r="M154" s="758"/>
      <c r="N154" s="758"/>
      <c r="O154" s="758"/>
      <c r="P154" s="758"/>
      <c r="Q154" s="758"/>
      <c r="R154" s="758"/>
      <c r="S154" s="758"/>
      <c r="T154" s="758"/>
      <c r="U154" s="758"/>
      <c r="V154" s="758"/>
      <c r="W154" s="758"/>
      <c r="X154" s="758"/>
      <c r="Y154" s="758"/>
      <c r="Z154" s="758"/>
    </row>
    <row r="155" spans="3:26">
      <c r="C155" s="758"/>
      <c r="D155" s="758"/>
      <c r="E155" s="758"/>
      <c r="F155" s="758"/>
      <c r="G155" s="758"/>
      <c r="H155" s="758"/>
      <c r="I155" s="758"/>
      <c r="J155" s="758"/>
      <c r="K155" s="758"/>
      <c r="L155" s="758"/>
      <c r="M155" s="758"/>
      <c r="N155" s="758"/>
      <c r="O155" s="758"/>
      <c r="P155" s="758"/>
      <c r="Q155" s="758"/>
      <c r="R155" s="758"/>
      <c r="S155" s="758"/>
      <c r="T155" s="758"/>
      <c r="U155" s="758"/>
      <c r="V155" s="758"/>
      <c r="W155" s="758"/>
      <c r="X155" s="758"/>
      <c r="Y155" s="758"/>
      <c r="Z155" s="758"/>
    </row>
    <row r="156" spans="3:26">
      <c r="C156" s="758"/>
      <c r="D156" s="758"/>
      <c r="E156" s="758"/>
      <c r="F156" s="758"/>
      <c r="G156" s="758"/>
      <c r="H156" s="758"/>
      <c r="I156" s="758"/>
      <c r="J156" s="758"/>
      <c r="K156" s="758"/>
      <c r="L156" s="758"/>
      <c r="M156" s="758"/>
      <c r="N156" s="758"/>
      <c r="O156" s="758"/>
      <c r="P156" s="758"/>
      <c r="Q156" s="758"/>
      <c r="R156" s="758"/>
      <c r="S156" s="758"/>
      <c r="T156" s="758"/>
      <c r="U156" s="758"/>
      <c r="V156" s="758"/>
      <c r="W156" s="758"/>
      <c r="X156" s="758"/>
      <c r="Y156" s="758"/>
      <c r="Z156" s="758"/>
    </row>
    <row r="157" spans="3:26">
      <c r="C157" s="758"/>
      <c r="D157" s="758"/>
      <c r="E157" s="758"/>
      <c r="F157" s="758"/>
      <c r="G157" s="758"/>
      <c r="H157" s="758"/>
      <c r="I157" s="758"/>
      <c r="J157" s="758"/>
      <c r="K157" s="758"/>
      <c r="L157" s="758"/>
      <c r="M157" s="758"/>
      <c r="N157" s="758"/>
      <c r="O157" s="758"/>
      <c r="P157" s="758"/>
      <c r="Q157" s="758"/>
      <c r="R157" s="758"/>
      <c r="S157" s="758"/>
      <c r="T157" s="758"/>
      <c r="U157" s="758"/>
      <c r="V157" s="758"/>
      <c r="W157" s="758"/>
      <c r="X157" s="758"/>
      <c r="Y157" s="758"/>
      <c r="Z157" s="758"/>
    </row>
    <row r="158" spans="3:26">
      <c r="C158" s="758"/>
      <c r="D158" s="758"/>
      <c r="E158" s="758"/>
      <c r="F158" s="758"/>
      <c r="G158" s="758"/>
      <c r="H158" s="758"/>
      <c r="I158" s="758"/>
      <c r="J158" s="758"/>
      <c r="K158" s="758"/>
      <c r="L158" s="758"/>
      <c r="M158" s="758"/>
      <c r="N158" s="758"/>
      <c r="O158" s="758"/>
      <c r="P158" s="758"/>
      <c r="Q158" s="758"/>
      <c r="R158" s="758"/>
      <c r="S158" s="758"/>
      <c r="T158" s="758"/>
      <c r="U158" s="758"/>
      <c r="V158" s="758"/>
      <c r="W158" s="758"/>
      <c r="X158" s="758"/>
      <c r="Y158" s="758"/>
      <c r="Z158" s="758"/>
    </row>
    <row r="159" spans="3:26">
      <c r="C159" s="758"/>
      <c r="D159" s="758"/>
      <c r="E159" s="758"/>
      <c r="F159" s="758"/>
      <c r="G159" s="758"/>
      <c r="H159" s="758"/>
      <c r="I159" s="758"/>
      <c r="J159" s="758"/>
      <c r="K159" s="758"/>
      <c r="L159" s="758"/>
      <c r="M159" s="758"/>
      <c r="N159" s="758"/>
      <c r="O159" s="758"/>
      <c r="P159" s="758"/>
      <c r="Q159" s="758"/>
      <c r="R159" s="758"/>
      <c r="S159" s="758"/>
      <c r="T159" s="758"/>
      <c r="U159" s="758"/>
      <c r="V159" s="758"/>
      <c r="W159" s="758"/>
      <c r="X159" s="758"/>
      <c r="Y159" s="758"/>
      <c r="Z159" s="758"/>
    </row>
    <row r="160" spans="3:26">
      <c r="C160" s="758"/>
      <c r="D160" s="758"/>
      <c r="E160" s="758"/>
      <c r="F160" s="758"/>
      <c r="G160" s="758"/>
      <c r="H160" s="758"/>
      <c r="I160" s="758"/>
      <c r="J160" s="758"/>
      <c r="K160" s="758"/>
      <c r="L160" s="758"/>
      <c r="M160" s="758"/>
      <c r="N160" s="758"/>
      <c r="O160" s="758"/>
      <c r="P160" s="758"/>
      <c r="Q160" s="758"/>
      <c r="R160" s="758"/>
      <c r="S160" s="758"/>
      <c r="T160" s="758"/>
      <c r="U160" s="758"/>
      <c r="V160" s="758"/>
      <c r="W160" s="758"/>
      <c r="X160" s="758"/>
      <c r="Y160" s="758"/>
      <c r="Z160" s="758"/>
    </row>
    <row r="161" spans="3:26">
      <c r="C161" s="758"/>
      <c r="D161" s="758"/>
      <c r="E161" s="758"/>
      <c r="F161" s="758"/>
      <c r="G161" s="758"/>
      <c r="H161" s="758"/>
      <c r="I161" s="758"/>
      <c r="J161" s="758"/>
      <c r="K161" s="758"/>
      <c r="L161" s="758"/>
      <c r="M161" s="758"/>
      <c r="N161" s="758"/>
      <c r="O161" s="758"/>
      <c r="P161" s="758"/>
      <c r="Q161" s="758"/>
      <c r="R161" s="758"/>
      <c r="S161" s="758"/>
      <c r="T161" s="758"/>
      <c r="U161" s="758"/>
      <c r="V161" s="758"/>
      <c r="W161" s="758"/>
      <c r="X161" s="758"/>
      <c r="Y161" s="758"/>
      <c r="Z161" s="758"/>
    </row>
    <row r="162" spans="3:26">
      <c r="C162" s="758"/>
      <c r="D162" s="758"/>
      <c r="E162" s="758"/>
      <c r="F162" s="758"/>
      <c r="G162" s="758"/>
      <c r="H162" s="758"/>
      <c r="I162" s="758"/>
      <c r="J162" s="758"/>
      <c r="K162" s="758"/>
      <c r="L162" s="758"/>
      <c r="M162" s="758"/>
      <c r="N162" s="758"/>
      <c r="O162" s="758"/>
      <c r="P162" s="758"/>
      <c r="Q162" s="758"/>
      <c r="R162" s="758"/>
      <c r="S162" s="758"/>
      <c r="T162" s="758"/>
      <c r="U162" s="758"/>
      <c r="V162" s="758"/>
      <c r="W162" s="758"/>
      <c r="X162" s="758"/>
      <c r="Y162" s="758"/>
      <c r="Z162" s="758"/>
    </row>
    <row r="163" spans="3:26">
      <c r="C163" s="758"/>
      <c r="D163" s="758"/>
      <c r="E163" s="758"/>
      <c r="F163" s="758"/>
      <c r="G163" s="758"/>
      <c r="H163" s="758"/>
      <c r="I163" s="758"/>
      <c r="J163" s="758"/>
      <c r="K163" s="758"/>
      <c r="L163" s="758"/>
      <c r="M163" s="758"/>
      <c r="N163" s="758"/>
      <c r="O163" s="758"/>
      <c r="P163" s="758"/>
      <c r="Q163" s="758"/>
      <c r="R163" s="758"/>
      <c r="S163" s="758"/>
      <c r="T163" s="758"/>
      <c r="U163" s="758"/>
      <c r="V163" s="758"/>
      <c r="W163" s="758"/>
      <c r="X163" s="758"/>
      <c r="Y163" s="758"/>
      <c r="Z163" s="758"/>
    </row>
    <row r="164" spans="3:26">
      <c r="C164" s="758"/>
      <c r="D164" s="758"/>
      <c r="E164" s="758"/>
      <c r="F164" s="758"/>
      <c r="G164" s="758"/>
      <c r="H164" s="758"/>
      <c r="I164" s="758"/>
      <c r="J164" s="758"/>
      <c r="K164" s="758"/>
      <c r="L164" s="758"/>
      <c r="M164" s="758"/>
      <c r="N164" s="758"/>
      <c r="O164" s="758"/>
      <c r="P164" s="758"/>
      <c r="Q164" s="758"/>
      <c r="R164" s="758"/>
      <c r="S164" s="758"/>
      <c r="T164" s="758"/>
      <c r="U164" s="758"/>
      <c r="V164" s="758"/>
      <c r="W164" s="758"/>
      <c r="X164" s="758"/>
      <c r="Y164" s="758"/>
      <c r="Z164" s="758"/>
    </row>
    <row r="165" spans="3:26">
      <c r="C165" s="758"/>
      <c r="D165" s="758"/>
      <c r="E165" s="758"/>
      <c r="F165" s="758"/>
      <c r="G165" s="758"/>
      <c r="H165" s="758"/>
      <c r="I165" s="758"/>
      <c r="J165" s="758"/>
      <c r="K165" s="758"/>
      <c r="L165" s="758"/>
      <c r="M165" s="758"/>
      <c r="N165" s="758"/>
      <c r="O165" s="758"/>
      <c r="P165" s="758"/>
      <c r="Q165" s="758"/>
      <c r="R165" s="758"/>
      <c r="S165" s="758"/>
      <c r="T165" s="758"/>
      <c r="U165" s="758"/>
      <c r="V165" s="758"/>
      <c r="W165" s="758"/>
      <c r="X165" s="758"/>
      <c r="Y165" s="758"/>
      <c r="Z165" s="758"/>
    </row>
    <row r="166" spans="3:26">
      <c r="C166" s="758"/>
      <c r="D166" s="758"/>
      <c r="E166" s="758"/>
      <c r="F166" s="758"/>
      <c r="G166" s="758"/>
      <c r="H166" s="758"/>
      <c r="I166" s="758"/>
      <c r="J166" s="758"/>
      <c r="K166" s="758"/>
      <c r="L166" s="758"/>
      <c r="M166" s="758"/>
      <c r="N166" s="758"/>
      <c r="O166" s="758"/>
      <c r="P166" s="758"/>
      <c r="Q166" s="758"/>
      <c r="R166" s="758"/>
      <c r="S166" s="758"/>
      <c r="T166" s="758"/>
      <c r="U166" s="758"/>
      <c r="V166" s="758"/>
      <c r="W166" s="758"/>
      <c r="X166" s="758"/>
      <c r="Y166" s="758"/>
      <c r="Z166" s="758"/>
    </row>
    <row r="167" spans="3:26">
      <c r="C167" s="758"/>
      <c r="D167" s="758"/>
      <c r="E167" s="758"/>
      <c r="F167" s="758"/>
      <c r="G167" s="758"/>
      <c r="H167" s="758"/>
      <c r="I167" s="758"/>
      <c r="J167" s="758"/>
      <c r="K167" s="758"/>
      <c r="L167" s="758"/>
      <c r="M167" s="758"/>
      <c r="N167" s="758"/>
      <c r="O167" s="758"/>
      <c r="P167" s="758"/>
      <c r="Q167" s="758"/>
      <c r="R167" s="758"/>
      <c r="S167" s="758"/>
      <c r="T167" s="758"/>
      <c r="U167" s="758"/>
      <c r="V167" s="758"/>
      <c r="W167" s="758"/>
      <c r="X167" s="758"/>
      <c r="Y167" s="758"/>
      <c r="Z167" s="758"/>
    </row>
    <row r="168" spans="3:26">
      <c r="C168" s="758"/>
      <c r="D168" s="758"/>
      <c r="E168" s="758"/>
      <c r="F168" s="758"/>
      <c r="G168" s="758"/>
      <c r="H168" s="758"/>
      <c r="I168" s="758"/>
      <c r="J168" s="758"/>
      <c r="K168" s="758"/>
      <c r="L168" s="758"/>
      <c r="M168" s="758"/>
      <c r="N168" s="758"/>
      <c r="O168" s="758"/>
      <c r="P168" s="758"/>
      <c r="Q168" s="758"/>
      <c r="R168" s="758"/>
      <c r="S168" s="758"/>
      <c r="T168" s="758"/>
      <c r="U168" s="758"/>
      <c r="V168" s="758"/>
      <c r="W168" s="758"/>
      <c r="X168" s="758"/>
      <c r="Y168" s="758"/>
      <c r="Z168" s="758"/>
    </row>
    <row r="169" spans="3:26">
      <c r="C169" s="758"/>
      <c r="D169" s="758"/>
      <c r="E169" s="758"/>
      <c r="F169" s="758"/>
      <c r="G169" s="758"/>
      <c r="H169" s="758"/>
      <c r="I169" s="758"/>
      <c r="J169" s="758"/>
      <c r="K169" s="758"/>
      <c r="L169" s="758"/>
      <c r="M169" s="758"/>
      <c r="N169" s="758"/>
      <c r="O169" s="758"/>
      <c r="P169" s="758"/>
      <c r="Q169" s="758"/>
      <c r="R169" s="758"/>
      <c r="S169" s="758"/>
      <c r="T169" s="758"/>
      <c r="U169" s="758"/>
      <c r="V169" s="758"/>
      <c r="W169" s="758"/>
      <c r="X169" s="758"/>
      <c r="Y169" s="758"/>
      <c r="Z169" s="758"/>
    </row>
    <row r="170" spans="3:26">
      <c r="C170" s="758"/>
      <c r="D170" s="758"/>
      <c r="E170" s="758"/>
      <c r="F170" s="758"/>
      <c r="G170" s="758"/>
      <c r="H170" s="758"/>
      <c r="I170" s="758"/>
      <c r="J170" s="758"/>
      <c r="K170" s="758"/>
      <c r="L170" s="758"/>
      <c r="M170" s="758"/>
      <c r="N170" s="758"/>
      <c r="O170" s="758"/>
      <c r="P170" s="758"/>
      <c r="Q170" s="758"/>
      <c r="R170" s="758"/>
      <c r="S170" s="758"/>
      <c r="T170" s="758"/>
      <c r="U170" s="758"/>
      <c r="V170" s="758"/>
      <c r="W170" s="758"/>
      <c r="X170" s="758"/>
      <c r="Y170" s="758"/>
      <c r="Z170" s="758"/>
    </row>
    <row r="171" spans="3:26">
      <c r="C171" s="758"/>
      <c r="D171" s="758"/>
      <c r="E171" s="758"/>
      <c r="F171" s="758"/>
      <c r="G171" s="758"/>
      <c r="H171" s="758"/>
      <c r="I171" s="758"/>
      <c r="J171" s="758"/>
      <c r="K171" s="758"/>
      <c r="L171" s="758"/>
      <c r="M171" s="758"/>
      <c r="N171" s="758"/>
      <c r="O171" s="758"/>
      <c r="P171" s="758"/>
      <c r="Q171" s="758"/>
      <c r="R171" s="758"/>
      <c r="S171" s="758"/>
      <c r="T171" s="758"/>
      <c r="U171" s="758"/>
      <c r="V171" s="758"/>
      <c r="W171" s="758"/>
      <c r="X171" s="758"/>
      <c r="Y171" s="758"/>
      <c r="Z171" s="758"/>
    </row>
    <row r="172" spans="3:26">
      <c r="C172" s="758"/>
      <c r="D172" s="758"/>
      <c r="E172" s="758"/>
      <c r="F172" s="758"/>
      <c r="G172" s="758"/>
      <c r="H172" s="758"/>
      <c r="I172" s="758"/>
      <c r="J172" s="758"/>
      <c r="K172" s="758"/>
      <c r="L172" s="758"/>
      <c r="M172" s="758"/>
      <c r="N172" s="758"/>
      <c r="O172" s="758"/>
      <c r="P172" s="758"/>
      <c r="Q172" s="758"/>
      <c r="R172" s="758"/>
      <c r="S172" s="758"/>
      <c r="T172" s="758"/>
      <c r="U172" s="758"/>
      <c r="V172" s="758"/>
      <c r="W172" s="758"/>
      <c r="X172" s="758"/>
      <c r="Y172" s="758"/>
      <c r="Z172" s="758"/>
    </row>
    <row r="173" spans="3:26">
      <c r="C173" s="758"/>
      <c r="D173" s="758"/>
      <c r="E173" s="758"/>
      <c r="F173" s="758"/>
      <c r="G173" s="758"/>
      <c r="H173" s="758"/>
      <c r="I173" s="758"/>
      <c r="J173" s="758"/>
      <c r="K173" s="758"/>
      <c r="L173" s="758"/>
      <c r="M173" s="758"/>
      <c r="N173" s="758"/>
      <c r="O173" s="758"/>
      <c r="P173" s="758"/>
      <c r="Q173" s="758"/>
      <c r="R173" s="758"/>
      <c r="S173" s="758"/>
      <c r="T173" s="758"/>
      <c r="U173" s="758"/>
      <c r="V173" s="758"/>
      <c r="W173" s="758"/>
      <c r="X173" s="758"/>
      <c r="Y173" s="758"/>
      <c r="Z173" s="758"/>
    </row>
    <row r="174" spans="3:26">
      <c r="C174" s="758"/>
      <c r="D174" s="758"/>
      <c r="E174" s="758"/>
      <c r="F174" s="758"/>
      <c r="G174" s="758"/>
      <c r="H174" s="758"/>
      <c r="I174" s="758"/>
      <c r="J174" s="758"/>
      <c r="K174" s="758"/>
      <c r="L174" s="758"/>
      <c r="M174" s="758"/>
      <c r="N174" s="758"/>
      <c r="O174" s="758"/>
      <c r="P174" s="758"/>
      <c r="Q174" s="758"/>
      <c r="R174" s="758"/>
      <c r="S174" s="758"/>
      <c r="T174" s="758"/>
      <c r="U174" s="758"/>
      <c r="V174" s="758"/>
      <c r="W174" s="758"/>
      <c r="X174" s="758"/>
      <c r="Y174" s="758"/>
      <c r="Z174" s="758"/>
    </row>
    <row r="175" spans="3:26">
      <c r="C175" s="758"/>
      <c r="D175" s="758"/>
      <c r="E175" s="758"/>
      <c r="F175" s="758"/>
      <c r="G175" s="758"/>
      <c r="H175" s="758"/>
      <c r="I175" s="758"/>
      <c r="J175" s="758"/>
      <c r="K175" s="758"/>
      <c r="L175" s="758"/>
      <c r="M175" s="758"/>
      <c r="N175" s="758"/>
      <c r="O175" s="758"/>
      <c r="P175" s="758"/>
      <c r="Q175" s="758"/>
      <c r="R175" s="758"/>
      <c r="S175" s="758"/>
      <c r="T175" s="758"/>
      <c r="U175" s="758"/>
      <c r="V175" s="758"/>
      <c r="W175" s="758"/>
      <c r="X175" s="758"/>
      <c r="Y175" s="758"/>
      <c r="Z175" s="758"/>
    </row>
    <row r="176" spans="3:26">
      <c r="C176" s="758"/>
      <c r="D176" s="758"/>
      <c r="E176" s="758"/>
      <c r="F176" s="758"/>
      <c r="G176" s="758"/>
      <c r="H176" s="758"/>
      <c r="I176" s="758"/>
      <c r="J176" s="758"/>
      <c r="K176" s="758"/>
      <c r="L176" s="758"/>
      <c r="M176" s="758"/>
      <c r="N176" s="758"/>
      <c r="O176" s="758"/>
      <c r="P176" s="758"/>
      <c r="Q176" s="758"/>
      <c r="R176" s="758"/>
      <c r="S176" s="758"/>
      <c r="T176" s="758"/>
      <c r="U176" s="758"/>
      <c r="V176" s="758"/>
      <c r="W176" s="758"/>
      <c r="X176" s="758"/>
      <c r="Y176" s="758"/>
      <c r="Z176" s="758"/>
    </row>
    <row r="177" spans="3:26">
      <c r="C177" s="758"/>
      <c r="D177" s="758"/>
      <c r="E177" s="758"/>
      <c r="F177" s="758"/>
      <c r="G177" s="758"/>
      <c r="H177" s="758"/>
      <c r="I177" s="758"/>
      <c r="J177" s="758"/>
      <c r="K177" s="758"/>
      <c r="L177" s="758"/>
      <c r="M177" s="758"/>
      <c r="N177" s="758"/>
      <c r="O177" s="758"/>
      <c r="P177" s="758"/>
      <c r="Q177" s="758"/>
      <c r="R177" s="758"/>
      <c r="S177" s="758"/>
      <c r="T177" s="758"/>
      <c r="U177" s="758"/>
      <c r="V177" s="758"/>
      <c r="W177" s="758"/>
      <c r="X177" s="758"/>
      <c r="Y177" s="758"/>
      <c r="Z177" s="758"/>
    </row>
    <row r="178" spans="3:26">
      <c r="C178" s="758"/>
      <c r="D178" s="758"/>
      <c r="E178" s="758"/>
      <c r="F178" s="758"/>
      <c r="G178" s="758"/>
      <c r="H178" s="758"/>
      <c r="I178" s="758"/>
      <c r="J178" s="758"/>
      <c r="K178" s="758"/>
      <c r="L178" s="758"/>
      <c r="M178" s="758"/>
      <c r="N178" s="758"/>
      <c r="O178" s="758"/>
      <c r="P178" s="758"/>
      <c r="Q178" s="758"/>
      <c r="R178" s="758"/>
      <c r="S178" s="758"/>
      <c r="T178" s="758"/>
      <c r="U178" s="758"/>
      <c r="V178" s="758"/>
      <c r="W178" s="758"/>
      <c r="X178" s="758"/>
      <c r="Y178" s="758"/>
      <c r="Z178" s="758"/>
    </row>
    <row r="179" spans="3:26">
      <c r="C179" s="758"/>
      <c r="D179" s="758"/>
      <c r="E179" s="758"/>
      <c r="F179" s="758"/>
      <c r="G179" s="758"/>
      <c r="H179" s="758"/>
      <c r="I179" s="758"/>
      <c r="J179" s="758"/>
      <c r="K179" s="758"/>
      <c r="L179" s="758"/>
      <c r="M179" s="758"/>
      <c r="N179" s="758"/>
      <c r="O179" s="758"/>
      <c r="P179" s="758"/>
      <c r="Q179" s="758"/>
      <c r="R179" s="758"/>
      <c r="S179" s="758"/>
      <c r="T179" s="758"/>
      <c r="U179" s="758"/>
      <c r="V179" s="758"/>
      <c r="W179" s="758"/>
      <c r="X179" s="758"/>
      <c r="Y179" s="758"/>
      <c r="Z179" s="758"/>
    </row>
    <row r="180" spans="3:26">
      <c r="C180" s="758"/>
      <c r="D180" s="758"/>
      <c r="E180" s="758"/>
      <c r="F180" s="758"/>
      <c r="G180" s="758"/>
      <c r="H180" s="758"/>
      <c r="I180" s="758"/>
      <c r="J180" s="758"/>
      <c r="K180" s="758"/>
      <c r="L180" s="758"/>
      <c r="M180" s="758"/>
      <c r="N180" s="758"/>
      <c r="O180" s="758"/>
      <c r="P180" s="758"/>
      <c r="Q180" s="758"/>
      <c r="R180" s="758"/>
      <c r="S180" s="758"/>
      <c r="T180" s="758"/>
      <c r="U180" s="758"/>
      <c r="V180" s="758"/>
      <c r="W180" s="758"/>
      <c r="X180" s="758"/>
      <c r="Y180" s="758"/>
      <c r="Z180" s="758"/>
    </row>
    <row r="181" spans="3:26">
      <c r="C181" s="758"/>
      <c r="D181" s="758"/>
      <c r="E181" s="758"/>
      <c r="F181" s="758"/>
      <c r="G181" s="758"/>
      <c r="H181" s="758"/>
      <c r="I181" s="758"/>
      <c r="J181" s="758"/>
      <c r="K181" s="758"/>
      <c r="L181" s="758"/>
      <c r="M181" s="758"/>
      <c r="N181" s="758"/>
      <c r="O181" s="758"/>
      <c r="P181" s="758"/>
      <c r="Q181" s="758"/>
      <c r="R181" s="758"/>
      <c r="S181" s="758"/>
      <c r="T181" s="758"/>
      <c r="U181" s="758"/>
      <c r="V181" s="758"/>
      <c r="W181" s="758"/>
      <c r="X181" s="758"/>
      <c r="Y181" s="758"/>
      <c r="Z181" s="758"/>
    </row>
    <row r="182" spans="3:26">
      <c r="C182" s="758"/>
      <c r="D182" s="758"/>
      <c r="E182" s="758"/>
      <c r="F182" s="758"/>
      <c r="G182" s="758"/>
      <c r="H182" s="758"/>
      <c r="I182" s="758"/>
      <c r="J182" s="758"/>
      <c r="K182" s="758"/>
      <c r="L182" s="758"/>
      <c r="M182" s="758"/>
      <c r="N182" s="758"/>
      <c r="O182" s="758"/>
      <c r="P182" s="758"/>
      <c r="Q182" s="758"/>
      <c r="R182" s="758"/>
      <c r="S182" s="758"/>
      <c r="T182" s="758"/>
      <c r="U182" s="758"/>
      <c r="V182" s="758"/>
      <c r="W182" s="758"/>
      <c r="X182" s="758"/>
      <c r="Y182" s="758"/>
      <c r="Z182" s="758"/>
    </row>
    <row r="183" spans="3:26">
      <c r="C183" s="758"/>
      <c r="D183" s="758"/>
      <c r="E183" s="758"/>
      <c r="F183" s="758"/>
      <c r="G183" s="758"/>
      <c r="H183" s="758"/>
      <c r="I183" s="758"/>
      <c r="J183" s="758"/>
      <c r="K183" s="758"/>
      <c r="L183" s="758"/>
      <c r="M183" s="758"/>
      <c r="N183" s="758"/>
      <c r="O183" s="758"/>
      <c r="P183" s="758"/>
      <c r="Q183" s="758"/>
      <c r="R183" s="758"/>
      <c r="S183" s="758"/>
      <c r="T183" s="758"/>
      <c r="U183" s="758"/>
      <c r="V183" s="758"/>
      <c r="W183" s="758"/>
      <c r="X183" s="758"/>
      <c r="Y183" s="758"/>
      <c r="Z183" s="758"/>
    </row>
    <row r="184" spans="3:26">
      <c r="C184" s="758"/>
      <c r="D184" s="758"/>
      <c r="E184" s="758"/>
      <c r="F184" s="758"/>
      <c r="G184" s="758"/>
      <c r="H184" s="758"/>
      <c r="I184" s="758"/>
      <c r="J184" s="758"/>
      <c r="K184" s="758"/>
      <c r="L184" s="758"/>
      <c r="M184" s="758"/>
      <c r="N184" s="758"/>
      <c r="O184" s="758"/>
      <c r="P184" s="758"/>
      <c r="Q184" s="758"/>
      <c r="R184" s="758"/>
      <c r="S184" s="758"/>
      <c r="T184" s="758"/>
      <c r="U184" s="758"/>
      <c r="V184" s="758"/>
      <c r="W184" s="758"/>
      <c r="X184" s="758"/>
      <c r="Y184" s="758"/>
      <c r="Z184" s="758"/>
    </row>
    <row r="185" spans="3:26">
      <c r="C185" s="758"/>
      <c r="D185" s="758"/>
      <c r="E185" s="758"/>
      <c r="F185" s="758"/>
      <c r="G185" s="758"/>
      <c r="H185" s="758"/>
      <c r="I185" s="758"/>
      <c r="J185" s="758"/>
      <c r="K185" s="758"/>
      <c r="L185" s="758"/>
      <c r="M185" s="758"/>
      <c r="N185" s="758"/>
      <c r="O185" s="758"/>
      <c r="P185" s="758"/>
      <c r="Q185" s="758"/>
      <c r="R185" s="758"/>
      <c r="S185" s="758"/>
      <c r="T185" s="758"/>
      <c r="U185" s="758"/>
      <c r="V185" s="758"/>
      <c r="W185" s="758"/>
      <c r="X185" s="758"/>
      <c r="Y185" s="758"/>
      <c r="Z185" s="758"/>
    </row>
    <row r="186" spans="3:26">
      <c r="C186" s="758"/>
      <c r="D186" s="758"/>
      <c r="E186" s="758"/>
      <c r="F186" s="758"/>
      <c r="G186" s="758"/>
      <c r="H186" s="758"/>
      <c r="I186" s="758"/>
      <c r="J186" s="758"/>
      <c r="K186" s="758"/>
      <c r="L186" s="758"/>
      <c r="M186" s="758"/>
      <c r="N186" s="758"/>
      <c r="O186" s="758"/>
      <c r="P186" s="758"/>
      <c r="Q186" s="758"/>
      <c r="R186" s="758"/>
      <c r="S186" s="758"/>
      <c r="T186" s="758"/>
      <c r="U186" s="758"/>
      <c r="V186" s="758"/>
      <c r="W186" s="758"/>
      <c r="X186" s="758"/>
      <c r="Y186" s="758"/>
      <c r="Z186" s="758"/>
    </row>
    <row r="187" spans="3:26">
      <c r="C187" s="758"/>
      <c r="D187" s="758"/>
      <c r="E187" s="758"/>
      <c r="F187" s="758"/>
      <c r="G187" s="758"/>
      <c r="H187" s="758"/>
      <c r="I187" s="758"/>
      <c r="J187" s="758"/>
      <c r="K187" s="758"/>
      <c r="L187" s="758"/>
      <c r="M187" s="758"/>
      <c r="N187" s="758"/>
      <c r="O187" s="758"/>
      <c r="P187" s="758"/>
      <c r="Q187" s="758"/>
      <c r="R187" s="758"/>
      <c r="S187" s="758"/>
      <c r="T187" s="758"/>
      <c r="U187" s="758"/>
      <c r="V187" s="758"/>
      <c r="W187" s="758"/>
      <c r="X187" s="758"/>
      <c r="Y187" s="758"/>
      <c r="Z187" s="758"/>
    </row>
    <row r="188" spans="3:26">
      <c r="C188" s="758"/>
      <c r="D188" s="758"/>
      <c r="E188" s="758"/>
      <c r="F188" s="758"/>
      <c r="G188" s="758"/>
      <c r="H188" s="758"/>
      <c r="I188" s="758"/>
      <c r="J188" s="758"/>
      <c r="K188" s="758"/>
      <c r="L188" s="758"/>
      <c r="M188" s="758"/>
      <c r="N188" s="758"/>
      <c r="O188" s="758"/>
      <c r="P188" s="758"/>
      <c r="Q188" s="758"/>
      <c r="R188" s="758"/>
      <c r="S188" s="758"/>
      <c r="T188" s="758"/>
      <c r="U188" s="758"/>
      <c r="V188" s="758"/>
      <c r="W188" s="758"/>
      <c r="X188" s="758"/>
      <c r="Y188" s="758"/>
      <c r="Z188" s="758"/>
    </row>
    <row r="189" spans="3:26">
      <c r="C189" s="758"/>
      <c r="D189" s="758"/>
      <c r="E189" s="758"/>
      <c r="F189" s="758"/>
      <c r="G189" s="758"/>
      <c r="H189" s="758"/>
      <c r="I189" s="758"/>
      <c r="J189" s="758"/>
      <c r="K189" s="758"/>
      <c r="L189" s="758"/>
      <c r="M189" s="758"/>
      <c r="N189" s="758"/>
      <c r="O189" s="758"/>
      <c r="P189" s="758"/>
      <c r="Q189" s="758"/>
      <c r="R189" s="758"/>
      <c r="S189" s="758"/>
      <c r="T189" s="758"/>
      <c r="U189" s="758"/>
      <c r="V189" s="758"/>
      <c r="W189" s="758"/>
      <c r="X189" s="758"/>
      <c r="Y189" s="758"/>
      <c r="Z189" s="758"/>
    </row>
    <row r="190" spans="3:26">
      <c r="C190" s="758"/>
      <c r="D190" s="758"/>
      <c r="E190" s="758"/>
      <c r="F190" s="758"/>
      <c r="G190" s="758"/>
      <c r="H190" s="758"/>
      <c r="I190" s="758"/>
      <c r="J190" s="758"/>
      <c r="K190" s="758"/>
      <c r="L190" s="758"/>
      <c r="M190" s="758"/>
      <c r="N190" s="758"/>
      <c r="O190" s="758"/>
      <c r="P190" s="758"/>
      <c r="Q190" s="758"/>
      <c r="R190" s="758"/>
      <c r="S190" s="758"/>
      <c r="T190" s="758"/>
      <c r="U190" s="758"/>
      <c r="V190" s="758"/>
      <c r="W190" s="758"/>
      <c r="X190" s="758"/>
      <c r="Y190" s="758"/>
      <c r="Z190" s="758"/>
    </row>
    <row r="191" spans="3:26">
      <c r="C191" s="758"/>
      <c r="D191" s="758"/>
      <c r="E191" s="758"/>
      <c r="F191" s="758"/>
      <c r="G191" s="758"/>
      <c r="H191" s="758"/>
      <c r="I191" s="758"/>
      <c r="J191" s="758"/>
      <c r="K191" s="758"/>
      <c r="L191" s="758"/>
      <c r="M191" s="758"/>
      <c r="N191" s="758"/>
      <c r="O191" s="758"/>
      <c r="P191" s="758"/>
      <c r="Q191" s="758"/>
      <c r="R191" s="758"/>
      <c r="S191" s="758"/>
      <c r="T191" s="758"/>
      <c r="U191" s="758"/>
      <c r="V191" s="758"/>
      <c r="W191" s="758"/>
      <c r="X191" s="758"/>
      <c r="Y191" s="758"/>
      <c r="Z191" s="758"/>
    </row>
    <row r="192" spans="3:26">
      <c r="C192" s="758"/>
      <c r="D192" s="758"/>
      <c r="E192" s="758"/>
      <c r="F192" s="758"/>
      <c r="G192" s="758"/>
      <c r="H192" s="758"/>
      <c r="I192" s="758"/>
      <c r="J192" s="758"/>
      <c r="K192" s="758"/>
      <c r="L192" s="758"/>
      <c r="M192" s="758"/>
      <c r="N192" s="758"/>
      <c r="O192" s="758"/>
      <c r="P192" s="758"/>
      <c r="Q192" s="758"/>
      <c r="R192" s="758"/>
      <c r="S192" s="758"/>
      <c r="T192" s="758"/>
      <c r="U192" s="758"/>
      <c r="V192" s="758"/>
      <c r="W192" s="758"/>
      <c r="X192" s="758"/>
      <c r="Y192" s="758"/>
      <c r="Z192" s="758"/>
    </row>
    <row r="193" spans="3:26">
      <c r="C193" s="758"/>
      <c r="D193" s="758"/>
      <c r="E193" s="758"/>
      <c r="F193" s="758"/>
      <c r="G193" s="758"/>
      <c r="H193" s="758"/>
      <c r="I193" s="758"/>
      <c r="J193" s="758"/>
      <c r="K193" s="758"/>
      <c r="L193" s="758"/>
      <c r="M193" s="758"/>
      <c r="N193" s="758"/>
      <c r="O193" s="758"/>
      <c r="P193" s="758"/>
      <c r="Q193" s="758"/>
      <c r="R193" s="758"/>
      <c r="S193" s="758"/>
      <c r="T193" s="758"/>
      <c r="U193" s="758"/>
      <c r="V193" s="758"/>
      <c r="W193" s="758"/>
      <c r="X193" s="758"/>
      <c r="Y193" s="758"/>
      <c r="Z193" s="758"/>
    </row>
    <row r="194" spans="3:26">
      <c r="C194" s="758"/>
      <c r="D194" s="758"/>
      <c r="E194" s="758"/>
      <c r="F194" s="758"/>
      <c r="G194" s="758"/>
      <c r="H194" s="758"/>
      <c r="I194" s="758"/>
      <c r="J194" s="758"/>
      <c r="K194" s="758"/>
      <c r="L194" s="758"/>
      <c r="M194" s="758"/>
      <c r="N194" s="758"/>
      <c r="O194" s="758"/>
      <c r="P194" s="758"/>
      <c r="Q194" s="758"/>
      <c r="R194" s="758"/>
      <c r="S194" s="758"/>
      <c r="T194" s="758"/>
      <c r="U194" s="758"/>
      <c r="V194" s="758"/>
      <c r="W194" s="758"/>
      <c r="X194" s="758"/>
      <c r="Y194" s="758"/>
      <c r="Z194" s="758"/>
    </row>
    <row r="195" spans="3:26">
      <c r="C195" s="758"/>
      <c r="D195" s="758"/>
      <c r="E195" s="758"/>
      <c r="F195" s="758"/>
      <c r="G195" s="758"/>
      <c r="H195" s="758"/>
      <c r="I195" s="758"/>
      <c r="J195" s="758"/>
      <c r="K195" s="758"/>
      <c r="L195" s="758"/>
      <c r="M195" s="758"/>
      <c r="N195" s="758"/>
      <c r="O195" s="758"/>
      <c r="P195" s="758"/>
      <c r="Q195" s="758"/>
      <c r="R195" s="758"/>
      <c r="S195" s="758"/>
      <c r="T195" s="758"/>
      <c r="U195" s="758"/>
      <c r="V195" s="758"/>
      <c r="W195" s="758"/>
      <c r="X195" s="758"/>
      <c r="Y195" s="758"/>
      <c r="Z195" s="758"/>
    </row>
    <row r="196" spans="3:26">
      <c r="C196" s="758"/>
      <c r="D196" s="758"/>
      <c r="E196" s="758"/>
      <c r="F196" s="758"/>
      <c r="G196" s="758"/>
      <c r="H196" s="758"/>
      <c r="I196" s="758"/>
      <c r="J196" s="758"/>
      <c r="K196" s="758"/>
      <c r="L196" s="758"/>
      <c r="M196" s="758"/>
      <c r="N196" s="758"/>
      <c r="O196" s="758"/>
      <c r="P196" s="758"/>
      <c r="Q196" s="758"/>
      <c r="R196" s="758"/>
      <c r="S196" s="758"/>
      <c r="T196" s="758"/>
      <c r="U196" s="758"/>
      <c r="V196" s="758"/>
      <c r="W196" s="758"/>
      <c r="X196" s="758"/>
      <c r="Y196" s="758"/>
      <c r="Z196" s="758"/>
    </row>
    <row r="197" spans="3:26">
      <c r="C197" s="758"/>
      <c r="D197" s="758"/>
      <c r="E197" s="758"/>
      <c r="F197" s="758"/>
      <c r="G197" s="758"/>
      <c r="H197" s="758"/>
      <c r="I197" s="758"/>
      <c r="J197" s="758"/>
      <c r="K197" s="758"/>
      <c r="L197" s="758"/>
      <c r="M197" s="758"/>
      <c r="N197" s="758"/>
      <c r="O197" s="758"/>
      <c r="P197" s="758"/>
      <c r="Q197" s="758"/>
      <c r="R197" s="758"/>
      <c r="S197" s="758"/>
      <c r="T197" s="758"/>
      <c r="U197" s="758"/>
      <c r="V197" s="758"/>
      <c r="W197" s="758"/>
      <c r="X197" s="758"/>
      <c r="Y197" s="758"/>
      <c r="Z197" s="758"/>
    </row>
    <row r="198" spans="3:26">
      <c r="C198" s="758"/>
      <c r="D198" s="758"/>
      <c r="E198" s="758"/>
      <c r="F198" s="758"/>
      <c r="G198" s="758"/>
      <c r="H198" s="758"/>
      <c r="I198" s="758"/>
      <c r="J198" s="758"/>
      <c r="K198" s="758"/>
      <c r="L198" s="758"/>
      <c r="M198" s="758"/>
      <c r="N198" s="758"/>
      <c r="O198" s="758"/>
      <c r="P198" s="758"/>
      <c r="Q198" s="758"/>
      <c r="R198" s="758"/>
      <c r="S198" s="758"/>
      <c r="T198" s="758"/>
      <c r="U198" s="758"/>
      <c r="V198" s="758"/>
      <c r="W198" s="758"/>
      <c r="X198" s="758"/>
      <c r="Y198" s="758"/>
      <c r="Z198" s="758"/>
    </row>
    <row r="199" spans="3:26">
      <c r="C199" s="758"/>
      <c r="D199" s="758"/>
      <c r="E199" s="758"/>
      <c r="F199" s="758"/>
      <c r="G199" s="758"/>
      <c r="H199" s="758"/>
      <c r="I199" s="758"/>
      <c r="J199" s="758"/>
      <c r="K199" s="758"/>
      <c r="L199" s="758"/>
      <c r="M199" s="758"/>
      <c r="N199" s="758"/>
      <c r="O199" s="758"/>
      <c r="P199" s="758"/>
      <c r="Q199" s="758"/>
      <c r="R199" s="758"/>
      <c r="S199" s="758"/>
      <c r="T199" s="758"/>
      <c r="U199" s="758"/>
      <c r="V199" s="758"/>
      <c r="W199" s="758"/>
      <c r="X199" s="758"/>
      <c r="Y199" s="758"/>
      <c r="Z199" s="758"/>
    </row>
    <row r="200" spans="3:26">
      <c r="C200" s="758"/>
      <c r="D200" s="758"/>
      <c r="E200" s="758"/>
      <c r="F200" s="758"/>
      <c r="G200" s="758"/>
      <c r="H200" s="758"/>
      <c r="I200" s="758"/>
      <c r="J200" s="758"/>
      <c r="K200" s="758"/>
      <c r="L200" s="758"/>
      <c r="M200" s="758"/>
      <c r="N200" s="758"/>
      <c r="O200" s="758"/>
      <c r="P200" s="758"/>
      <c r="Q200" s="758"/>
      <c r="R200" s="758"/>
      <c r="S200" s="758"/>
      <c r="T200" s="758"/>
      <c r="U200" s="758"/>
      <c r="V200" s="758"/>
      <c r="W200" s="758"/>
      <c r="X200" s="758"/>
      <c r="Y200" s="758"/>
      <c r="Z200" s="758"/>
    </row>
    <row r="201" spans="3:26">
      <c r="C201" s="758"/>
      <c r="D201" s="758"/>
      <c r="E201" s="758"/>
      <c r="F201" s="758"/>
      <c r="G201" s="758"/>
      <c r="H201" s="758"/>
      <c r="I201" s="758"/>
      <c r="J201" s="758"/>
      <c r="K201" s="758"/>
      <c r="L201" s="758"/>
      <c r="M201" s="758"/>
      <c r="N201" s="758"/>
      <c r="O201" s="758"/>
      <c r="P201" s="758"/>
      <c r="Q201" s="758"/>
      <c r="R201" s="758"/>
      <c r="S201" s="758"/>
      <c r="T201" s="758"/>
      <c r="U201" s="758"/>
      <c r="V201" s="758"/>
      <c r="W201" s="758"/>
      <c r="X201" s="758"/>
      <c r="Y201" s="758"/>
      <c r="Z201" s="758"/>
    </row>
    <row r="202" spans="3:26">
      <c r="C202" s="758"/>
      <c r="D202" s="758"/>
      <c r="E202" s="758"/>
      <c r="F202" s="758"/>
      <c r="G202" s="758"/>
      <c r="H202" s="758"/>
      <c r="I202" s="758"/>
      <c r="J202" s="758"/>
      <c r="K202" s="758"/>
      <c r="L202" s="758"/>
      <c r="M202" s="758"/>
      <c r="N202" s="758"/>
      <c r="O202" s="758"/>
      <c r="P202" s="758"/>
      <c r="Q202" s="758"/>
      <c r="R202" s="758"/>
      <c r="S202" s="758"/>
      <c r="T202" s="758"/>
      <c r="U202" s="758"/>
      <c r="V202" s="758"/>
      <c r="W202" s="758"/>
      <c r="X202" s="758"/>
      <c r="Y202" s="758"/>
      <c r="Z202" s="758"/>
    </row>
    <row r="203" spans="3:26">
      <c r="C203" s="758"/>
      <c r="D203" s="758"/>
      <c r="E203" s="758"/>
      <c r="F203" s="758"/>
      <c r="G203" s="758"/>
      <c r="H203" s="758"/>
      <c r="I203" s="758"/>
      <c r="J203" s="758"/>
      <c r="K203" s="758"/>
      <c r="L203" s="758"/>
      <c r="M203" s="758"/>
      <c r="N203" s="758"/>
      <c r="O203" s="758"/>
      <c r="P203" s="758"/>
      <c r="Q203" s="758"/>
      <c r="R203" s="758"/>
      <c r="S203" s="758"/>
      <c r="T203" s="758"/>
      <c r="U203" s="758"/>
      <c r="V203" s="758"/>
      <c r="W203" s="758"/>
      <c r="X203" s="758"/>
      <c r="Y203" s="758"/>
      <c r="Z203" s="758"/>
    </row>
    <row r="204" spans="3:26">
      <c r="C204" s="758"/>
      <c r="D204" s="758"/>
      <c r="E204" s="758"/>
      <c r="F204" s="758"/>
      <c r="G204" s="758"/>
      <c r="H204" s="758"/>
      <c r="I204" s="758"/>
      <c r="J204" s="758"/>
      <c r="K204" s="758"/>
      <c r="L204" s="758"/>
      <c r="M204" s="758"/>
      <c r="N204" s="758"/>
      <c r="O204" s="758"/>
      <c r="P204" s="758"/>
      <c r="Q204" s="758"/>
      <c r="R204" s="758"/>
      <c r="S204" s="758"/>
      <c r="T204" s="758"/>
      <c r="U204" s="758"/>
      <c r="V204" s="758"/>
      <c r="W204" s="758"/>
      <c r="X204" s="758"/>
      <c r="Y204" s="758"/>
      <c r="Z204" s="758"/>
    </row>
    <row r="205" spans="3:26">
      <c r="C205" s="758"/>
      <c r="D205" s="758"/>
      <c r="E205" s="758"/>
      <c r="F205" s="758"/>
      <c r="G205" s="758"/>
      <c r="H205" s="758"/>
      <c r="I205" s="758"/>
      <c r="J205" s="758"/>
      <c r="K205" s="758"/>
      <c r="L205" s="758"/>
      <c r="M205" s="758"/>
      <c r="N205" s="758"/>
      <c r="O205" s="758"/>
      <c r="P205" s="758"/>
      <c r="Q205" s="758"/>
      <c r="R205" s="758"/>
      <c r="S205" s="758"/>
      <c r="T205" s="758"/>
      <c r="U205" s="758"/>
      <c r="V205" s="758"/>
      <c r="W205" s="758"/>
      <c r="X205" s="758"/>
      <c r="Y205" s="758"/>
      <c r="Z205" s="758"/>
    </row>
    <row r="206" spans="3:26">
      <c r="C206" s="758"/>
      <c r="D206" s="758"/>
      <c r="E206" s="758"/>
      <c r="F206" s="758"/>
      <c r="G206" s="758"/>
      <c r="H206" s="758"/>
      <c r="I206" s="758"/>
      <c r="J206" s="758"/>
      <c r="K206" s="758"/>
      <c r="L206" s="758"/>
      <c r="M206" s="758"/>
      <c r="N206" s="758"/>
      <c r="O206" s="758"/>
      <c r="P206" s="758"/>
      <c r="Q206" s="758"/>
      <c r="R206" s="758"/>
      <c r="S206" s="758"/>
      <c r="T206" s="758"/>
      <c r="U206" s="758"/>
      <c r="V206" s="758"/>
      <c r="W206" s="758"/>
      <c r="X206" s="758"/>
      <c r="Y206" s="758"/>
      <c r="Z206" s="758"/>
    </row>
    <row r="207" spans="3:26">
      <c r="C207" s="758"/>
      <c r="D207" s="758"/>
      <c r="E207" s="758"/>
      <c r="F207" s="758"/>
      <c r="G207" s="758"/>
      <c r="H207" s="758"/>
      <c r="I207" s="758"/>
      <c r="J207" s="758"/>
      <c r="K207" s="758"/>
      <c r="L207" s="758"/>
      <c r="M207" s="758"/>
      <c r="N207" s="758"/>
      <c r="O207" s="758"/>
      <c r="P207" s="758"/>
      <c r="Q207" s="758"/>
      <c r="R207" s="758"/>
      <c r="S207" s="758"/>
      <c r="T207" s="758"/>
      <c r="U207" s="758"/>
      <c r="V207" s="758"/>
      <c r="W207" s="758"/>
      <c r="X207" s="758"/>
      <c r="Y207" s="758"/>
      <c r="Z207" s="758"/>
    </row>
    <row r="208" spans="3:26">
      <c r="C208" s="758"/>
      <c r="D208" s="758"/>
      <c r="E208" s="758"/>
      <c r="F208" s="758"/>
      <c r="G208" s="758"/>
      <c r="H208" s="758"/>
      <c r="I208" s="758"/>
      <c r="J208" s="758"/>
      <c r="K208" s="758"/>
      <c r="L208" s="758"/>
      <c r="M208" s="758"/>
      <c r="N208" s="758"/>
      <c r="O208" s="758"/>
      <c r="P208" s="758"/>
      <c r="Q208" s="758"/>
      <c r="R208" s="758"/>
      <c r="S208" s="758"/>
      <c r="T208" s="758"/>
      <c r="U208" s="758"/>
      <c r="V208" s="758"/>
      <c r="W208" s="758"/>
      <c r="X208" s="758"/>
      <c r="Y208" s="758"/>
      <c r="Z208" s="758"/>
    </row>
    <row r="209" spans="3:26">
      <c r="C209" s="758"/>
      <c r="D209" s="758"/>
      <c r="E209" s="758"/>
      <c r="F209" s="758"/>
      <c r="G209" s="758"/>
      <c r="H209" s="758"/>
      <c r="I209" s="758"/>
      <c r="J209" s="758"/>
      <c r="K209" s="758"/>
      <c r="L209" s="758"/>
      <c r="M209" s="758"/>
      <c r="N209" s="758"/>
      <c r="O209" s="758"/>
      <c r="P209" s="758"/>
      <c r="Q209" s="758"/>
      <c r="R209" s="758"/>
      <c r="S209" s="758"/>
      <c r="T209" s="758"/>
      <c r="U209" s="758"/>
      <c r="V209" s="758"/>
      <c r="W209" s="758"/>
      <c r="X209" s="758"/>
      <c r="Y209" s="758"/>
      <c r="Z209" s="758"/>
    </row>
    <row r="210" spans="3:26">
      <c r="C210" s="758"/>
      <c r="D210" s="758"/>
      <c r="E210" s="758"/>
      <c r="F210" s="758"/>
      <c r="G210" s="758"/>
      <c r="H210" s="758"/>
      <c r="I210" s="758"/>
      <c r="J210" s="758"/>
      <c r="K210" s="758"/>
      <c r="L210" s="758"/>
      <c r="M210" s="758"/>
      <c r="N210" s="758"/>
      <c r="O210" s="758"/>
      <c r="P210" s="758"/>
      <c r="Q210" s="758"/>
      <c r="R210" s="758"/>
      <c r="S210" s="758"/>
      <c r="T210" s="758"/>
      <c r="U210" s="758"/>
      <c r="V210" s="758"/>
      <c r="W210" s="758"/>
      <c r="X210" s="758"/>
      <c r="Y210" s="758"/>
      <c r="Z210" s="758"/>
    </row>
    <row r="211" spans="3:26">
      <c r="C211" s="758"/>
      <c r="D211" s="758"/>
      <c r="E211" s="758"/>
      <c r="F211" s="758"/>
      <c r="G211" s="758"/>
      <c r="H211" s="758"/>
      <c r="I211" s="758"/>
      <c r="J211" s="758"/>
      <c r="K211" s="758"/>
      <c r="L211" s="758"/>
      <c r="M211" s="758"/>
      <c r="N211" s="758"/>
      <c r="O211" s="758"/>
      <c r="P211" s="758"/>
      <c r="Q211" s="758"/>
      <c r="R211" s="758"/>
      <c r="S211" s="758"/>
      <c r="T211" s="758"/>
      <c r="U211" s="758"/>
      <c r="V211" s="758"/>
      <c r="W211" s="758"/>
      <c r="X211" s="758"/>
      <c r="Y211" s="758"/>
      <c r="Z211" s="758"/>
    </row>
    <row r="212" spans="3:26">
      <c r="C212" s="758"/>
      <c r="D212" s="758"/>
      <c r="E212" s="758"/>
      <c r="F212" s="758"/>
      <c r="G212" s="758"/>
      <c r="H212" s="758"/>
      <c r="I212" s="758"/>
      <c r="J212" s="758"/>
      <c r="K212" s="758"/>
      <c r="L212" s="758"/>
      <c r="M212" s="758"/>
      <c r="N212" s="758"/>
      <c r="O212" s="758"/>
      <c r="P212" s="758"/>
      <c r="Q212" s="758"/>
      <c r="R212" s="758"/>
      <c r="S212" s="758"/>
      <c r="T212" s="758"/>
      <c r="U212" s="758"/>
      <c r="V212" s="758"/>
      <c r="W212" s="758"/>
      <c r="X212" s="758"/>
      <c r="Y212" s="758"/>
      <c r="Z212" s="758"/>
    </row>
    <row r="213" spans="3:26">
      <c r="C213" s="758"/>
      <c r="D213" s="758"/>
      <c r="E213" s="758"/>
      <c r="F213" s="758"/>
      <c r="G213" s="758"/>
      <c r="H213" s="758"/>
      <c r="I213" s="758"/>
      <c r="J213" s="758"/>
      <c r="K213" s="758"/>
      <c r="L213" s="758"/>
      <c r="M213" s="758"/>
      <c r="N213" s="758"/>
      <c r="O213" s="758"/>
      <c r="P213" s="758"/>
      <c r="Q213" s="758"/>
      <c r="R213" s="758"/>
      <c r="S213" s="758"/>
      <c r="T213" s="758"/>
      <c r="U213" s="758"/>
      <c r="V213" s="758"/>
      <c r="W213" s="758"/>
      <c r="X213" s="758"/>
      <c r="Y213" s="758"/>
      <c r="Z213" s="758"/>
    </row>
    <row r="214" spans="3:26">
      <c r="C214" s="758"/>
      <c r="D214" s="758"/>
      <c r="E214" s="758"/>
      <c r="F214" s="758"/>
      <c r="G214" s="758"/>
      <c r="H214" s="758"/>
      <c r="I214" s="758"/>
      <c r="J214" s="758"/>
      <c r="K214" s="758"/>
      <c r="L214" s="758"/>
      <c r="M214" s="758"/>
      <c r="N214" s="758"/>
      <c r="O214" s="758"/>
      <c r="P214" s="758"/>
      <c r="Q214" s="758"/>
      <c r="R214" s="758"/>
      <c r="S214" s="758"/>
      <c r="T214" s="758"/>
      <c r="U214" s="758"/>
      <c r="V214" s="758"/>
      <c r="W214" s="758"/>
      <c r="X214" s="758"/>
      <c r="Y214" s="758"/>
      <c r="Z214" s="758"/>
    </row>
    <row r="215" spans="3:26">
      <c r="C215" s="758"/>
      <c r="D215" s="758"/>
      <c r="E215" s="758"/>
      <c r="F215" s="758"/>
      <c r="G215" s="758"/>
      <c r="H215" s="758"/>
      <c r="I215" s="758"/>
      <c r="J215" s="758"/>
      <c r="K215" s="758"/>
      <c r="L215" s="758"/>
      <c r="M215" s="758"/>
      <c r="N215" s="758"/>
      <c r="O215" s="758"/>
      <c r="P215" s="758"/>
      <c r="Q215" s="758"/>
      <c r="R215" s="758"/>
      <c r="S215" s="758"/>
      <c r="T215" s="758"/>
      <c r="U215" s="758"/>
      <c r="V215" s="758"/>
      <c r="W215" s="758"/>
      <c r="X215" s="758"/>
      <c r="Y215" s="758"/>
      <c r="Z215" s="758"/>
    </row>
    <row r="216" spans="3:26">
      <c r="C216" s="758"/>
      <c r="D216" s="758"/>
      <c r="E216" s="758"/>
      <c r="F216" s="758"/>
      <c r="G216" s="758"/>
      <c r="H216" s="758"/>
      <c r="I216" s="758"/>
      <c r="J216" s="758"/>
      <c r="K216" s="758"/>
      <c r="L216" s="758"/>
      <c r="M216" s="758"/>
      <c r="N216" s="758"/>
      <c r="O216" s="758"/>
      <c r="P216" s="758"/>
      <c r="Q216" s="758"/>
      <c r="R216" s="758"/>
      <c r="S216" s="758"/>
      <c r="T216" s="758"/>
      <c r="U216" s="758"/>
      <c r="V216" s="758"/>
      <c r="W216" s="758"/>
      <c r="X216" s="758"/>
      <c r="Y216" s="758"/>
      <c r="Z216" s="758"/>
    </row>
    <row r="217" spans="3:26">
      <c r="C217" s="758"/>
      <c r="D217" s="758"/>
      <c r="E217" s="758"/>
      <c r="F217" s="758"/>
      <c r="G217" s="758"/>
      <c r="H217" s="758"/>
      <c r="I217" s="758"/>
      <c r="J217" s="758"/>
      <c r="K217" s="758"/>
      <c r="L217" s="758"/>
      <c r="M217" s="758"/>
      <c r="N217" s="758"/>
      <c r="O217" s="758"/>
      <c r="P217" s="758"/>
      <c r="Q217" s="758"/>
      <c r="R217" s="758"/>
      <c r="S217" s="758"/>
      <c r="T217" s="758"/>
      <c r="U217" s="758"/>
      <c r="V217" s="758"/>
      <c r="W217" s="758"/>
      <c r="X217" s="758"/>
      <c r="Y217" s="758"/>
      <c r="Z217" s="758"/>
    </row>
    <row r="218" spans="3:26">
      <c r="C218" s="758"/>
      <c r="D218" s="758"/>
      <c r="E218" s="758"/>
      <c r="F218" s="758"/>
      <c r="G218" s="758"/>
      <c r="H218" s="758"/>
      <c r="I218" s="758"/>
      <c r="J218" s="758"/>
      <c r="K218" s="758"/>
      <c r="L218" s="758"/>
      <c r="M218" s="758"/>
      <c r="N218" s="758"/>
      <c r="O218" s="758"/>
      <c r="P218" s="758"/>
      <c r="Q218" s="758"/>
      <c r="R218" s="758"/>
      <c r="S218" s="758"/>
      <c r="T218" s="758"/>
      <c r="U218" s="758"/>
      <c r="V218" s="758"/>
      <c r="W218" s="758"/>
      <c r="X218" s="758"/>
      <c r="Y218" s="758"/>
      <c r="Z218" s="758"/>
    </row>
    <row r="219" spans="3:26">
      <c r="C219" s="758"/>
      <c r="D219" s="758"/>
      <c r="E219" s="758"/>
      <c r="F219" s="758"/>
      <c r="G219" s="758"/>
      <c r="H219" s="758"/>
      <c r="I219" s="758"/>
      <c r="J219" s="758"/>
      <c r="K219" s="758"/>
      <c r="L219" s="758"/>
      <c r="M219" s="758"/>
      <c r="N219" s="758"/>
      <c r="O219" s="758"/>
      <c r="P219" s="758"/>
      <c r="Q219" s="758"/>
      <c r="R219" s="758"/>
      <c r="S219" s="758"/>
      <c r="T219" s="758"/>
      <c r="U219" s="758"/>
      <c r="V219" s="758"/>
      <c r="W219" s="758"/>
      <c r="X219" s="758"/>
      <c r="Y219" s="758"/>
      <c r="Z219" s="758"/>
    </row>
    <row r="220" spans="3:26">
      <c r="C220" s="758"/>
      <c r="D220" s="758"/>
      <c r="E220" s="758"/>
      <c r="F220" s="758"/>
      <c r="G220" s="758"/>
      <c r="H220" s="758"/>
      <c r="I220" s="758"/>
      <c r="J220" s="758"/>
      <c r="K220" s="758"/>
      <c r="L220" s="758"/>
      <c r="M220" s="758"/>
      <c r="N220" s="758"/>
      <c r="O220" s="758"/>
      <c r="P220" s="758"/>
      <c r="Q220" s="758"/>
      <c r="R220" s="758"/>
      <c r="S220" s="758"/>
      <c r="T220" s="758"/>
      <c r="U220" s="758"/>
      <c r="V220" s="758"/>
      <c r="W220" s="758"/>
      <c r="X220" s="758"/>
      <c r="Y220" s="758"/>
      <c r="Z220" s="758"/>
    </row>
    <row r="221" spans="3:26">
      <c r="C221" s="758"/>
      <c r="D221" s="758"/>
      <c r="E221" s="758"/>
      <c r="F221" s="758"/>
      <c r="G221" s="758"/>
      <c r="H221" s="758"/>
      <c r="I221" s="758"/>
      <c r="J221" s="758"/>
      <c r="K221" s="758"/>
      <c r="L221" s="758"/>
      <c r="M221" s="758"/>
      <c r="N221" s="758"/>
      <c r="O221" s="758"/>
      <c r="P221" s="758"/>
      <c r="Q221" s="758"/>
      <c r="R221" s="758"/>
      <c r="S221" s="758"/>
      <c r="T221" s="758"/>
      <c r="U221" s="758"/>
      <c r="V221" s="758"/>
      <c r="W221" s="758"/>
      <c r="X221" s="758"/>
      <c r="Y221" s="758"/>
      <c r="Z221" s="758"/>
    </row>
    <row r="222" spans="3:26">
      <c r="C222" s="758"/>
      <c r="D222" s="758"/>
      <c r="E222" s="758"/>
      <c r="F222" s="758"/>
      <c r="G222" s="758"/>
      <c r="H222" s="758"/>
      <c r="I222" s="758"/>
      <c r="J222" s="758"/>
      <c r="K222" s="758"/>
      <c r="L222" s="758"/>
      <c r="M222" s="758"/>
      <c r="N222" s="758"/>
      <c r="O222" s="758"/>
      <c r="P222" s="758"/>
      <c r="Q222" s="758"/>
      <c r="R222" s="758"/>
      <c r="S222" s="758"/>
      <c r="T222" s="758"/>
      <c r="U222" s="758"/>
      <c r="V222" s="758"/>
      <c r="W222" s="758"/>
      <c r="X222" s="758"/>
      <c r="Y222" s="758"/>
      <c r="Z222" s="758"/>
    </row>
    <row r="223" spans="3:26">
      <c r="C223" s="758"/>
      <c r="D223" s="758"/>
      <c r="E223" s="758"/>
      <c r="F223" s="758"/>
      <c r="G223" s="758"/>
      <c r="H223" s="758"/>
      <c r="I223" s="758"/>
      <c r="J223" s="758"/>
      <c r="K223" s="758"/>
      <c r="L223" s="758"/>
      <c r="M223" s="758"/>
      <c r="N223" s="758"/>
      <c r="O223" s="758"/>
      <c r="P223" s="758"/>
      <c r="Q223" s="758"/>
      <c r="R223" s="758"/>
      <c r="S223" s="758"/>
      <c r="T223" s="758"/>
      <c r="U223" s="758"/>
      <c r="V223" s="758"/>
      <c r="W223" s="758"/>
      <c r="X223" s="758"/>
      <c r="Y223" s="758"/>
      <c r="Z223" s="758"/>
    </row>
    <row r="224" spans="3:26">
      <c r="C224" s="758"/>
      <c r="D224" s="758"/>
      <c r="E224" s="758"/>
      <c r="F224" s="758"/>
      <c r="G224" s="758"/>
      <c r="H224" s="758"/>
      <c r="I224" s="758"/>
      <c r="J224" s="758"/>
      <c r="K224" s="758"/>
      <c r="L224" s="758"/>
      <c r="M224" s="758"/>
      <c r="N224" s="758"/>
      <c r="O224" s="758"/>
      <c r="P224" s="758"/>
      <c r="Q224" s="758"/>
      <c r="R224" s="758"/>
      <c r="S224" s="758"/>
      <c r="T224" s="758"/>
      <c r="U224" s="758"/>
      <c r="V224" s="758"/>
      <c r="W224" s="758"/>
      <c r="X224" s="758"/>
      <c r="Y224" s="758"/>
      <c r="Z224" s="758"/>
    </row>
    <row r="225" spans="3:26">
      <c r="C225" s="758"/>
      <c r="D225" s="758"/>
      <c r="E225" s="758"/>
      <c r="F225" s="758"/>
      <c r="G225" s="758"/>
      <c r="H225" s="758"/>
      <c r="I225" s="758"/>
      <c r="J225" s="758"/>
      <c r="K225" s="758"/>
      <c r="L225" s="758"/>
      <c r="M225" s="758"/>
      <c r="N225" s="758"/>
      <c r="O225" s="758"/>
      <c r="P225" s="758"/>
      <c r="Q225" s="758"/>
      <c r="R225" s="758"/>
      <c r="S225" s="758"/>
      <c r="T225" s="758"/>
      <c r="U225" s="758"/>
      <c r="V225" s="758"/>
      <c r="W225" s="758"/>
      <c r="X225" s="758"/>
      <c r="Y225" s="758"/>
      <c r="Z225" s="758"/>
    </row>
    <row r="226" spans="3:26">
      <c r="C226" s="758"/>
      <c r="D226" s="758"/>
      <c r="E226" s="758"/>
      <c r="F226" s="758"/>
      <c r="G226" s="758"/>
      <c r="H226" s="758"/>
      <c r="I226" s="758"/>
      <c r="J226" s="758"/>
      <c r="K226" s="758"/>
      <c r="L226" s="758"/>
      <c r="M226" s="758"/>
      <c r="N226" s="758"/>
      <c r="O226" s="758"/>
      <c r="P226" s="758"/>
      <c r="Q226" s="758"/>
      <c r="R226" s="758"/>
      <c r="S226" s="758"/>
      <c r="T226" s="758"/>
      <c r="U226" s="758"/>
      <c r="V226" s="758"/>
      <c r="W226" s="758"/>
      <c r="X226" s="758"/>
      <c r="Y226" s="758"/>
      <c r="Z226" s="758"/>
    </row>
    <row r="227" spans="3:26">
      <c r="C227" s="758"/>
      <c r="D227" s="758"/>
      <c r="E227" s="758"/>
      <c r="F227" s="758"/>
      <c r="G227" s="758"/>
      <c r="H227" s="758"/>
      <c r="I227" s="758"/>
      <c r="J227" s="758"/>
      <c r="K227" s="758"/>
      <c r="L227" s="758"/>
      <c r="M227" s="758"/>
      <c r="N227" s="758"/>
      <c r="O227" s="758"/>
      <c r="P227" s="758"/>
      <c r="Q227" s="758"/>
      <c r="R227" s="758"/>
      <c r="S227" s="758"/>
      <c r="T227" s="758"/>
      <c r="U227" s="758"/>
      <c r="V227" s="758"/>
      <c r="W227" s="758"/>
      <c r="X227" s="758"/>
      <c r="Y227" s="758"/>
      <c r="Z227" s="758"/>
    </row>
    <row r="228" spans="3:26">
      <c r="C228" s="758"/>
      <c r="D228" s="758"/>
      <c r="E228" s="758"/>
      <c r="F228" s="758"/>
      <c r="G228" s="758"/>
      <c r="H228" s="758"/>
      <c r="I228" s="758"/>
      <c r="J228" s="758"/>
      <c r="K228" s="758"/>
      <c r="L228" s="758"/>
      <c r="M228" s="758"/>
      <c r="N228" s="758"/>
      <c r="O228" s="758"/>
      <c r="P228" s="758"/>
      <c r="Q228" s="758"/>
      <c r="R228" s="758"/>
      <c r="S228" s="758"/>
      <c r="T228" s="758"/>
      <c r="U228" s="758"/>
      <c r="V228" s="758"/>
      <c r="W228" s="758"/>
      <c r="X228" s="758"/>
      <c r="Y228" s="758"/>
      <c r="Z228" s="758"/>
    </row>
    <row r="229" spans="3:26">
      <c r="C229" s="758"/>
      <c r="D229" s="758"/>
      <c r="E229" s="758"/>
      <c r="F229" s="758"/>
      <c r="G229" s="758"/>
      <c r="H229" s="758"/>
      <c r="I229" s="758"/>
      <c r="J229" s="758"/>
      <c r="K229" s="758"/>
      <c r="L229" s="758"/>
      <c r="M229" s="758"/>
      <c r="N229" s="758"/>
      <c r="O229" s="758"/>
      <c r="P229" s="758"/>
      <c r="Q229" s="758"/>
      <c r="R229" s="758"/>
      <c r="S229" s="758"/>
      <c r="T229" s="758"/>
      <c r="U229" s="758"/>
      <c r="V229" s="758"/>
      <c r="W229" s="758"/>
      <c r="X229" s="758"/>
      <c r="Y229" s="758"/>
      <c r="Z229" s="758"/>
    </row>
    <row r="230" spans="3:26">
      <c r="C230" s="758"/>
      <c r="D230" s="758"/>
      <c r="E230" s="758"/>
      <c r="F230" s="758"/>
      <c r="G230" s="758"/>
      <c r="H230" s="758"/>
      <c r="I230" s="758"/>
      <c r="J230" s="758"/>
      <c r="K230" s="758"/>
      <c r="L230" s="758"/>
      <c r="M230" s="758"/>
      <c r="N230" s="758"/>
      <c r="O230" s="758"/>
      <c r="P230" s="758"/>
      <c r="Q230" s="758"/>
      <c r="R230" s="758"/>
      <c r="S230" s="758"/>
      <c r="T230" s="758"/>
      <c r="U230" s="758"/>
      <c r="V230" s="758"/>
      <c r="W230" s="758"/>
      <c r="X230" s="758"/>
      <c r="Y230" s="758"/>
      <c r="Z230" s="758"/>
    </row>
    <row r="231" spans="3:26">
      <c r="C231" s="758"/>
      <c r="D231" s="758"/>
      <c r="E231" s="758"/>
      <c r="F231" s="758"/>
      <c r="G231" s="758"/>
      <c r="H231" s="758"/>
      <c r="I231" s="758"/>
      <c r="J231" s="758"/>
      <c r="K231" s="758"/>
      <c r="L231" s="758"/>
      <c r="M231" s="758"/>
      <c r="N231" s="758"/>
      <c r="O231" s="758"/>
      <c r="P231" s="758"/>
      <c r="Q231" s="758"/>
      <c r="R231" s="758"/>
      <c r="S231" s="758"/>
      <c r="T231" s="758"/>
      <c r="U231" s="758"/>
      <c r="V231" s="758"/>
      <c r="W231" s="758"/>
      <c r="X231" s="758"/>
      <c r="Y231" s="758"/>
      <c r="Z231" s="758"/>
    </row>
    <row r="232" spans="3:26">
      <c r="C232" s="758"/>
      <c r="D232" s="758"/>
      <c r="E232" s="758"/>
      <c r="F232" s="758"/>
      <c r="G232" s="758"/>
      <c r="H232" s="758"/>
      <c r="I232" s="758"/>
      <c r="J232" s="758"/>
      <c r="K232" s="758"/>
      <c r="L232" s="758"/>
      <c r="M232" s="758"/>
      <c r="N232" s="758"/>
      <c r="O232" s="758"/>
      <c r="P232" s="758"/>
      <c r="Q232" s="758"/>
      <c r="R232" s="758"/>
      <c r="S232" s="758"/>
      <c r="T232" s="758"/>
      <c r="U232" s="758"/>
      <c r="V232" s="758"/>
      <c r="W232" s="758"/>
      <c r="X232" s="758"/>
      <c r="Y232" s="758"/>
      <c r="Z232" s="758"/>
    </row>
    <row r="233" spans="3:26">
      <c r="C233" s="758"/>
      <c r="D233" s="758"/>
      <c r="E233" s="758"/>
      <c r="F233" s="758"/>
      <c r="G233" s="758"/>
      <c r="H233" s="758"/>
      <c r="I233" s="758"/>
      <c r="J233" s="758"/>
      <c r="K233" s="758"/>
      <c r="L233" s="758"/>
      <c r="M233" s="758"/>
      <c r="N233" s="758"/>
      <c r="O233" s="758"/>
      <c r="P233" s="758"/>
      <c r="Q233" s="758"/>
      <c r="R233" s="758"/>
      <c r="S233" s="758"/>
      <c r="T233" s="758"/>
      <c r="U233" s="758"/>
      <c r="V233" s="758"/>
      <c r="W233" s="758"/>
      <c r="X233" s="758"/>
      <c r="Y233" s="758"/>
      <c r="Z233" s="758"/>
    </row>
    <row r="234" spans="3:26">
      <c r="C234" s="758"/>
      <c r="D234" s="758"/>
      <c r="E234" s="758"/>
      <c r="F234" s="758"/>
      <c r="G234" s="758"/>
      <c r="H234" s="758"/>
      <c r="I234" s="758"/>
      <c r="J234" s="758"/>
      <c r="K234" s="758"/>
      <c r="L234" s="758"/>
      <c r="M234" s="758"/>
      <c r="N234" s="758"/>
      <c r="O234" s="758"/>
      <c r="P234" s="758"/>
      <c r="Q234" s="758"/>
      <c r="R234" s="758"/>
      <c r="S234" s="758"/>
      <c r="T234" s="758"/>
      <c r="U234" s="758"/>
      <c r="V234" s="758"/>
      <c r="W234" s="758"/>
      <c r="X234" s="758"/>
      <c r="Y234" s="758"/>
      <c r="Z234" s="758"/>
    </row>
    <row r="235" spans="3:26">
      <c r="C235" s="758"/>
      <c r="D235" s="758"/>
      <c r="E235" s="758"/>
      <c r="F235" s="758"/>
      <c r="G235" s="758"/>
      <c r="H235" s="758"/>
      <c r="I235" s="758"/>
      <c r="J235" s="758"/>
      <c r="K235" s="758"/>
      <c r="L235" s="758"/>
      <c r="M235" s="758"/>
      <c r="N235" s="758"/>
      <c r="O235" s="758"/>
      <c r="P235" s="758"/>
      <c r="Q235" s="758"/>
      <c r="R235" s="758"/>
      <c r="S235" s="758"/>
      <c r="T235" s="758"/>
      <c r="U235" s="758"/>
      <c r="V235" s="758"/>
      <c r="W235" s="758"/>
      <c r="X235" s="758"/>
      <c r="Y235" s="758"/>
      <c r="Z235" s="758"/>
    </row>
    <row r="236" spans="3:26">
      <c r="C236" s="758"/>
      <c r="D236" s="758"/>
      <c r="E236" s="758"/>
      <c r="F236" s="758"/>
      <c r="G236" s="758"/>
      <c r="H236" s="758"/>
      <c r="I236" s="758"/>
      <c r="J236" s="758"/>
      <c r="K236" s="758"/>
      <c r="L236" s="758"/>
      <c r="M236" s="758"/>
      <c r="N236" s="758"/>
      <c r="O236" s="758"/>
      <c r="P236" s="758"/>
      <c r="Q236" s="758"/>
      <c r="R236" s="758"/>
      <c r="S236" s="758"/>
      <c r="T236" s="758"/>
      <c r="U236" s="758"/>
      <c r="V236" s="758"/>
      <c r="W236" s="758"/>
      <c r="X236" s="758"/>
      <c r="Y236" s="758"/>
      <c r="Z236" s="758"/>
    </row>
    <row r="237" spans="3:26">
      <c r="C237" s="758"/>
      <c r="D237" s="758"/>
      <c r="E237" s="758"/>
      <c r="F237" s="758"/>
      <c r="G237" s="758"/>
      <c r="H237" s="758"/>
      <c r="I237" s="758"/>
      <c r="J237" s="758"/>
      <c r="K237" s="758"/>
      <c r="L237" s="758"/>
      <c r="M237" s="758"/>
      <c r="N237" s="758"/>
      <c r="O237" s="758"/>
      <c r="P237" s="758"/>
      <c r="Q237" s="758"/>
      <c r="R237" s="758"/>
      <c r="S237" s="758"/>
      <c r="T237" s="758"/>
      <c r="U237" s="758"/>
      <c r="V237" s="758"/>
      <c r="W237" s="758"/>
      <c r="X237" s="758"/>
      <c r="Y237" s="758"/>
      <c r="Z237" s="758"/>
    </row>
    <row r="238" spans="3:26">
      <c r="C238" s="758"/>
      <c r="D238" s="758"/>
      <c r="E238" s="758"/>
      <c r="F238" s="758"/>
      <c r="G238" s="758"/>
      <c r="H238" s="758"/>
      <c r="I238" s="758"/>
      <c r="J238" s="758"/>
      <c r="K238" s="758"/>
      <c r="L238" s="758"/>
      <c r="M238" s="758"/>
      <c r="N238" s="758"/>
      <c r="O238" s="758"/>
      <c r="P238" s="758"/>
      <c r="Q238" s="758"/>
      <c r="R238" s="758"/>
      <c r="S238" s="758"/>
      <c r="T238" s="758"/>
      <c r="U238" s="758"/>
      <c r="V238" s="758"/>
      <c r="W238" s="758"/>
      <c r="X238" s="758"/>
      <c r="Y238" s="758"/>
      <c r="Z238" s="758"/>
    </row>
    <row r="239" spans="3:26">
      <c r="C239" s="758"/>
      <c r="D239" s="758"/>
      <c r="E239" s="758"/>
      <c r="F239" s="758"/>
      <c r="G239" s="758"/>
      <c r="H239" s="758"/>
      <c r="I239" s="758"/>
      <c r="J239" s="758"/>
      <c r="K239" s="758"/>
      <c r="L239" s="758"/>
      <c r="M239" s="758"/>
      <c r="N239" s="758"/>
      <c r="O239" s="758"/>
      <c r="P239" s="758"/>
      <c r="Q239" s="758"/>
      <c r="R239" s="758"/>
      <c r="S239" s="758"/>
      <c r="T239" s="758"/>
      <c r="U239" s="758"/>
      <c r="V239" s="758"/>
      <c r="W239" s="758"/>
      <c r="X239" s="758"/>
      <c r="Y239" s="758"/>
      <c r="Z239" s="758"/>
    </row>
    <row r="240" spans="3:26">
      <c r="C240" s="758"/>
      <c r="D240" s="758"/>
      <c r="E240" s="758"/>
      <c r="F240" s="758"/>
      <c r="G240" s="758"/>
      <c r="H240" s="758"/>
      <c r="I240" s="758"/>
      <c r="J240" s="758"/>
      <c r="K240" s="758"/>
      <c r="L240" s="758"/>
      <c r="M240" s="758"/>
      <c r="N240" s="758"/>
      <c r="O240" s="758"/>
      <c r="P240" s="758"/>
      <c r="Q240" s="758"/>
      <c r="R240" s="758"/>
      <c r="S240" s="758"/>
      <c r="T240" s="758"/>
      <c r="U240" s="758"/>
      <c r="V240" s="758"/>
      <c r="W240" s="758"/>
      <c r="X240" s="758"/>
      <c r="Y240" s="758"/>
      <c r="Z240" s="758"/>
    </row>
    <row r="241" spans="3:26">
      <c r="C241" s="758"/>
      <c r="D241" s="758"/>
      <c r="E241" s="758"/>
      <c r="F241" s="758"/>
      <c r="G241" s="758"/>
      <c r="H241" s="758"/>
      <c r="I241" s="758"/>
      <c r="J241" s="758"/>
      <c r="K241" s="758"/>
      <c r="L241" s="758"/>
      <c r="M241" s="758"/>
      <c r="N241" s="758"/>
      <c r="O241" s="758"/>
      <c r="P241" s="758"/>
      <c r="Q241" s="758"/>
      <c r="R241" s="758"/>
      <c r="S241" s="758"/>
      <c r="T241" s="758"/>
      <c r="U241" s="758"/>
      <c r="V241" s="758"/>
      <c r="W241" s="758"/>
      <c r="X241" s="758"/>
      <c r="Y241" s="758"/>
      <c r="Z241" s="758"/>
    </row>
    <row r="242" spans="3:26">
      <c r="C242" s="758"/>
      <c r="D242" s="758"/>
      <c r="E242" s="758"/>
      <c r="F242" s="758"/>
      <c r="G242" s="758"/>
      <c r="H242" s="758"/>
      <c r="I242" s="758"/>
      <c r="J242" s="758"/>
      <c r="K242" s="758"/>
      <c r="L242" s="758"/>
      <c r="M242" s="758"/>
      <c r="N242" s="758"/>
      <c r="O242" s="758"/>
      <c r="P242" s="758"/>
      <c r="Q242" s="758"/>
      <c r="R242" s="758"/>
      <c r="S242" s="758"/>
      <c r="T242" s="758"/>
      <c r="U242" s="758"/>
      <c r="V242" s="758"/>
      <c r="W242" s="758"/>
      <c r="X242" s="758"/>
      <c r="Y242" s="758"/>
      <c r="Z242" s="758"/>
    </row>
    <row r="243" spans="3:26">
      <c r="C243" s="758"/>
      <c r="D243" s="758"/>
      <c r="E243" s="758"/>
      <c r="F243" s="758"/>
      <c r="G243" s="758"/>
      <c r="H243" s="758"/>
      <c r="I243" s="758"/>
      <c r="J243" s="758"/>
      <c r="K243" s="758"/>
      <c r="L243" s="758"/>
      <c r="M243" s="758"/>
      <c r="N243" s="758"/>
      <c r="O243" s="758"/>
      <c r="P243" s="758"/>
      <c r="Q243" s="758"/>
      <c r="R243" s="758"/>
      <c r="S243" s="758"/>
      <c r="T243" s="758"/>
      <c r="U243" s="758"/>
      <c r="V243" s="758"/>
      <c r="W243" s="758"/>
      <c r="X243" s="758"/>
      <c r="Y243" s="758"/>
      <c r="Z243" s="758"/>
    </row>
    <row r="244" spans="3:26">
      <c r="C244" s="758"/>
      <c r="D244" s="758"/>
      <c r="E244" s="758"/>
      <c r="F244" s="758"/>
      <c r="G244" s="758"/>
      <c r="H244" s="758"/>
      <c r="I244" s="758"/>
      <c r="J244" s="758"/>
      <c r="K244" s="758"/>
      <c r="L244" s="758"/>
      <c r="M244" s="758"/>
      <c r="N244" s="758"/>
      <c r="O244" s="758"/>
      <c r="P244" s="758"/>
      <c r="Q244" s="758"/>
      <c r="R244" s="758"/>
      <c r="S244" s="758"/>
      <c r="T244" s="758"/>
      <c r="U244" s="758"/>
      <c r="V244" s="758"/>
      <c r="W244" s="758"/>
      <c r="X244" s="758"/>
      <c r="Y244" s="758"/>
      <c r="Z244" s="758"/>
    </row>
    <row r="245" spans="3:26">
      <c r="C245" s="758"/>
      <c r="D245" s="758"/>
      <c r="E245" s="758"/>
      <c r="F245" s="758"/>
      <c r="G245" s="758"/>
      <c r="H245" s="758"/>
      <c r="I245" s="758"/>
      <c r="J245" s="758"/>
      <c r="K245" s="758"/>
      <c r="L245" s="758"/>
      <c r="M245" s="758"/>
      <c r="N245" s="758"/>
      <c r="O245" s="758"/>
      <c r="P245" s="758"/>
      <c r="Q245" s="758"/>
      <c r="R245" s="758"/>
      <c r="S245" s="758"/>
      <c r="T245" s="758"/>
      <c r="U245" s="758"/>
      <c r="V245" s="758"/>
      <c r="W245" s="758"/>
      <c r="X245" s="758"/>
      <c r="Y245" s="758"/>
      <c r="Z245" s="758"/>
    </row>
    <row r="246" spans="3:26">
      <c r="C246" s="758"/>
      <c r="D246" s="758"/>
      <c r="E246" s="758"/>
      <c r="F246" s="758"/>
      <c r="G246" s="758"/>
      <c r="H246" s="758"/>
      <c r="I246" s="758"/>
      <c r="J246" s="758"/>
      <c r="K246" s="758"/>
      <c r="L246" s="758"/>
      <c r="M246" s="758"/>
      <c r="N246" s="758"/>
      <c r="O246" s="758"/>
      <c r="P246" s="758"/>
      <c r="Q246" s="758"/>
      <c r="R246" s="758"/>
      <c r="S246" s="758"/>
      <c r="T246" s="758"/>
      <c r="U246" s="758"/>
      <c r="V246" s="758"/>
      <c r="W246" s="758"/>
      <c r="X246" s="758"/>
      <c r="Y246" s="758"/>
      <c r="Z246" s="758"/>
    </row>
    <row r="247" spans="3:26">
      <c r="C247" s="758"/>
      <c r="D247" s="758"/>
      <c r="E247" s="758"/>
      <c r="F247" s="758"/>
      <c r="G247" s="758"/>
      <c r="H247" s="758"/>
      <c r="I247" s="758"/>
      <c r="J247" s="758"/>
      <c r="K247" s="758"/>
      <c r="L247" s="758"/>
      <c r="M247" s="758"/>
      <c r="N247" s="758"/>
      <c r="O247" s="758"/>
      <c r="P247" s="758"/>
      <c r="Q247" s="758"/>
      <c r="R247" s="758"/>
      <c r="S247" s="758"/>
      <c r="T247" s="758"/>
      <c r="U247" s="758"/>
      <c r="V247" s="758"/>
      <c r="W247" s="758"/>
      <c r="X247" s="758"/>
      <c r="Y247" s="758"/>
      <c r="Z247" s="758"/>
    </row>
    <row r="248" spans="3:26">
      <c r="C248" s="758"/>
      <c r="D248" s="758"/>
      <c r="E248" s="758"/>
      <c r="F248" s="758"/>
      <c r="G248" s="758"/>
      <c r="H248" s="758"/>
      <c r="I248" s="758"/>
      <c r="J248" s="758"/>
      <c r="K248" s="758"/>
      <c r="L248" s="758"/>
      <c r="M248" s="758"/>
      <c r="N248" s="758"/>
      <c r="O248" s="758"/>
      <c r="P248" s="758"/>
      <c r="Q248" s="758"/>
      <c r="R248" s="758"/>
      <c r="S248" s="758"/>
      <c r="T248" s="758"/>
      <c r="U248" s="758"/>
      <c r="V248" s="758"/>
      <c r="W248" s="758"/>
      <c r="X248" s="758"/>
      <c r="Y248" s="758"/>
      <c r="Z248" s="758"/>
    </row>
    <row r="249" spans="3:26">
      <c r="C249" s="758"/>
      <c r="D249" s="758"/>
      <c r="E249" s="758"/>
      <c r="F249" s="758"/>
      <c r="G249" s="758"/>
      <c r="H249" s="758"/>
      <c r="I249" s="758"/>
      <c r="J249" s="758"/>
      <c r="K249" s="758"/>
      <c r="L249" s="758"/>
      <c r="M249" s="758"/>
      <c r="N249" s="758"/>
      <c r="O249" s="758"/>
      <c r="P249" s="758"/>
      <c r="Q249" s="758"/>
      <c r="R249" s="758"/>
      <c r="S249" s="758"/>
      <c r="T249" s="758"/>
      <c r="U249" s="758"/>
      <c r="V249" s="758"/>
      <c r="W249" s="758"/>
      <c r="X249" s="758"/>
      <c r="Y249" s="758"/>
      <c r="Z249" s="758"/>
    </row>
    <row r="250" spans="3:26">
      <c r="C250" s="758"/>
      <c r="D250" s="758"/>
      <c r="E250" s="758"/>
      <c r="F250" s="758"/>
      <c r="G250" s="758"/>
      <c r="H250" s="758"/>
      <c r="I250" s="758"/>
      <c r="J250" s="758"/>
      <c r="K250" s="758"/>
      <c r="L250" s="758"/>
      <c r="M250" s="758"/>
      <c r="N250" s="758"/>
      <c r="O250" s="758"/>
      <c r="P250" s="758"/>
      <c r="Q250" s="758"/>
      <c r="R250" s="758"/>
      <c r="S250" s="758"/>
      <c r="T250" s="758"/>
      <c r="U250" s="758"/>
      <c r="V250" s="758"/>
      <c r="W250" s="758"/>
      <c r="X250" s="758"/>
      <c r="Y250" s="758"/>
      <c r="Z250" s="758"/>
    </row>
    <row r="251" spans="3:26">
      <c r="C251" s="758"/>
      <c r="D251" s="758"/>
      <c r="E251" s="758"/>
      <c r="F251" s="758"/>
      <c r="G251" s="758"/>
      <c r="H251" s="758"/>
      <c r="I251" s="758"/>
      <c r="J251" s="758"/>
      <c r="K251" s="758"/>
      <c r="L251" s="758"/>
      <c r="M251" s="758"/>
      <c r="N251" s="758"/>
      <c r="O251" s="758"/>
      <c r="P251" s="758"/>
      <c r="Q251" s="758"/>
      <c r="R251" s="758"/>
      <c r="S251" s="758"/>
      <c r="T251" s="758"/>
      <c r="U251" s="758"/>
      <c r="V251" s="758"/>
      <c r="W251" s="758"/>
      <c r="X251" s="758"/>
      <c r="Y251" s="758"/>
      <c r="Z251" s="758"/>
    </row>
    <row r="252" spans="3:26">
      <c r="C252" s="758"/>
      <c r="D252" s="758"/>
      <c r="E252" s="758"/>
      <c r="F252" s="758"/>
      <c r="G252" s="758"/>
      <c r="H252" s="758"/>
      <c r="I252" s="758"/>
      <c r="J252" s="758"/>
      <c r="K252" s="758"/>
      <c r="L252" s="758"/>
      <c r="M252" s="758"/>
      <c r="N252" s="758"/>
      <c r="O252" s="758"/>
      <c r="P252" s="758"/>
      <c r="Q252" s="758"/>
      <c r="R252" s="758"/>
      <c r="S252" s="758"/>
      <c r="T252" s="758"/>
      <c r="U252" s="758"/>
      <c r="V252" s="758"/>
      <c r="W252" s="758"/>
      <c r="X252" s="758"/>
      <c r="Y252" s="758"/>
      <c r="Z252" s="758"/>
    </row>
    <row r="253" spans="3:26">
      <c r="C253" s="758"/>
      <c r="D253" s="758"/>
      <c r="E253" s="758"/>
      <c r="F253" s="758"/>
      <c r="G253" s="758"/>
      <c r="H253" s="758"/>
      <c r="I253" s="758"/>
      <c r="J253" s="758"/>
      <c r="K253" s="758"/>
      <c r="L253" s="758"/>
      <c r="M253" s="758"/>
      <c r="N253" s="758"/>
      <c r="O253" s="758"/>
      <c r="P253" s="758"/>
      <c r="Q253" s="758"/>
      <c r="R253" s="758"/>
      <c r="S253" s="758"/>
      <c r="T253" s="758"/>
      <c r="U253" s="758"/>
      <c r="V253" s="758"/>
      <c r="W253" s="758"/>
      <c r="X253" s="758"/>
      <c r="Y253" s="758"/>
      <c r="Z253" s="758"/>
    </row>
    <row r="254" spans="3:26">
      <c r="C254" s="758"/>
      <c r="D254" s="758"/>
      <c r="E254" s="758"/>
      <c r="F254" s="758"/>
      <c r="G254" s="758"/>
      <c r="H254" s="758"/>
      <c r="I254" s="758"/>
      <c r="J254" s="758"/>
      <c r="K254" s="758"/>
      <c r="L254" s="758"/>
      <c r="M254" s="758"/>
      <c r="N254" s="758"/>
      <c r="O254" s="758"/>
      <c r="P254" s="758"/>
      <c r="Q254" s="758"/>
      <c r="R254" s="758"/>
      <c r="S254" s="758"/>
      <c r="T254" s="758"/>
      <c r="U254" s="758"/>
      <c r="V254" s="758"/>
      <c r="W254" s="758"/>
      <c r="X254" s="758"/>
      <c r="Y254" s="758"/>
      <c r="Z254" s="758"/>
    </row>
    <row r="255" spans="3:26">
      <c r="C255" s="758"/>
      <c r="D255" s="758"/>
      <c r="E255" s="758"/>
      <c r="F255" s="758"/>
      <c r="G255" s="758"/>
      <c r="H255" s="758"/>
      <c r="I255" s="758"/>
      <c r="J255" s="758"/>
      <c r="K255" s="758"/>
      <c r="L255" s="758"/>
      <c r="M255" s="758"/>
      <c r="N255" s="758"/>
      <c r="O255" s="758"/>
      <c r="P255" s="758"/>
      <c r="Q255" s="758"/>
      <c r="R255" s="758"/>
      <c r="S255" s="758"/>
      <c r="T255" s="758"/>
      <c r="U255" s="758"/>
      <c r="V255" s="758"/>
      <c r="W255" s="758"/>
      <c r="X255" s="758"/>
      <c r="Y255" s="758"/>
      <c r="Z255" s="758"/>
    </row>
    <row r="256" spans="3:26">
      <c r="C256" s="758"/>
      <c r="D256" s="758"/>
      <c r="E256" s="758"/>
      <c r="F256" s="758"/>
      <c r="G256" s="758"/>
      <c r="H256" s="758"/>
      <c r="I256" s="758"/>
      <c r="J256" s="758"/>
      <c r="K256" s="758"/>
      <c r="L256" s="758"/>
      <c r="M256" s="758"/>
      <c r="N256" s="758"/>
      <c r="O256" s="758"/>
      <c r="P256" s="758"/>
      <c r="Q256" s="758"/>
      <c r="R256" s="758"/>
      <c r="S256" s="758"/>
      <c r="T256" s="758"/>
      <c r="U256" s="758"/>
      <c r="V256" s="758"/>
      <c r="W256" s="758"/>
      <c r="X256" s="758"/>
      <c r="Y256" s="758"/>
      <c r="Z256" s="758"/>
    </row>
    <row r="257" spans="3:26">
      <c r="C257" s="758"/>
      <c r="D257" s="758"/>
      <c r="E257" s="758"/>
      <c r="F257" s="758"/>
      <c r="G257" s="758"/>
      <c r="H257" s="758"/>
      <c r="I257" s="758"/>
      <c r="J257" s="758"/>
      <c r="K257" s="758"/>
      <c r="L257" s="758"/>
      <c r="M257" s="758"/>
      <c r="N257" s="758"/>
      <c r="O257" s="758"/>
      <c r="P257" s="758"/>
      <c r="Q257" s="758"/>
      <c r="R257" s="758"/>
      <c r="S257" s="758"/>
      <c r="T257" s="758"/>
      <c r="U257" s="758"/>
      <c r="V257" s="758"/>
      <c r="W257" s="758"/>
      <c r="X257" s="758"/>
      <c r="Y257" s="758"/>
      <c r="Z257" s="758"/>
    </row>
    <row r="258" spans="3:26">
      <c r="C258" s="758"/>
      <c r="D258" s="758"/>
      <c r="E258" s="758"/>
      <c r="F258" s="758"/>
      <c r="G258" s="758"/>
      <c r="H258" s="758"/>
      <c r="I258" s="758"/>
      <c r="J258" s="758"/>
      <c r="K258" s="758"/>
      <c r="L258" s="758"/>
      <c r="M258" s="758"/>
      <c r="N258" s="758"/>
      <c r="O258" s="758"/>
      <c r="P258" s="758"/>
      <c r="Q258" s="758"/>
      <c r="R258" s="758"/>
      <c r="S258" s="758"/>
      <c r="T258" s="758"/>
      <c r="U258" s="758"/>
      <c r="V258" s="758"/>
      <c r="W258" s="758"/>
      <c r="X258" s="758"/>
      <c r="Y258" s="758"/>
      <c r="Z258" s="758"/>
    </row>
    <row r="259" spans="3:26">
      <c r="C259" s="758"/>
      <c r="D259" s="758"/>
      <c r="E259" s="758"/>
      <c r="F259" s="758"/>
      <c r="G259" s="758"/>
      <c r="H259" s="758"/>
      <c r="I259" s="758"/>
      <c r="J259" s="758"/>
      <c r="K259" s="758"/>
      <c r="L259" s="758"/>
      <c r="M259" s="758"/>
      <c r="N259" s="758"/>
      <c r="O259" s="758"/>
      <c r="P259" s="758"/>
      <c r="Q259" s="758"/>
      <c r="R259" s="758"/>
      <c r="S259" s="758"/>
      <c r="T259" s="758"/>
      <c r="U259" s="758"/>
      <c r="V259" s="758"/>
      <c r="W259" s="758"/>
      <c r="X259" s="758"/>
      <c r="Y259" s="758"/>
      <c r="Z259" s="758"/>
    </row>
    <row r="260" spans="3:26">
      <c r="C260" s="758"/>
      <c r="D260" s="758"/>
      <c r="E260" s="758"/>
      <c r="F260" s="758"/>
      <c r="G260" s="758"/>
      <c r="H260" s="758"/>
      <c r="I260" s="758"/>
      <c r="J260" s="758"/>
      <c r="K260" s="758"/>
      <c r="L260" s="758"/>
      <c r="M260" s="758"/>
      <c r="N260" s="758"/>
      <c r="O260" s="758"/>
      <c r="P260" s="758"/>
      <c r="Q260" s="758"/>
      <c r="R260" s="758"/>
      <c r="S260" s="758"/>
      <c r="T260" s="758"/>
      <c r="U260" s="758"/>
      <c r="V260" s="758"/>
      <c r="W260" s="758"/>
      <c r="X260" s="758"/>
      <c r="Y260" s="758"/>
      <c r="Z260" s="758"/>
    </row>
    <row r="261" spans="3:26">
      <c r="C261" s="758"/>
      <c r="D261" s="758"/>
      <c r="E261" s="758"/>
      <c r="F261" s="758"/>
      <c r="G261" s="758"/>
      <c r="H261" s="758"/>
      <c r="I261" s="758"/>
      <c r="J261" s="758"/>
      <c r="K261" s="758"/>
      <c r="L261" s="758"/>
      <c r="M261" s="758"/>
      <c r="N261" s="758"/>
      <c r="O261" s="758"/>
      <c r="P261" s="758"/>
      <c r="Q261" s="758"/>
      <c r="R261" s="758"/>
      <c r="S261" s="758"/>
      <c r="T261" s="758"/>
      <c r="U261" s="758"/>
      <c r="V261" s="758"/>
      <c r="W261" s="758"/>
      <c r="X261" s="758"/>
      <c r="Y261" s="758"/>
      <c r="Z261" s="758"/>
    </row>
    <row r="262" spans="3:26">
      <c r="C262" s="758"/>
      <c r="D262" s="758"/>
      <c r="E262" s="758"/>
      <c r="F262" s="758"/>
      <c r="G262" s="758"/>
      <c r="H262" s="758"/>
      <c r="I262" s="758"/>
      <c r="J262" s="758"/>
      <c r="K262" s="758"/>
      <c r="L262" s="758"/>
      <c r="M262" s="758"/>
      <c r="N262" s="758"/>
      <c r="O262" s="758"/>
      <c r="P262" s="758"/>
      <c r="Q262" s="758"/>
      <c r="R262" s="758"/>
      <c r="S262" s="758"/>
      <c r="T262" s="758"/>
      <c r="U262" s="758"/>
      <c r="V262" s="758"/>
      <c r="W262" s="758"/>
      <c r="X262" s="758"/>
      <c r="Y262" s="758"/>
      <c r="Z262" s="758"/>
    </row>
    <row r="263" spans="3:26">
      <c r="C263" s="758"/>
      <c r="D263" s="758"/>
      <c r="E263" s="758"/>
      <c r="F263" s="758"/>
      <c r="G263" s="758"/>
      <c r="H263" s="758"/>
      <c r="I263" s="758"/>
      <c r="J263" s="758"/>
      <c r="K263" s="758"/>
      <c r="L263" s="758"/>
      <c r="M263" s="758"/>
      <c r="N263" s="758"/>
      <c r="O263" s="758"/>
      <c r="P263" s="758"/>
      <c r="Q263" s="758"/>
      <c r="R263" s="758"/>
      <c r="S263" s="758"/>
      <c r="T263" s="758"/>
      <c r="U263" s="758"/>
      <c r="V263" s="758"/>
      <c r="W263" s="758"/>
      <c r="X263" s="758"/>
      <c r="Y263" s="758"/>
      <c r="Z263" s="758"/>
    </row>
    <row r="264" spans="3:26">
      <c r="C264" s="758"/>
      <c r="D264" s="758"/>
      <c r="E264" s="758"/>
      <c r="F264" s="758"/>
      <c r="G264" s="758"/>
      <c r="H264" s="758"/>
      <c r="I264" s="758"/>
      <c r="J264" s="758"/>
      <c r="K264" s="758"/>
      <c r="L264" s="758"/>
      <c r="M264" s="758"/>
      <c r="N264" s="758"/>
      <c r="O264" s="758"/>
      <c r="P264" s="758"/>
      <c r="Q264" s="758"/>
      <c r="R264" s="758"/>
      <c r="S264" s="758"/>
      <c r="T264" s="758"/>
      <c r="U264" s="758"/>
      <c r="V264" s="758"/>
      <c r="W264" s="758"/>
      <c r="X264" s="758"/>
      <c r="Y264" s="758"/>
      <c r="Z264" s="758"/>
    </row>
    <row r="265" spans="3:26">
      <c r="C265" s="758"/>
      <c r="D265" s="758"/>
      <c r="E265" s="758"/>
      <c r="F265" s="758"/>
      <c r="G265" s="758"/>
      <c r="H265" s="758"/>
      <c r="I265" s="758"/>
      <c r="J265" s="758"/>
      <c r="K265" s="758"/>
      <c r="L265" s="758"/>
      <c r="M265" s="758"/>
      <c r="N265" s="758"/>
      <c r="O265" s="758"/>
      <c r="P265" s="758"/>
      <c r="Q265" s="758"/>
      <c r="R265" s="758"/>
      <c r="S265" s="758"/>
      <c r="T265" s="758"/>
      <c r="U265" s="758"/>
      <c r="V265" s="758"/>
      <c r="W265" s="758"/>
      <c r="X265" s="758"/>
      <c r="Y265" s="758"/>
      <c r="Z265" s="758"/>
    </row>
    <row r="266" spans="3:26">
      <c r="C266" s="758"/>
      <c r="D266" s="758"/>
      <c r="E266" s="758"/>
      <c r="F266" s="758"/>
      <c r="G266" s="758"/>
      <c r="H266" s="758"/>
      <c r="I266" s="758"/>
      <c r="J266" s="758"/>
      <c r="K266" s="758"/>
      <c r="L266" s="758"/>
      <c r="M266" s="758"/>
      <c r="N266" s="758"/>
      <c r="O266" s="758"/>
      <c r="P266" s="758"/>
      <c r="Q266" s="758"/>
      <c r="R266" s="758"/>
      <c r="S266" s="758"/>
      <c r="T266" s="758"/>
      <c r="U266" s="758"/>
      <c r="V266" s="758"/>
      <c r="W266" s="758"/>
      <c r="X266" s="758"/>
      <c r="Y266" s="758"/>
      <c r="Z266" s="758"/>
    </row>
    <row r="267" spans="3:26">
      <c r="C267" s="758"/>
      <c r="D267" s="758"/>
      <c r="E267" s="758"/>
      <c r="F267" s="758"/>
      <c r="G267" s="758"/>
      <c r="H267" s="758"/>
      <c r="I267" s="758"/>
      <c r="J267" s="758"/>
      <c r="K267" s="758"/>
      <c r="L267" s="758"/>
      <c r="M267" s="758"/>
      <c r="N267" s="758"/>
      <c r="O267" s="758"/>
      <c r="P267" s="758"/>
      <c r="Q267" s="758"/>
      <c r="R267" s="758"/>
      <c r="S267" s="758"/>
      <c r="T267" s="758"/>
      <c r="U267" s="758"/>
      <c r="V267" s="758"/>
      <c r="W267" s="758"/>
      <c r="X267" s="758"/>
      <c r="Y267" s="758"/>
      <c r="Z267" s="758"/>
    </row>
    <row r="268" spans="3:26">
      <c r="C268" s="758"/>
      <c r="D268" s="758"/>
      <c r="E268" s="758"/>
      <c r="F268" s="758"/>
      <c r="G268" s="758"/>
      <c r="H268" s="758"/>
      <c r="I268" s="758"/>
      <c r="J268" s="758"/>
      <c r="K268" s="758"/>
      <c r="L268" s="758"/>
      <c r="M268" s="758"/>
      <c r="N268" s="758"/>
      <c r="O268" s="758"/>
      <c r="P268" s="758"/>
      <c r="Q268" s="758"/>
      <c r="R268" s="758"/>
      <c r="S268" s="758"/>
      <c r="T268" s="758"/>
      <c r="U268" s="758"/>
      <c r="V268" s="758"/>
      <c r="W268" s="758"/>
      <c r="X268" s="758"/>
      <c r="Y268" s="758"/>
      <c r="Z268" s="758"/>
    </row>
    <row r="269" spans="3:26">
      <c r="C269" s="758"/>
      <c r="D269" s="758"/>
      <c r="E269" s="758"/>
      <c r="F269" s="758"/>
      <c r="G269" s="758"/>
      <c r="H269" s="758"/>
      <c r="I269" s="758"/>
      <c r="J269" s="758"/>
      <c r="K269" s="758"/>
      <c r="L269" s="758"/>
      <c r="M269" s="758"/>
      <c r="N269" s="758"/>
      <c r="O269" s="758"/>
      <c r="P269" s="758"/>
      <c r="Q269" s="758"/>
      <c r="R269" s="758"/>
      <c r="S269" s="758"/>
      <c r="T269" s="758"/>
      <c r="U269" s="758"/>
      <c r="V269" s="758"/>
      <c r="W269" s="758"/>
      <c r="X269" s="758"/>
      <c r="Y269" s="758"/>
      <c r="Z269" s="758"/>
    </row>
    <row r="270" spans="3:26">
      <c r="C270" s="758"/>
      <c r="D270" s="758"/>
      <c r="E270" s="758"/>
      <c r="F270" s="758"/>
      <c r="G270" s="758"/>
      <c r="H270" s="758"/>
      <c r="I270" s="758"/>
      <c r="J270" s="758"/>
      <c r="K270" s="758"/>
      <c r="L270" s="758"/>
      <c r="M270" s="758"/>
      <c r="N270" s="758"/>
      <c r="O270" s="758"/>
      <c r="P270" s="758"/>
      <c r="Q270" s="758"/>
      <c r="R270" s="758"/>
      <c r="S270" s="758"/>
      <c r="T270" s="758"/>
      <c r="U270" s="758"/>
      <c r="V270" s="758"/>
      <c r="W270" s="758"/>
      <c r="X270" s="758"/>
      <c r="Y270" s="758"/>
      <c r="Z270" s="758"/>
    </row>
    <row r="271" spans="3:26">
      <c r="C271" s="758"/>
      <c r="D271" s="758"/>
      <c r="E271" s="758"/>
      <c r="F271" s="758"/>
      <c r="G271" s="758"/>
      <c r="H271" s="758"/>
      <c r="I271" s="758"/>
      <c r="J271" s="758"/>
      <c r="K271" s="758"/>
      <c r="L271" s="758"/>
      <c r="M271" s="758"/>
      <c r="N271" s="758"/>
      <c r="O271" s="758"/>
      <c r="P271" s="758"/>
      <c r="Q271" s="758"/>
      <c r="R271" s="758"/>
      <c r="S271" s="758"/>
      <c r="T271" s="758"/>
      <c r="U271" s="758"/>
      <c r="V271" s="758"/>
      <c r="W271" s="758"/>
      <c r="X271" s="758"/>
      <c r="Y271" s="758"/>
      <c r="Z271" s="758"/>
    </row>
    <row r="272" spans="3:26">
      <c r="C272" s="758"/>
      <c r="D272" s="758"/>
      <c r="E272" s="758"/>
      <c r="F272" s="758"/>
      <c r="G272" s="758"/>
      <c r="H272" s="758"/>
      <c r="I272" s="758"/>
      <c r="J272" s="758"/>
      <c r="K272" s="758"/>
      <c r="L272" s="758"/>
      <c r="M272" s="758"/>
      <c r="N272" s="758"/>
      <c r="O272" s="758"/>
      <c r="P272" s="758"/>
      <c r="Q272" s="758"/>
      <c r="R272" s="758"/>
      <c r="S272" s="758"/>
      <c r="T272" s="758"/>
      <c r="U272" s="758"/>
      <c r="V272" s="758"/>
      <c r="W272" s="758"/>
      <c r="X272" s="758"/>
      <c r="Y272" s="758"/>
      <c r="Z272" s="758"/>
    </row>
    <row r="273" spans="3:26">
      <c r="C273" s="758"/>
      <c r="D273" s="758"/>
      <c r="E273" s="758"/>
      <c r="F273" s="758"/>
      <c r="G273" s="758"/>
      <c r="H273" s="758"/>
      <c r="I273" s="758"/>
      <c r="J273" s="758"/>
      <c r="K273" s="758"/>
      <c r="L273" s="758"/>
      <c r="M273" s="758"/>
      <c r="N273" s="758"/>
      <c r="O273" s="758"/>
      <c r="P273" s="758"/>
      <c r="Q273" s="758"/>
      <c r="R273" s="758"/>
      <c r="S273" s="758"/>
      <c r="T273" s="758"/>
      <c r="U273" s="758"/>
      <c r="V273" s="758"/>
      <c r="W273" s="758"/>
      <c r="X273" s="758"/>
      <c r="Y273" s="758"/>
      <c r="Z273" s="758"/>
    </row>
    <row r="274" spans="3:26">
      <c r="C274" s="758"/>
      <c r="D274" s="758"/>
      <c r="E274" s="758"/>
      <c r="F274" s="758"/>
      <c r="G274" s="758"/>
      <c r="H274" s="758"/>
      <c r="I274" s="758"/>
      <c r="J274" s="758"/>
      <c r="K274" s="758"/>
      <c r="L274" s="758"/>
      <c r="M274" s="758"/>
      <c r="N274" s="758"/>
      <c r="O274" s="758"/>
      <c r="P274" s="758"/>
      <c r="Q274" s="758"/>
      <c r="R274" s="758"/>
      <c r="S274" s="758"/>
      <c r="T274" s="758"/>
      <c r="U274" s="758"/>
      <c r="V274" s="758"/>
      <c r="W274" s="758"/>
      <c r="X274" s="758"/>
      <c r="Y274" s="758"/>
      <c r="Z274" s="758"/>
    </row>
    <row r="275" spans="3:26">
      <c r="C275" s="758"/>
      <c r="D275" s="758"/>
      <c r="E275" s="758"/>
      <c r="F275" s="758"/>
      <c r="G275" s="758"/>
      <c r="H275" s="758"/>
      <c r="I275" s="758"/>
      <c r="J275" s="758"/>
      <c r="K275" s="758"/>
      <c r="L275" s="758"/>
      <c r="M275" s="758"/>
      <c r="N275" s="758"/>
      <c r="O275" s="758"/>
      <c r="P275" s="758"/>
      <c r="Q275" s="758"/>
      <c r="R275" s="758"/>
      <c r="S275" s="758"/>
      <c r="T275" s="758"/>
      <c r="U275" s="758"/>
      <c r="V275" s="758"/>
      <c r="W275" s="758"/>
      <c r="X275" s="758"/>
      <c r="Y275" s="758"/>
      <c r="Z275" s="758"/>
    </row>
    <row r="276" spans="3:26">
      <c r="C276" s="758"/>
      <c r="D276" s="758"/>
      <c r="E276" s="758"/>
      <c r="F276" s="758"/>
      <c r="G276" s="758"/>
      <c r="H276" s="758"/>
      <c r="I276" s="758"/>
      <c r="J276" s="758"/>
      <c r="K276" s="758"/>
      <c r="L276" s="758"/>
      <c r="M276" s="758"/>
      <c r="N276" s="758"/>
      <c r="O276" s="758"/>
      <c r="P276" s="758"/>
      <c r="Q276" s="758"/>
      <c r="R276" s="758"/>
      <c r="S276" s="758"/>
      <c r="T276" s="758"/>
      <c r="U276" s="758"/>
      <c r="V276" s="758"/>
      <c r="W276" s="758"/>
      <c r="X276" s="758"/>
      <c r="Y276" s="758"/>
      <c r="Z276" s="758"/>
    </row>
    <row r="277" spans="3:26">
      <c r="C277" s="758"/>
      <c r="D277" s="758"/>
      <c r="E277" s="758"/>
      <c r="F277" s="758"/>
      <c r="G277" s="758"/>
      <c r="H277" s="758"/>
      <c r="I277" s="758"/>
      <c r="J277" s="758"/>
      <c r="K277" s="758"/>
      <c r="L277" s="758"/>
      <c r="M277" s="758"/>
      <c r="N277" s="758"/>
      <c r="O277" s="758"/>
      <c r="P277" s="758"/>
      <c r="Q277" s="758"/>
      <c r="R277" s="758"/>
      <c r="S277" s="758"/>
      <c r="T277" s="758"/>
      <c r="U277" s="758"/>
      <c r="V277" s="758"/>
      <c r="W277" s="758"/>
      <c r="X277" s="758"/>
      <c r="Y277" s="758"/>
      <c r="Z277" s="758"/>
    </row>
    <row r="278" spans="3:26">
      <c r="C278" s="758"/>
      <c r="D278" s="758"/>
      <c r="E278" s="758"/>
      <c r="F278" s="758"/>
      <c r="G278" s="758"/>
      <c r="H278" s="758"/>
      <c r="I278" s="758"/>
      <c r="J278" s="758"/>
      <c r="K278" s="758"/>
      <c r="L278" s="758"/>
      <c r="M278" s="758"/>
      <c r="N278" s="758"/>
      <c r="O278" s="758"/>
      <c r="P278" s="758"/>
      <c r="Q278" s="758"/>
      <c r="R278" s="758"/>
      <c r="S278" s="758"/>
      <c r="T278" s="758"/>
      <c r="U278" s="758"/>
      <c r="V278" s="758"/>
      <c r="W278" s="758"/>
      <c r="X278" s="758"/>
      <c r="Y278" s="758"/>
      <c r="Z278" s="758"/>
    </row>
    <row r="279" spans="3:26">
      <c r="C279" s="758"/>
      <c r="D279" s="758"/>
      <c r="E279" s="758"/>
      <c r="F279" s="758"/>
      <c r="G279" s="758"/>
      <c r="H279" s="758"/>
      <c r="I279" s="758"/>
      <c r="J279" s="758"/>
      <c r="K279" s="758"/>
      <c r="L279" s="758"/>
      <c r="M279" s="758"/>
      <c r="N279" s="758"/>
      <c r="O279" s="758"/>
      <c r="P279" s="758"/>
      <c r="Q279" s="758"/>
      <c r="R279" s="758"/>
      <c r="S279" s="758"/>
      <c r="T279" s="758"/>
      <c r="U279" s="758"/>
      <c r="V279" s="758"/>
      <c r="W279" s="758"/>
      <c r="X279" s="758"/>
      <c r="Y279" s="758"/>
      <c r="Z279" s="758"/>
    </row>
    <row r="280" spans="3:26">
      <c r="C280" s="758"/>
      <c r="D280" s="758"/>
      <c r="E280" s="758"/>
      <c r="F280" s="758"/>
      <c r="G280" s="758"/>
      <c r="H280" s="758"/>
      <c r="I280" s="758"/>
      <c r="J280" s="758"/>
      <c r="K280" s="758"/>
      <c r="L280" s="758"/>
      <c r="M280" s="758"/>
      <c r="N280" s="758"/>
      <c r="O280" s="758"/>
      <c r="P280" s="758"/>
      <c r="Q280" s="758"/>
      <c r="R280" s="758"/>
      <c r="S280" s="758"/>
      <c r="T280" s="758"/>
      <c r="U280" s="758"/>
      <c r="V280" s="758"/>
      <c r="W280" s="758"/>
      <c r="X280" s="758"/>
      <c r="Y280" s="758"/>
      <c r="Z280" s="758"/>
    </row>
    <row r="281" spans="3:26">
      <c r="C281" s="758"/>
      <c r="D281" s="758"/>
      <c r="E281" s="758"/>
      <c r="F281" s="758"/>
      <c r="G281" s="758"/>
      <c r="H281" s="758"/>
      <c r="I281" s="758"/>
      <c r="J281" s="758"/>
      <c r="K281" s="758"/>
      <c r="L281" s="758"/>
      <c r="M281" s="758"/>
      <c r="N281" s="758"/>
      <c r="O281" s="758"/>
      <c r="P281" s="758"/>
      <c r="Q281" s="758"/>
      <c r="R281" s="758"/>
      <c r="S281" s="758"/>
      <c r="T281" s="758"/>
      <c r="U281" s="758"/>
      <c r="V281" s="758"/>
      <c r="W281" s="758"/>
      <c r="X281" s="758"/>
      <c r="Y281" s="758"/>
      <c r="Z281" s="758"/>
    </row>
    <row r="282" spans="3:26">
      <c r="C282" s="758"/>
      <c r="D282" s="758"/>
      <c r="E282" s="758"/>
      <c r="F282" s="758"/>
      <c r="G282" s="758"/>
      <c r="H282" s="758"/>
      <c r="I282" s="758"/>
      <c r="J282" s="758"/>
      <c r="K282" s="758"/>
      <c r="L282" s="758"/>
      <c r="M282" s="758"/>
      <c r="N282" s="758"/>
      <c r="O282" s="758"/>
      <c r="P282" s="758"/>
      <c r="Q282" s="758"/>
      <c r="R282" s="758"/>
      <c r="S282" s="758"/>
      <c r="T282" s="758"/>
      <c r="U282" s="758"/>
      <c r="V282" s="758"/>
      <c r="W282" s="758"/>
      <c r="X282" s="758"/>
      <c r="Y282" s="758"/>
      <c r="Z282" s="758"/>
    </row>
    <row r="283" spans="3:26">
      <c r="C283" s="758"/>
      <c r="D283" s="758"/>
      <c r="E283" s="758"/>
      <c r="F283" s="758"/>
      <c r="G283" s="758"/>
      <c r="H283" s="758"/>
      <c r="I283" s="758"/>
      <c r="J283" s="758"/>
      <c r="K283" s="758"/>
      <c r="L283" s="758"/>
      <c r="M283" s="758"/>
      <c r="N283" s="758"/>
      <c r="O283" s="758"/>
      <c r="P283" s="758"/>
      <c r="Q283" s="758"/>
      <c r="R283" s="758"/>
      <c r="S283" s="758"/>
      <c r="T283" s="758"/>
      <c r="U283" s="758"/>
      <c r="V283" s="758"/>
      <c r="W283" s="758"/>
      <c r="X283" s="758"/>
      <c r="Y283" s="758"/>
      <c r="Z283" s="758"/>
    </row>
    <row r="284" spans="3:26">
      <c r="C284" s="758"/>
      <c r="D284" s="758"/>
      <c r="E284" s="758"/>
      <c r="F284" s="758"/>
      <c r="G284" s="758"/>
      <c r="H284" s="758"/>
      <c r="I284" s="758"/>
      <c r="J284" s="758"/>
      <c r="K284" s="758"/>
      <c r="L284" s="758"/>
      <c r="M284" s="758"/>
      <c r="N284" s="758"/>
      <c r="O284" s="758"/>
      <c r="P284" s="758"/>
      <c r="Q284" s="758"/>
      <c r="R284" s="758"/>
      <c r="S284" s="758"/>
      <c r="T284" s="758"/>
      <c r="U284" s="758"/>
      <c r="V284" s="758"/>
      <c r="W284" s="758"/>
      <c r="X284" s="758"/>
      <c r="Y284" s="758"/>
      <c r="Z284" s="758"/>
    </row>
    <row r="285" spans="3:26">
      <c r="C285" s="758"/>
      <c r="D285" s="758"/>
      <c r="E285" s="758"/>
      <c r="F285" s="758"/>
      <c r="G285" s="758"/>
      <c r="H285" s="758"/>
      <c r="I285" s="758"/>
      <c r="J285" s="758"/>
      <c r="K285" s="758"/>
      <c r="L285" s="758"/>
      <c r="M285" s="758"/>
      <c r="N285" s="758"/>
      <c r="O285" s="758"/>
      <c r="P285" s="758"/>
      <c r="Q285" s="758"/>
      <c r="R285" s="758"/>
      <c r="S285" s="758"/>
      <c r="T285" s="758"/>
      <c r="U285" s="758"/>
      <c r="V285" s="758"/>
      <c r="W285" s="758"/>
      <c r="X285" s="758"/>
      <c r="Y285" s="758"/>
      <c r="Z285" s="758"/>
    </row>
    <row r="286" spans="3:26">
      <c r="C286" s="758"/>
      <c r="D286" s="758"/>
      <c r="E286" s="758"/>
      <c r="F286" s="758"/>
      <c r="G286" s="758"/>
      <c r="H286" s="758"/>
      <c r="I286" s="758"/>
      <c r="J286" s="758"/>
      <c r="K286" s="758"/>
      <c r="L286" s="758"/>
      <c r="M286" s="758"/>
      <c r="N286" s="758"/>
      <c r="O286" s="758"/>
      <c r="P286" s="758"/>
      <c r="Q286" s="758"/>
      <c r="R286" s="758"/>
      <c r="S286" s="758"/>
      <c r="T286" s="758"/>
      <c r="U286" s="758"/>
      <c r="V286" s="758"/>
      <c r="W286" s="758"/>
      <c r="X286" s="758"/>
      <c r="Y286" s="758"/>
      <c r="Z286" s="758"/>
    </row>
    <row r="287" spans="3:26">
      <c r="C287" s="758"/>
      <c r="D287" s="758"/>
      <c r="E287" s="758"/>
      <c r="F287" s="758"/>
      <c r="G287" s="758"/>
      <c r="H287" s="758"/>
      <c r="I287" s="758"/>
      <c r="J287" s="758"/>
      <c r="K287" s="758"/>
      <c r="L287" s="758"/>
      <c r="M287" s="758"/>
      <c r="N287" s="758"/>
      <c r="O287" s="758"/>
      <c r="P287" s="758"/>
      <c r="Q287" s="758"/>
      <c r="R287" s="758"/>
      <c r="S287" s="758"/>
      <c r="T287" s="758"/>
      <c r="U287" s="758"/>
      <c r="V287" s="758"/>
      <c r="W287" s="758"/>
      <c r="X287" s="758"/>
      <c r="Y287" s="758"/>
      <c r="Z287" s="758"/>
    </row>
    <row r="288" spans="3:26">
      <c r="C288" s="758"/>
      <c r="D288" s="758"/>
      <c r="E288" s="758"/>
      <c r="F288" s="758"/>
      <c r="G288" s="758"/>
      <c r="H288" s="758"/>
      <c r="I288" s="758"/>
      <c r="J288" s="758"/>
      <c r="K288" s="758"/>
      <c r="L288" s="758"/>
      <c r="M288" s="758"/>
      <c r="N288" s="758"/>
      <c r="O288" s="758"/>
      <c r="P288" s="758"/>
      <c r="Q288" s="758"/>
      <c r="R288" s="758"/>
      <c r="S288" s="758"/>
      <c r="T288" s="758"/>
      <c r="U288" s="758"/>
      <c r="V288" s="758"/>
      <c r="W288" s="758"/>
      <c r="X288" s="758"/>
      <c r="Y288" s="758"/>
      <c r="Z288" s="758"/>
    </row>
    <row r="289" spans="3:26">
      <c r="C289" s="758"/>
      <c r="D289" s="758"/>
      <c r="E289" s="758"/>
      <c r="F289" s="758"/>
      <c r="G289" s="758"/>
      <c r="H289" s="758"/>
      <c r="I289" s="758"/>
      <c r="J289" s="758"/>
      <c r="K289" s="758"/>
      <c r="L289" s="758"/>
      <c r="M289" s="758"/>
      <c r="N289" s="758"/>
      <c r="O289" s="758"/>
      <c r="P289" s="758"/>
      <c r="Q289" s="758"/>
      <c r="R289" s="758"/>
      <c r="S289" s="758"/>
      <c r="T289" s="758"/>
      <c r="U289" s="758"/>
      <c r="V289" s="758"/>
      <c r="W289" s="758"/>
      <c r="X289" s="758"/>
      <c r="Y289" s="758"/>
      <c r="Z289" s="758"/>
    </row>
    <row r="290" spans="3:26">
      <c r="C290" s="758"/>
      <c r="D290" s="758"/>
      <c r="E290" s="758"/>
      <c r="F290" s="758"/>
      <c r="G290" s="758"/>
      <c r="H290" s="758"/>
      <c r="I290" s="758"/>
      <c r="J290" s="758"/>
      <c r="K290" s="758"/>
      <c r="L290" s="758"/>
      <c r="M290" s="758"/>
      <c r="N290" s="758"/>
      <c r="O290" s="758"/>
      <c r="P290" s="758"/>
      <c r="Q290" s="758"/>
      <c r="R290" s="758"/>
      <c r="S290" s="758"/>
      <c r="T290" s="758"/>
      <c r="U290" s="758"/>
      <c r="V290" s="758"/>
      <c r="W290" s="758"/>
      <c r="X290" s="758"/>
      <c r="Y290" s="758"/>
      <c r="Z290" s="758"/>
    </row>
    <row r="291" spans="3:26">
      <c r="C291" s="758"/>
      <c r="D291" s="758"/>
      <c r="E291" s="758"/>
      <c r="F291" s="758"/>
      <c r="G291" s="758"/>
      <c r="H291" s="758"/>
      <c r="I291" s="758"/>
      <c r="J291" s="758"/>
      <c r="K291" s="758"/>
      <c r="L291" s="758"/>
      <c r="M291" s="758"/>
      <c r="N291" s="758"/>
      <c r="O291" s="758"/>
      <c r="P291" s="758"/>
      <c r="Q291" s="758"/>
      <c r="R291" s="758"/>
      <c r="S291" s="758"/>
      <c r="T291" s="758"/>
      <c r="U291" s="758"/>
      <c r="V291" s="758"/>
      <c r="W291" s="758"/>
      <c r="X291" s="758"/>
      <c r="Y291" s="758"/>
      <c r="Z291" s="758"/>
    </row>
    <row r="292" spans="3:26">
      <c r="C292" s="758"/>
      <c r="D292" s="758"/>
      <c r="E292" s="758"/>
      <c r="F292" s="758"/>
      <c r="G292" s="758"/>
      <c r="H292" s="758"/>
      <c r="I292" s="758"/>
      <c r="J292" s="758"/>
      <c r="K292" s="758"/>
      <c r="L292" s="758"/>
      <c r="M292" s="758"/>
      <c r="N292" s="758"/>
      <c r="O292" s="758"/>
      <c r="P292" s="758"/>
      <c r="Q292" s="758"/>
      <c r="R292" s="758"/>
      <c r="S292" s="758"/>
      <c r="T292" s="758"/>
      <c r="U292" s="758"/>
      <c r="V292" s="758"/>
      <c r="W292" s="758"/>
      <c r="X292" s="758"/>
      <c r="Y292" s="758"/>
      <c r="Z292" s="758"/>
    </row>
    <row r="293" spans="3:26">
      <c r="C293" s="758"/>
      <c r="D293" s="758"/>
      <c r="E293" s="758"/>
      <c r="F293" s="758"/>
      <c r="G293" s="758"/>
      <c r="H293" s="758"/>
      <c r="I293" s="758"/>
      <c r="J293" s="758"/>
      <c r="K293" s="758"/>
      <c r="L293" s="758"/>
      <c r="M293" s="758"/>
      <c r="N293" s="758"/>
      <c r="O293" s="758"/>
      <c r="P293" s="758"/>
      <c r="Q293" s="758"/>
      <c r="R293" s="758"/>
      <c r="S293" s="758"/>
      <c r="T293" s="758"/>
      <c r="U293" s="758"/>
      <c r="V293" s="758"/>
      <c r="W293" s="758"/>
      <c r="X293" s="758"/>
      <c r="Y293" s="758"/>
      <c r="Z293" s="758"/>
    </row>
    <row r="294" spans="3:26">
      <c r="C294" s="758"/>
      <c r="D294" s="758"/>
      <c r="E294" s="758"/>
      <c r="F294" s="758"/>
      <c r="G294" s="758"/>
      <c r="H294" s="758"/>
      <c r="I294" s="758"/>
      <c r="J294" s="758"/>
      <c r="K294" s="758"/>
      <c r="L294" s="758"/>
      <c r="M294" s="758"/>
      <c r="N294" s="758"/>
      <c r="O294" s="758"/>
      <c r="P294" s="758"/>
      <c r="Q294" s="758"/>
      <c r="R294" s="758"/>
      <c r="S294" s="758"/>
      <c r="T294" s="758"/>
      <c r="U294" s="758"/>
      <c r="V294" s="758"/>
      <c r="W294" s="758"/>
      <c r="X294" s="758"/>
      <c r="Y294" s="758"/>
      <c r="Z294" s="758"/>
    </row>
    <row r="295" spans="3:26">
      <c r="C295" s="758"/>
      <c r="D295" s="758"/>
      <c r="E295" s="758"/>
      <c r="F295" s="758"/>
      <c r="G295" s="758"/>
      <c r="H295" s="758"/>
      <c r="I295" s="758"/>
      <c r="J295" s="758"/>
      <c r="K295" s="758"/>
      <c r="L295" s="758"/>
      <c r="M295" s="758"/>
      <c r="N295" s="758"/>
      <c r="O295" s="758"/>
      <c r="P295" s="758"/>
      <c r="Q295" s="758"/>
      <c r="R295" s="758"/>
      <c r="S295" s="758"/>
      <c r="T295" s="758"/>
      <c r="U295" s="758"/>
      <c r="V295" s="758"/>
      <c r="W295" s="758"/>
      <c r="X295" s="758"/>
      <c r="Y295" s="758"/>
      <c r="Z295" s="758"/>
    </row>
    <row r="296" spans="3:26">
      <c r="C296" s="758"/>
      <c r="D296" s="758"/>
      <c r="E296" s="758"/>
      <c r="F296" s="758"/>
      <c r="G296" s="758"/>
      <c r="H296" s="758"/>
      <c r="I296" s="758"/>
      <c r="J296" s="758"/>
      <c r="K296" s="758"/>
      <c r="L296" s="758"/>
      <c r="M296" s="758"/>
      <c r="N296" s="758"/>
      <c r="O296" s="758"/>
      <c r="P296" s="758"/>
      <c r="Q296" s="758"/>
      <c r="R296" s="758"/>
      <c r="S296" s="758"/>
      <c r="T296" s="758"/>
      <c r="U296" s="758"/>
      <c r="V296" s="758"/>
      <c r="W296" s="758"/>
      <c r="X296" s="758"/>
      <c r="Y296" s="758"/>
      <c r="Z296" s="758"/>
    </row>
    <row r="297" spans="3:26">
      <c r="C297" s="758"/>
      <c r="D297" s="758"/>
      <c r="E297" s="758"/>
      <c r="F297" s="758"/>
      <c r="G297" s="758"/>
      <c r="H297" s="758"/>
      <c r="I297" s="758"/>
      <c r="J297" s="758"/>
      <c r="K297" s="758"/>
      <c r="L297" s="758"/>
      <c r="M297" s="758"/>
      <c r="N297" s="758"/>
      <c r="O297" s="758"/>
      <c r="P297" s="758"/>
      <c r="Q297" s="758"/>
      <c r="R297" s="758"/>
      <c r="S297" s="758"/>
      <c r="T297" s="758"/>
      <c r="U297" s="758"/>
      <c r="V297" s="758"/>
      <c r="W297" s="758"/>
      <c r="X297" s="758"/>
      <c r="Y297" s="758"/>
      <c r="Z297" s="758"/>
    </row>
    <row r="298" spans="3:26">
      <c r="C298" s="758"/>
      <c r="D298" s="758"/>
      <c r="E298" s="758"/>
      <c r="F298" s="758"/>
      <c r="G298" s="758"/>
      <c r="H298" s="758"/>
      <c r="I298" s="758"/>
      <c r="J298" s="758"/>
      <c r="K298" s="758"/>
      <c r="L298" s="758"/>
      <c r="M298" s="758"/>
      <c r="N298" s="758"/>
      <c r="O298" s="758"/>
      <c r="P298" s="758"/>
      <c r="Q298" s="758"/>
      <c r="R298" s="758"/>
      <c r="S298" s="758"/>
      <c r="T298" s="758"/>
      <c r="U298" s="758"/>
      <c r="V298" s="758"/>
      <c r="W298" s="758"/>
      <c r="X298" s="758"/>
      <c r="Y298" s="758"/>
      <c r="Z298" s="758"/>
    </row>
    <row r="299" spans="3:26">
      <c r="C299" s="758"/>
      <c r="D299" s="758"/>
      <c r="E299" s="758"/>
      <c r="F299" s="758"/>
      <c r="G299" s="758"/>
      <c r="H299" s="758"/>
      <c r="I299" s="758"/>
      <c r="J299" s="758"/>
      <c r="K299" s="758"/>
      <c r="L299" s="758"/>
      <c r="M299" s="758"/>
      <c r="N299" s="758"/>
      <c r="O299" s="758"/>
      <c r="P299" s="758"/>
      <c r="Q299" s="758"/>
      <c r="R299" s="758"/>
      <c r="S299" s="758"/>
      <c r="T299" s="758"/>
      <c r="U299" s="758"/>
      <c r="V299" s="758"/>
      <c r="W299" s="758"/>
      <c r="X299" s="758"/>
      <c r="Y299" s="758"/>
      <c r="Z299" s="758"/>
    </row>
    <row r="300" spans="3:26">
      <c r="C300" s="758"/>
      <c r="D300" s="758"/>
      <c r="E300" s="758"/>
      <c r="F300" s="758"/>
      <c r="G300" s="758"/>
      <c r="H300" s="758"/>
      <c r="I300" s="758"/>
      <c r="J300" s="758"/>
      <c r="K300" s="758"/>
      <c r="L300" s="758"/>
      <c r="M300" s="758"/>
      <c r="N300" s="758"/>
      <c r="O300" s="758"/>
      <c r="P300" s="758"/>
      <c r="Q300" s="758"/>
      <c r="R300" s="758"/>
      <c r="S300" s="758"/>
      <c r="T300" s="758"/>
      <c r="U300" s="758"/>
      <c r="V300" s="758"/>
      <c r="W300" s="758"/>
      <c r="X300" s="758"/>
      <c r="Y300" s="758"/>
      <c r="Z300" s="758"/>
    </row>
    <row r="301" spans="3:26">
      <c r="C301" s="758"/>
      <c r="D301" s="758"/>
      <c r="E301" s="758"/>
      <c r="F301" s="758"/>
      <c r="G301" s="758"/>
      <c r="H301" s="758"/>
      <c r="I301" s="758"/>
      <c r="J301" s="758"/>
      <c r="K301" s="758"/>
      <c r="L301" s="758"/>
      <c r="M301" s="758"/>
      <c r="N301" s="758"/>
      <c r="O301" s="758"/>
      <c r="P301" s="758"/>
      <c r="Q301" s="758"/>
      <c r="R301" s="758"/>
      <c r="S301" s="758"/>
      <c r="T301" s="758"/>
      <c r="U301" s="758"/>
      <c r="V301" s="758"/>
      <c r="W301" s="758"/>
      <c r="X301" s="758"/>
      <c r="Y301" s="758"/>
      <c r="Z301" s="758"/>
    </row>
    <row r="302" spans="3:26">
      <c r="C302" s="758"/>
      <c r="D302" s="758"/>
      <c r="E302" s="758"/>
      <c r="F302" s="758"/>
      <c r="G302" s="758"/>
      <c r="H302" s="758"/>
      <c r="I302" s="758"/>
      <c r="J302" s="758"/>
      <c r="K302" s="758"/>
      <c r="L302" s="758"/>
      <c r="M302" s="758"/>
      <c r="N302" s="758"/>
      <c r="O302" s="758"/>
      <c r="P302" s="758"/>
      <c r="Q302" s="758"/>
      <c r="R302" s="758"/>
      <c r="S302" s="758"/>
      <c r="T302" s="758"/>
      <c r="U302" s="758"/>
      <c r="V302" s="758"/>
      <c r="W302" s="758"/>
      <c r="X302" s="758"/>
      <c r="Y302" s="758"/>
      <c r="Z302" s="758"/>
    </row>
    <row r="303" spans="3:26">
      <c r="C303" s="758"/>
      <c r="D303" s="758"/>
      <c r="E303" s="758"/>
      <c r="F303" s="758"/>
      <c r="G303" s="758"/>
      <c r="H303" s="758"/>
      <c r="I303" s="758"/>
      <c r="J303" s="758"/>
      <c r="K303" s="758"/>
      <c r="L303" s="758"/>
      <c r="M303" s="758"/>
      <c r="N303" s="758"/>
      <c r="O303" s="758"/>
      <c r="P303" s="758"/>
      <c r="Q303" s="758"/>
      <c r="R303" s="758"/>
      <c r="S303" s="758"/>
      <c r="T303" s="758"/>
      <c r="U303" s="758"/>
      <c r="V303" s="758"/>
      <c r="W303" s="758"/>
      <c r="X303" s="758"/>
      <c r="Y303" s="758"/>
      <c r="Z303" s="758"/>
    </row>
    <row r="304" spans="3:26">
      <c r="C304" s="758"/>
      <c r="D304" s="758"/>
      <c r="E304" s="758"/>
      <c r="F304" s="758"/>
      <c r="G304" s="758"/>
      <c r="H304" s="758"/>
      <c r="I304" s="758"/>
      <c r="J304" s="758"/>
      <c r="K304" s="758"/>
      <c r="L304" s="758"/>
      <c r="M304" s="758"/>
      <c r="N304" s="758"/>
      <c r="O304" s="758"/>
      <c r="P304" s="758"/>
      <c r="Q304" s="758"/>
      <c r="R304" s="758"/>
      <c r="S304" s="758"/>
      <c r="T304" s="758"/>
      <c r="U304" s="758"/>
      <c r="V304" s="758"/>
      <c r="W304" s="758"/>
      <c r="X304" s="758"/>
      <c r="Y304" s="758"/>
      <c r="Z304" s="758"/>
    </row>
    <row r="305" spans="3:26">
      <c r="C305" s="758"/>
      <c r="D305" s="758"/>
      <c r="E305" s="758"/>
      <c r="F305" s="758"/>
      <c r="G305" s="758"/>
      <c r="H305" s="758"/>
      <c r="I305" s="758"/>
      <c r="J305" s="758"/>
      <c r="K305" s="758"/>
      <c r="L305" s="758"/>
      <c r="M305" s="758"/>
      <c r="N305" s="758"/>
      <c r="O305" s="758"/>
      <c r="P305" s="758"/>
      <c r="Q305" s="758"/>
      <c r="R305" s="758"/>
      <c r="S305" s="758"/>
      <c r="T305" s="758"/>
      <c r="U305" s="758"/>
      <c r="V305" s="758"/>
      <c r="W305" s="758"/>
      <c r="X305" s="758"/>
      <c r="Y305" s="758"/>
      <c r="Z305" s="758"/>
    </row>
    <row r="306" spans="3:26">
      <c r="C306" s="758"/>
      <c r="D306" s="758"/>
      <c r="E306" s="758"/>
      <c r="F306" s="758"/>
      <c r="G306" s="758"/>
      <c r="H306" s="758"/>
      <c r="I306" s="758"/>
      <c r="J306" s="758"/>
      <c r="K306" s="758"/>
      <c r="L306" s="758"/>
      <c r="M306" s="758"/>
      <c r="N306" s="758"/>
      <c r="O306" s="758"/>
      <c r="P306" s="758"/>
      <c r="Q306" s="758"/>
      <c r="R306" s="758"/>
      <c r="S306" s="758"/>
      <c r="T306" s="758"/>
      <c r="U306" s="758"/>
      <c r="V306" s="758"/>
      <c r="W306" s="758"/>
      <c r="X306" s="758"/>
      <c r="Y306" s="758"/>
      <c r="Z306" s="758"/>
    </row>
    <row r="307" spans="3:26">
      <c r="C307" s="758"/>
      <c r="D307" s="758"/>
      <c r="E307" s="758"/>
      <c r="F307" s="758"/>
      <c r="G307" s="758"/>
      <c r="H307" s="758"/>
      <c r="I307" s="758"/>
      <c r="J307" s="758"/>
      <c r="K307" s="758"/>
      <c r="L307" s="758"/>
      <c r="M307" s="758"/>
      <c r="N307" s="758"/>
      <c r="O307" s="758"/>
      <c r="P307" s="758"/>
      <c r="Q307" s="758"/>
      <c r="R307" s="758"/>
      <c r="S307" s="758"/>
      <c r="T307" s="758"/>
      <c r="U307" s="758"/>
      <c r="V307" s="758"/>
      <c r="W307" s="758"/>
      <c r="X307" s="758"/>
      <c r="Y307" s="758"/>
      <c r="Z307" s="758"/>
    </row>
    <row r="308" spans="3:26">
      <c r="C308" s="758"/>
      <c r="D308" s="758"/>
      <c r="E308" s="758"/>
      <c r="F308" s="758"/>
      <c r="G308" s="758"/>
      <c r="H308" s="758"/>
      <c r="I308" s="758"/>
      <c r="J308" s="758"/>
      <c r="K308" s="758"/>
      <c r="L308" s="758"/>
      <c r="M308" s="758"/>
      <c r="N308" s="758"/>
      <c r="O308" s="758"/>
      <c r="P308" s="758"/>
      <c r="Q308" s="758"/>
      <c r="R308" s="758"/>
      <c r="S308" s="758"/>
      <c r="T308" s="758"/>
      <c r="U308" s="758"/>
      <c r="V308" s="758"/>
      <c r="W308" s="758"/>
      <c r="X308" s="758"/>
      <c r="Y308" s="758"/>
      <c r="Z308" s="758"/>
    </row>
    <row r="309" spans="3:26">
      <c r="C309" s="758"/>
      <c r="D309" s="758"/>
      <c r="E309" s="758"/>
      <c r="F309" s="758"/>
      <c r="G309" s="758"/>
      <c r="H309" s="758"/>
      <c r="I309" s="758"/>
      <c r="J309" s="758"/>
      <c r="K309" s="758"/>
      <c r="L309" s="758"/>
      <c r="M309" s="758"/>
      <c r="N309" s="758"/>
      <c r="O309" s="758"/>
      <c r="P309" s="758"/>
      <c r="Q309" s="758"/>
      <c r="R309" s="758"/>
      <c r="S309" s="758"/>
      <c r="T309" s="758"/>
      <c r="U309" s="758"/>
      <c r="V309" s="758"/>
      <c r="W309" s="758"/>
      <c r="X309" s="758"/>
      <c r="Y309" s="758"/>
      <c r="Z309" s="758"/>
    </row>
    <row r="310" spans="3:26">
      <c r="C310" s="758"/>
      <c r="D310" s="758"/>
      <c r="E310" s="758"/>
      <c r="F310" s="758"/>
      <c r="G310" s="758"/>
      <c r="H310" s="758"/>
      <c r="I310" s="758"/>
      <c r="J310" s="758"/>
      <c r="K310" s="758"/>
      <c r="L310" s="758"/>
      <c r="M310" s="758"/>
      <c r="N310" s="758"/>
      <c r="O310" s="758"/>
      <c r="P310" s="758"/>
      <c r="Q310" s="758"/>
      <c r="R310" s="758"/>
      <c r="S310" s="758"/>
      <c r="T310" s="758"/>
      <c r="U310" s="758"/>
      <c r="V310" s="758"/>
      <c r="W310" s="758"/>
      <c r="X310" s="758"/>
      <c r="Y310" s="758"/>
      <c r="Z310" s="758"/>
    </row>
    <row r="311" spans="3:26">
      <c r="C311" s="758"/>
      <c r="D311" s="758"/>
      <c r="E311" s="758"/>
      <c r="F311" s="758"/>
      <c r="G311" s="758"/>
      <c r="H311" s="758"/>
      <c r="I311" s="758"/>
      <c r="J311" s="758"/>
      <c r="K311" s="758"/>
      <c r="L311" s="758"/>
      <c r="M311" s="758"/>
      <c r="N311" s="758"/>
      <c r="O311" s="758"/>
      <c r="P311" s="758"/>
      <c r="Q311" s="758"/>
      <c r="R311" s="758"/>
      <c r="S311" s="758"/>
      <c r="T311" s="758"/>
      <c r="U311" s="758"/>
      <c r="V311" s="758"/>
      <c r="W311" s="758"/>
      <c r="X311" s="758"/>
      <c r="Y311" s="758"/>
      <c r="Z311" s="758"/>
    </row>
    <row r="312" spans="3:26">
      <c r="C312" s="758"/>
      <c r="D312" s="758"/>
      <c r="E312" s="758"/>
      <c r="F312" s="758"/>
      <c r="G312" s="758"/>
      <c r="H312" s="758"/>
      <c r="I312" s="758"/>
      <c r="J312" s="758"/>
      <c r="K312" s="758"/>
      <c r="L312" s="758"/>
      <c r="M312" s="758"/>
      <c r="N312" s="758"/>
      <c r="O312" s="758"/>
      <c r="P312" s="758"/>
      <c r="Q312" s="758"/>
      <c r="R312" s="758"/>
      <c r="S312" s="758"/>
      <c r="T312" s="758"/>
      <c r="U312" s="758"/>
      <c r="V312" s="758"/>
      <c r="W312" s="758"/>
      <c r="X312" s="758"/>
      <c r="Y312" s="758"/>
      <c r="Z312" s="758"/>
    </row>
    <row r="313" spans="3:26">
      <c r="C313" s="758"/>
      <c r="D313" s="758"/>
      <c r="E313" s="758"/>
      <c r="F313" s="758"/>
      <c r="G313" s="758"/>
      <c r="H313" s="758"/>
      <c r="I313" s="758"/>
      <c r="J313" s="758"/>
      <c r="K313" s="758"/>
      <c r="L313" s="758"/>
      <c r="M313" s="758"/>
      <c r="N313" s="758"/>
      <c r="O313" s="758"/>
      <c r="P313" s="758"/>
      <c r="Q313" s="758"/>
      <c r="R313" s="758"/>
      <c r="S313" s="758"/>
      <c r="T313" s="758"/>
      <c r="U313" s="758"/>
      <c r="V313" s="758"/>
      <c r="W313" s="758"/>
      <c r="X313" s="758"/>
      <c r="Y313" s="758"/>
      <c r="Z313" s="758"/>
    </row>
    <row r="314" spans="3:26">
      <c r="C314" s="758"/>
      <c r="D314" s="758"/>
      <c r="E314" s="758"/>
      <c r="F314" s="758"/>
      <c r="G314" s="758"/>
      <c r="H314" s="758"/>
      <c r="I314" s="758"/>
      <c r="J314" s="758"/>
      <c r="K314" s="758"/>
      <c r="L314" s="758"/>
      <c r="M314" s="758"/>
      <c r="N314" s="758"/>
      <c r="O314" s="758"/>
      <c r="P314" s="758"/>
      <c r="Q314" s="758"/>
      <c r="R314" s="758"/>
      <c r="S314" s="758"/>
    </row>
    <row r="315" spans="3:26">
      <c r="C315" s="758"/>
      <c r="D315" s="758"/>
      <c r="E315" s="758"/>
      <c r="F315" s="758"/>
      <c r="G315" s="758"/>
      <c r="H315" s="758"/>
      <c r="I315" s="758"/>
      <c r="J315" s="758"/>
      <c r="K315" s="758"/>
      <c r="L315" s="758"/>
      <c r="M315" s="758"/>
      <c r="N315" s="758"/>
      <c r="O315" s="758"/>
      <c r="P315" s="758"/>
      <c r="Q315" s="758"/>
      <c r="R315" s="758"/>
      <c r="S315" s="758"/>
    </row>
    <row r="316" spans="3:26">
      <c r="C316" s="758"/>
      <c r="D316" s="758"/>
      <c r="E316" s="758"/>
      <c r="F316" s="758"/>
      <c r="G316" s="758"/>
      <c r="H316" s="758"/>
      <c r="I316" s="758"/>
      <c r="J316" s="758"/>
      <c r="K316" s="758"/>
      <c r="L316" s="758"/>
      <c r="M316" s="758"/>
      <c r="N316" s="758"/>
      <c r="O316" s="758"/>
      <c r="P316" s="758"/>
      <c r="Q316" s="758"/>
      <c r="R316" s="758"/>
      <c r="S316" s="758"/>
    </row>
    <row r="317" spans="3:26">
      <c r="C317" s="758"/>
      <c r="D317" s="758"/>
      <c r="E317" s="758"/>
      <c r="F317" s="758"/>
      <c r="G317" s="758"/>
      <c r="H317" s="758"/>
      <c r="I317" s="758"/>
      <c r="J317" s="758"/>
      <c r="K317" s="758"/>
      <c r="L317" s="758"/>
      <c r="M317" s="758"/>
      <c r="N317" s="758"/>
      <c r="O317" s="758"/>
      <c r="P317" s="758"/>
      <c r="Q317" s="758"/>
      <c r="R317" s="758"/>
      <c r="S317" s="758"/>
    </row>
    <row r="318" spans="3:26">
      <c r="C318" s="758"/>
      <c r="D318" s="758"/>
      <c r="E318" s="758"/>
      <c r="F318" s="758"/>
      <c r="G318" s="758"/>
      <c r="H318" s="758"/>
      <c r="I318" s="758"/>
      <c r="J318" s="758"/>
      <c r="K318" s="758"/>
      <c r="L318" s="758"/>
      <c r="M318" s="758"/>
      <c r="N318" s="758"/>
      <c r="O318" s="758"/>
      <c r="P318" s="758"/>
      <c r="Q318" s="758"/>
      <c r="R318" s="758"/>
      <c r="S318" s="758"/>
    </row>
    <row r="319" spans="3:26">
      <c r="C319" s="758"/>
      <c r="D319" s="758"/>
      <c r="E319" s="758"/>
      <c r="F319" s="758"/>
      <c r="G319" s="758"/>
      <c r="H319" s="758"/>
      <c r="I319" s="758"/>
      <c r="J319" s="758"/>
      <c r="K319" s="758"/>
      <c r="L319" s="758"/>
      <c r="M319" s="758"/>
      <c r="N319" s="758"/>
      <c r="O319" s="758"/>
      <c r="P319" s="758"/>
      <c r="Q319" s="758"/>
      <c r="R319" s="758"/>
      <c r="S319" s="758"/>
    </row>
    <row r="320" spans="3:26">
      <c r="C320" s="758"/>
      <c r="D320" s="758"/>
      <c r="E320" s="758"/>
      <c r="F320" s="758"/>
      <c r="G320" s="758"/>
      <c r="H320" s="758"/>
      <c r="I320" s="758"/>
      <c r="J320" s="758"/>
      <c r="K320" s="758"/>
      <c r="L320" s="758"/>
      <c r="M320" s="758"/>
      <c r="N320" s="758"/>
      <c r="O320" s="758"/>
      <c r="P320" s="758"/>
      <c r="Q320" s="758"/>
      <c r="R320" s="758"/>
      <c r="S320" s="758"/>
    </row>
    <row r="321" spans="3:19">
      <c r="C321" s="758"/>
      <c r="D321" s="758"/>
      <c r="E321" s="758"/>
      <c r="F321" s="758"/>
      <c r="G321" s="758"/>
      <c r="H321" s="758"/>
      <c r="I321" s="758"/>
      <c r="J321" s="758"/>
      <c r="K321" s="758"/>
      <c r="L321" s="758"/>
      <c r="M321" s="758"/>
      <c r="N321" s="758"/>
      <c r="O321" s="758"/>
      <c r="P321" s="758"/>
      <c r="Q321" s="758"/>
      <c r="R321" s="758"/>
      <c r="S321" s="758"/>
    </row>
  </sheetData>
  <mergeCells count="14">
    <mergeCell ref="C125:S125"/>
    <mergeCell ref="C126:S126"/>
    <mergeCell ref="C122:S122"/>
    <mergeCell ref="C121:S121"/>
    <mergeCell ref="C127:O127"/>
    <mergeCell ref="C124:S124"/>
    <mergeCell ref="C120:S120"/>
    <mergeCell ref="C115:S115"/>
    <mergeCell ref="C117:S117"/>
    <mergeCell ref="C113:S113"/>
    <mergeCell ref="C114:S114"/>
    <mergeCell ref="C118:S118"/>
    <mergeCell ref="C119:S119"/>
    <mergeCell ref="C116:S116"/>
  </mergeCells>
  <printOptions horizontalCentered="1"/>
  <pageMargins left="0.25" right="0.25" top="0.77" bottom="0.75" header="0.25" footer="0.25"/>
  <pageSetup scale="33" fitToHeight="0" orientation="landscape" horizontalDpi="300" verticalDpi="300" r:id="rId1"/>
  <headerFooter alignWithMargins="0">
    <oddFooter>&amp;RV33
EFF 01.01.24</oddFooter>
  </headerFooter>
  <rowBreaks count="1" manualBreakCount="1">
    <brk id="58"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7360A-B774-4CFB-B216-1E64B397AE13}">
  <sheetPr codeName="Sheet18">
    <pageSetUpPr fitToPage="1"/>
  </sheetPr>
  <dimension ref="A1:Q133"/>
  <sheetViews>
    <sheetView showGridLines="0" zoomScaleNormal="100" zoomScaleSheetLayoutView="100" workbookViewId="0">
      <pane xSplit="3" ySplit="9" topLeftCell="D10" activePane="bottomRight" state="frozen"/>
      <selection activeCell="I78" sqref="I78"/>
      <selection pane="topRight" activeCell="I78" sqref="I78"/>
      <selection pane="bottomLeft" activeCell="I78" sqref="I78"/>
      <selection pane="bottomRight" activeCell="I21" sqref="I21"/>
    </sheetView>
  </sheetViews>
  <sheetFormatPr defaultColWidth="9.140625" defaultRowHeight="12.75" outlineLevelRow="1"/>
  <cols>
    <col min="1" max="1" width="10.140625" style="82" bestFit="1" customWidth="1"/>
    <col min="2" max="2" width="21.28515625" style="82" customWidth="1"/>
    <col min="3" max="3" width="32.85546875" style="82" customWidth="1"/>
    <col min="4" max="15" width="13.85546875" style="82" customWidth="1"/>
    <col min="16" max="16" width="3.42578125" style="82" customWidth="1"/>
    <col min="17" max="23" width="13.85546875" style="82" customWidth="1"/>
    <col min="24" max="16384" width="9.140625" style="82"/>
  </cols>
  <sheetData>
    <row r="1" spans="2:15" s="136" customFormat="1" ht="18">
      <c r="B1" s="212" t="s">
        <v>647</v>
      </c>
    </row>
    <row r="2" spans="2:15">
      <c r="B2" s="112"/>
    </row>
    <row r="3" spans="2:15">
      <c r="B3" s="211" t="s">
        <v>559</v>
      </c>
      <c r="C3" s="503">
        <v>2026</v>
      </c>
      <c r="D3" s="209"/>
      <c r="E3" s="209"/>
      <c r="F3" s="209"/>
      <c r="H3" s="209"/>
      <c r="I3" s="209"/>
      <c r="J3" s="209"/>
    </row>
    <row r="4" spans="2:15">
      <c r="B4" s="112"/>
      <c r="C4" s="209"/>
      <c r="D4" s="209"/>
      <c r="E4" s="209"/>
      <c r="F4" s="209"/>
      <c r="H4" s="209"/>
      <c r="I4" s="209"/>
      <c r="J4" s="209"/>
    </row>
    <row r="5" spans="2:15">
      <c r="B5" s="211" t="s">
        <v>558</v>
      </c>
      <c r="C5" s="210" t="s">
        <v>555</v>
      </c>
      <c r="D5" s="209"/>
      <c r="E5" s="209"/>
      <c r="F5" s="209"/>
      <c r="H5" s="209"/>
      <c r="I5" s="209"/>
      <c r="J5" s="209"/>
    </row>
    <row r="6" spans="2:15">
      <c r="B6" s="112"/>
      <c r="C6" s="209"/>
      <c r="D6" s="208"/>
      <c r="E6" s="83"/>
      <c r="F6" s="83"/>
      <c r="G6" s="83"/>
      <c r="H6" s="83"/>
      <c r="I6" s="83"/>
      <c r="J6" s="83"/>
      <c r="K6" s="83"/>
      <c r="L6" s="83"/>
      <c r="M6" s="83"/>
      <c r="N6" s="83"/>
      <c r="O6" s="83"/>
    </row>
    <row r="7" spans="2:15">
      <c r="B7" s="206"/>
      <c r="C7" s="504" t="s">
        <v>557</v>
      </c>
      <c r="D7" s="207">
        <v>2844</v>
      </c>
      <c r="E7" s="207">
        <v>3127</v>
      </c>
      <c r="F7" s="207">
        <v>23408</v>
      </c>
      <c r="G7" s="207">
        <v>23372</v>
      </c>
      <c r="H7" s="207">
        <v>50559</v>
      </c>
      <c r="I7" s="207">
        <v>50562</v>
      </c>
      <c r="J7" s="207">
        <v>50563</v>
      </c>
      <c r="K7" s="207"/>
      <c r="L7" s="207"/>
      <c r="M7" s="207"/>
      <c r="N7" s="207"/>
      <c r="O7" s="207"/>
    </row>
    <row r="8" spans="2:15">
      <c r="B8" s="206"/>
      <c r="C8" s="504" t="s">
        <v>556</v>
      </c>
      <c r="D8" s="129" t="s">
        <v>555</v>
      </c>
      <c r="E8" s="129" t="s">
        <v>555</v>
      </c>
      <c r="F8" s="129" t="s">
        <v>555</v>
      </c>
      <c r="G8" s="129" t="s">
        <v>555</v>
      </c>
      <c r="H8" s="129" t="s">
        <v>555</v>
      </c>
      <c r="I8" s="129" t="s">
        <v>555</v>
      </c>
      <c r="J8" s="129" t="s">
        <v>555</v>
      </c>
      <c r="K8" s="129" t="s">
        <v>555</v>
      </c>
      <c r="L8" s="129" t="s">
        <v>555</v>
      </c>
      <c r="M8" s="129" t="s">
        <v>555</v>
      </c>
      <c r="N8" s="129" t="s">
        <v>555</v>
      </c>
      <c r="O8" s="129" t="s">
        <v>555</v>
      </c>
    </row>
    <row r="9" spans="2:15" ht="15" customHeight="1">
      <c r="B9" s="206"/>
      <c r="C9" s="504" t="s">
        <v>554</v>
      </c>
      <c r="D9" s="205" t="s">
        <v>646</v>
      </c>
      <c r="E9" s="205" t="s">
        <v>646</v>
      </c>
      <c r="F9" s="205" t="s">
        <v>646</v>
      </c>
      <c r="G9" s="205" t="s">
        <v>646</v>
      </c>
      <c r="H9" s="205" t="s">
        <v>646</v>
      </c>
      <c r="I9" s="205" t="s">
        <v>646</v>
      </c>
      <c r="J9" s="205" t="s">
        <v>646</v>
      </c>
      <c r="K9" s="205" t="s">
        <v>646</v>
      </c>
      <c r="L9" s="205" t="s">
        <v>646</v>
      </c>
      <c r="M9" s="205" t="s">
        <v>646</v>
      </c>
      <c r="N9" s="205" t="s">
        <v>646</v>
      </c>
      <c r="O9" s="205" t="s">
        <v>646</v>
      </c>
    </row>
    <row r="10" spans="2:15">
      <c r="B10" s="128" t="s">
        <v>552</v>
      </c>
      <c r="C10" s="555">
        <v>45992</v>
      </c>
      <c r="D10" s="95">
        <f t="shared" ref="D10:O10" si="0">D73+D88</f>
        <v>33509843.039999999</v>
      </c>
      <c r="E10" s="96">
        <f t="shared" si="0"/>
        <v>550931997.56190002</v>
      </c>
      <c r="F10" s="97">
        <f t="shared" si="0"/>
        <v>15086137.449999999</v>
      </c>
      <c r="G10" s="94">
        <f t="shared" si="0"/>
        <v>1358783.7999999998</v>
      </c>
      <c r="H10" s="97">
        <f t="shared" si="0"/>
        <v>0</v>
      </c>
      <c r="I10" s="94">
        <f t="shared" si="0"/>
        <v>0</v>
      </c>
      <c r="J10" s="97">
        <f t="shared" si="0"/>
        <v>0</v>
      </c>
      <c r="K10" s="94">
        <f t="shared" si="0"/>
        <v>0</v>
      </c>
      <c r="L10" s="97">
        <f t="shared" si="0"/>
        <v>0</v>
      </c>
      <c r="M10" s="94">
        <f t="shared" si="0"/>
        <v>0</v>
      </c>
      <c r="N10" s="97">
        <f t="shared" si="0"/>
        <v>0</v>
      </c>
      <c r="O10" s="94">
        <f t="shared" si="0"/>
        <v>0</v>
      </c>
    </row>
    <row r="11" spans="2:15">
      <c r="B11" s="119" t="s">
        <v>551</v>
      </c>
      <c r="C11" s="556">
        <v>46023</v>
      </c>
      <c r="D11" s="89">
        <f t="shared" ref="D11:O22" si="1">D74+D89</f>
        <v>33509843.039999999</v>
      </c>
      <c r="E11" s="90">
        <f t="shared" si="1"/>
        <v>550994535.86500001</v>
      </c>
      <c r="F11" s="91">
        <f t="shared" si="1"/>
        <v>34738845.759999998</v>
      </c>
      <c r="G11" s="88">
        <f t="shared" si="1"/>
        <v>1465954.64</v>
      </c>
      <c r="H11" s="91">
        <f t="shared" si="1"/>
        <v>0</v>
      </c>
      <c r="I11" s="88">
        <f t="shared" si="1"/>
        <v>0</v>
      </c>
      <c r="J11" s="91">
        <f t="shared" si="1"/>
        <v>0</v>
      </c>
      <c r="K11" s="88">
        <f t="shared" si="1"/>
        <v>0</v>
      </c>
      <c r="L11" s="91">
        <f t="shared" si="1"/>
        <v>0</v>
      </c>
      <c r="M11" s="88">
        <f t="shared" si="1"/>
        <v>0</v>
      </c>
      <c r="N11" s="91">
        <f t="shared" si="1"/>
        <v>0</v>
      </c>
      <c r="O11" s="88">
        <f t="shared" si="1"/>
        <v>0</v>
      </c>
    </row>
    <row r="12" spans="2:15">
      <c r="B12" s="119"/>
      <c r="C12" s="557">
        <v>46054</v>
      </c>
      <c r="D12" s="89">
        <f t="shared" si="1"/>
        <v>33509843.039999999</v>
      </c>
      <c r="E12" s="90">
        <f t="shared" si="1"/>
        <v>551443329.28279996</v>
      </c>
      <c r="F12" s="91">
        <f t="shared" si="1"/>
        <v>36761848.949999996</v>
      </c>
      <c r="G12" s="88">
        <f t="shared" si="1"/>
        <v>1576343.7999999998</v>
      </c>
      <c r="H12" s="91">
        <f t="shared" si="1"/>
        <v>0</v>
      </c>
      <c r="I12" s="88">
        <f t="shared" si="1"/>
        <v>0</v>
      </c>
      <c r="J12" s="91">
        <f t="shared" si="1"/>
        <v>0</v>
      </c>
      <c r="K12" s="88">
        <f t="shared" si="1"/>
        <v>0</v>
      </c>
      <c r="L12" s="91">
        <f t="shared" si="1"/>
        <v>0</v>
      </c>
      <c r="M12" s="88">
        <f t="shared" si="1"/>
        <v>0</v>
      </c>
      <c r="N12" s="91">
        <f t="shared" si="1"/>
        <v>0</v>
      </c>
      <c r="O12" s="88">
        <f t="shared" si="1"/>
        <v>0</v>
      </c>
    </row>
    <row r="13" spans="2:15">
      <c r="B13" s="119"/>
      <c r="C13" s="557">
        <v>46082</v>
      </c>
      <c r="D13" s="89">
        <f t="shared" si="1"/>
        <v>33509843.039999999</v>
      </c>
      <c r="E13" s="90">
        <f t="shared" si="1"/>
        <v>552339711.68789995</v>
      </c>
      <c r="F13" s="91">
        <f t="shared" si="1"/>
        <v>39718625.379999995</v>
      </c>
      <c r="G13" s="88">
        <f t="shared" si="1"/>
        <v>1687834.48</v>
      </c>
      <c r="H13" s="91">
        <f t="shared" si="1"/>
        <v>0</v>
      </c>
      <c r="I13" s="88">
        <f t="shared" si="1"/>
        <v>0</v>
      </c>
      <c r="J13" s="91">
        <f t="shared" si="1"/>
        <v>0</v>
      </c>
      <c r="K13" s="88">
        <f t="shared" si="1"/>
        <v>0</v>
      </c>
      <c r="L13" s="91">
        <f t="shared" si="1"/>
        <v>0</v>
      </c>
      <c r="M13" s="88">
        <f t="shared" si="1"/>
        <v>0</v>
      </c>
      <c r="N13" s="91">
        <f t="shared" si="1"/>
        <v>0</v>
      </c>
      <c r="O13" s="88">
        <f t="shared" si="1"/>
        <v>0</v>
      </c>
    </row>
    <row r="14" spans="2:15">
      <c r="B14" s="119"/>
      <c r="C14" s="557">
        <v>46113</v>
      </c>
      <c r="D14" s="89">
        <f t="shared" si="1"/>
        <v>33509843.039999999</v>
      </c>
      <c r="E14" s="90">
        <f t="shared" si="1"/>
        <v>552339711.68789995</v>
      </c>
      <c r="F14" s="91">
        <f t="shared" si="1"/>
        <v>46328717.5</v>
      </c>
      <c r="G14" s="88">
        <f t="shared" si="1"/>
        <v>1790716.8399999999</v>
      </c>
      <c r="H14" s="91">
        <f t="shared" si="1"/>
        <v>0</v>
      </c>
      <c r="I14" s="88">
        <f t="shared" si="1"/>
        <v>0</v>
      </c>
      <c r="J14" s="91">
        <f t="shared" si="1"/>
        <v>0</v>
      </c>
      <c r="K14" s="88">
        <f t="shared" si="1"/>
        <v>0</v>
      </c>
      <c r="L14" s="91">
        <f t="shared" si="1"/>
        <v>0</v>
      </c>
      <c r="M14" s="88">
        <f t="shared" si="1"/>
        <v>0</v>
      </c>
      <c r="N14" s="91">
        <f t="shared" si="1"/>
        <v>0</v>
      </c>
      <c r="O14" s="88">
        <f t="shared" si="1"/>
        <v>0</v>
      </c>
    </row>
    <row r="15" spans="2:15">
      <c r="B15" s="119"/>
      <c r="C15" s="557">
        <v>46143</v>
      </c>
      <c r="D15" s="89">
        <f t="shared" si="1"/>
        <v>33509843.039999999</v>
      </c>
      <c r="E15" s="90">
        <f t="shared" si="1"/>
        <v>552339711.68789995</v>
      </c>
      <c r="F15" s="91">
        <f t="shared" si="1"/>
        <v>53261970.950000003</v>
      </c>
      <c r="G15" s="88">
        <f t="shared" si="1"/>
        <v>1902095.7999999998</v>
      </c>
      <c r="H15" s="91">
        <f t="shared" si="1"/>
        <v>0</v>
      </c>
      <c r="I15" s="88">
        <f t="shared" si="1"/>
        <v>0</v>
      </c>
      <c r="J15" s="91">
        <f t="shared" si="1"/>
        <v>0</v>
      </c>
      <c r="K15" s="88">
        <f t="shared" si="1"/>
        <v>0</v>
      </c>
      <c r="L15" s="91">
        <f t="shared" si="1"/>
        <v>0</v>
      </c>
      <c r="M15" s="88">
        <f t="shared" si="1"/>
        <v>0</v>
      </c>
      <c r="N15" s="91">
        <f t="shared" si="1"/>
        <v>0</v>
      </c>
      <c r="O15" s="88">
        <f t="shared" si="1"/>
        <v>0</v>
      </c>
    </row>
    <row r="16" spans="2:15">
      <c r="B16" s="119"/>
      <c r="C16" s="557">
        <v>46174</v>
      </c>
      <c r="D16" s="89">
        <f t="shared" si="1"/>
        <v>33509843.039999999</v>
      </c>
      <c r="E16" s="90">
        <f t="shared" si="1"/>
        <v>552339711.68789995</v>
      </c>
      <c r="F16" s="91">
        <f t="shared" si="1"/>
        <v>61779833.019999996</v>
      </c>
      <c r="G16" s="88">
        <f t="shared" si="1"/>
        <v>1990768.16</v>
      </c>
      <c r="H16" s="91">
        <f t="shared" si="1"/>
        <v>0</v>
      </c>
      <c r="I16" s="88">
        <f t="shared" si="1"/>
        <v>0</v>
      </c>
      <c r="J16" s="91">
        <f t="shared" si="1"/>
        <v>0</v>
      </c>
      <c r="K16" s="88">
        <f t="shared" si="1"/>
        <v>0</v>
      </c>
      <c r="L16" s="91">
        <f t="shared" si="1"/>
        <v>0</v>
      </c>
      <c r="M16" s="88">
        <f t="shared" si="1"/>
        <v>0</v>
      </c>
      <c r="N16" s="91">
        <f t="shared" si="1"/>
        <v>0</v>
      </c>
      <c r="O16" s="88">
        <f t="shared" si="1"/>
        <v>0</v>
      </c>
    </row>
    <row r="17" spans="2:17">
      <c r="B17" s="119"/>
      <c r="C17" s="557">
        <v>46204</v>
      </c>
      <c r="D17" s="89">
        <f t="shared" si="1"/>
        <v>33509843.039999999</v>
      </c>
      <c r="E17" s="90">
        <f t="shared" si="1"/>
        <v>552339711.68789995</v>
      </c>
      <c r="F17" s="91">
        <f t="shared" si="1"/>
        <v>72925017.090000004</v>
      </c>
      <c r="G17" s="88">
        <f t="shared" si="1"/>
        <v>2080420.5199999998</v>
      </c>
      <c r="H17" s="91">
        <f t="shared" si="1"/>
        <v>0</v>
      </c>
      <c r="I17" s="88">
        <f t="shared" si="1"/>
        <v>0</v>
      </c>
      <c r="J17" s="91">
        <f t="shared" si="1"/>
        <v>0</v>
      </c>
      <c r="K17" s="88">
        <f t="shared" si="1"/>
        <v>0</v>
      </c>
      <c r="L17" s="91">
        <f t="shared" si="1"/>
        <v>0</v>
      </c>
      <c r="M17" s="88">
        <f t="shared" si="1"/>
        <v>0</v>
      </c>
      <c r="N17" s="91">
        <f t="shared" si="1"/>
        <v>0</v>
      </c>
      <c r="O17" s="88">
        <f t="shared" si="1"/>
        <v>0</v>
      </c>
    </row>
    <row r="18" spans="2:17">
      <c r="B18" s="119"/>
      <c r="C18" s="557">
        <v>46235</v>
      </c>
      <c r="D18" s="89">
        <f t="shared" si="1"/>
        <v>33509843.039999999</v>
      </c>
      <c r="E18" s="90">
        <f t="shared" si="1"/>
        <v>552339711.68789995</v>
      </c>
      <c r="F18" s="91">
        <f t="shared" si="1"/>
        <v>88174611.399999991</v>
      </c>
      <c r="G18" s="88">
        <f t="shared" si="1"/>
        <v>2169092.88</v>
      </c>
      <c r="H18" s="91">
        <f t="shared" si="1"/>
        <v>0</v>
      </c>
      <c r="I18" s="88">
        <f t="shared" si="1"/>
        <v>0</v>
      </c>
      <c r="J18" s="91">
        <f t="shared" si="1"/>
        <v>0</v>
      </c>
      <c r="K18" s="88">
        <f t="shared" si="1"/>
        <v>0</v>
      </c>
      <c r="L18" s="91">
        <f t="shared" si="1"/>
        <v>0</v>
      </c>
      <c r="M18" s="88">
        <f t="shared" si="1"/>
        <v>0</v>
      </c>
      <c r="N18" s="91">
        <f t="shared" si="1"/>
        <v>0</v>
      </c>
      <c r="O18" s="88">
        <f t="shared" si="1"/>
        <v>0</v>
      </c>
    </row>
    <row r="19" spans="2:17">
      <c r="B19" s="119"/>
      <c r="C19" s="557">
        <v>46266</v>
      </c>
      <c r="D19" s="89">
        <f t="shared" si="1"/>
        <v>33509843.039999999</v>
      </c>
      <c r="E19" s="90">
        <f t="shared" si="1"/>
        <v>552339711.68789995</v>
      </c>
      <c r="F19" s="91">
        <f t="shared" si="1"/>
        <v>105597781.83000001</v>
      </c>
      <c r="G19" s="88">
        <f t="shared" si="1"/>
        <v>2258745.2399999993</v>
      </c>
      <c r="H19" s="91">
        <f t="shared" si="1"/>
        <v>0</v>
      </c>
      <c r="I19" s="88">
        <f t="shared" si="1"/>
        <v>0</v>
      </c>
      <c r="J19" s="91">
        <f t="shared" si="1"/>
        <v>0</v>
      </c>
      <c r="K19" s="88">
        <f t="shared" si="1"/>
        <v>0</v>
      </c>
      <c r="L19" s="91">
        <f t="shared" si="1"/>
        <v>0</v>
      </c>
      <c r="M19" s="88">
        <f t="shared" si="1"/>
        <v>0</v>
      </c>
      <c r="N19" s="91">
        <f t="shared" si="1"/>
        <v>0</v>
      </c>
      <c r="O19" s="88">
        <f t="shared" si="1"/>
        <v>0</v>
      </c>
    </row>
    <row r="20" spans="2:17">
      <c r="B20" s="119"/>
      <c r="C20" s="557">
        <v>46296</v>
      </c>
      <c r="D20" s="89">
        <f t="shared" si="1"/>
        <v>33509843.039999999</v>
      </c>
      <c r="E20" s="90">
        <f t="shared" si="1"/>
        <v>552339711.68789995</v>
      </c>
      <c r="F20" s="91">
        <f t="shared" si="1"/>
        <v>149685914.86000001</v>
      </c>
      <c r="G20" s="88">
        <f t="shared" si="1"/>
        <v>2415037.5999999996</v>
      </c>
      <c r="H20" s="91">
        <f t="shared" si="1"/>
        <v>0</v>
      </c>
      <c r="I20" s="88">
        <f t="shared" si="1"/>
        <v>8930539.6000000015</v>
      </c>
      <c r="J20" s="91">
        <f t="shared" si="1"/>
        <v>0</v>
      </c>
      <c r="K20" s="88">
        <f t="shared" si="1"/>
        <v>0</v>
      </c>
      <c r="L20" s="91">
        <f t="shared" si="1"/>
        <v>0</v>
      </c>
      <c r="M20" s="88">
        <f t="shared" si="1"/>
        <v>0</v>
      </c>
      <c r="N20" s="91">
        <f t="shared" si="1"/>
        <v>0</v>
      </c>
      <c r="O20" s="88">
        <f t="shared" si="1"/>
        <v>0</v>
      </c>
    </row>
    <row r="21" spans="2:17">
      <c r="B21" s="119"/>
      <c r="C21" s="557">
        <v>46327</v>
      </c>
      <c r="D21" s="89">
        <f t="shared" si="1"/>
        <v>33509843.039999999</v>
      </c>
      <c r="E21" s="90">
        <f t="shared" si="1"/>
        <v>552339711.68789995</v>
      </c>
      <c r="F21" s="91">
        <f t="shared" si="1"/>
        <v>168430604.60000002</v>
      </c>
      <c r="G21" s="88">
        <f t="shared" si="1"/>
        <v>2528777.38</v>
      </c>
      <c r="H21" s="91">
        <f t="shared" si="1"/>
        <v>0</v>
      </c>
      <c r="I21" s="88">
        <f t="shared" si="1"/>
        <v>9621025.6699999999</v>
      </c>
      <c r="J21" s="91">
        <f t="shared" si="1"/>
        <v>0</v>
      </c>
      <c r="K21" s="88">
        <f t="shared" si="1"/>
        <v>0</v>
      </c>
      <c r="L21" s="91">
        <f t="shared" si="1"/>
        <v>0</v>
      </c>
      <c r="M21" s="88">
        <f t="shared" si="1"/>
        <v>0</v>
      </c>
      <c r="N21" s="91">
        <f t="shared" si="1"/>
        <v>0</v>
      </c>
      <c r="O21" s="88">
        <f t="shared" si="1"/>
        <v>0</v>
      </c>
    </row>
    <row r="22" spans="2:17">
      <c r="B22" s="93"/>
      <c r="C22" s="558">
        <v>46357</v>
      </c>
      <c r="D22" s="118">
        <f t="shared" si="1"/>
        <v>33509843.039999999</v>
      </c>
      <c r="E22" s="117">
        <f t="shared" si="1"/>
        <v>567557056.98790002</v>
      </c>
      <c r="F22" s="127">
        <f t="shared" si="1"/>
        <v>191087812.45000002</v>
      </c>
      <c r="G22" s="126">
        <f t="shared" si="1"/>
        <v>2686432.92</v>
      </c>
      <c r="H22" s="127">
        <f t="shared" si="1"/>
        <v>0</v>
      </c>
      <c r="I22" s="126">
        <f t="shared" si="1"/>
        <v>14173734.57</v>
      </c>
      <c r="J22" s="127">
        <f t="shared" si="1"/>
        <v>0</v>
      </c>
      <c r="K22" s="126">
        <f t="shared" si="1"/>
        <v>0</v>
      </c>
      <c r="L22" s="127">
        <f t="shared" si="1"/>
        <v>0</v>
      </c>
      <c r="M22" s="126">
        <f t="shared" si="1"/>
        <v>0</v>
      </c>
      <c r="N22" s="127">
        <f t="shared" si="1"/>
        <v>0</v>
      </c>
      <c r="O22" s="126">
        <f t="shared" si="1"/>
        <v>0</v>
      </c>
    </row>
    <row r="23" spans="2:17">
      <c r="B23" s="104"/>
      <c r="C23" s="111" t="s">
        <v>546</v>
      </c>
      <c r="D23" s="113">
        <f t="shared" ref="D23:O23" si="2">AVERAGE(D10:D22)</f>
        <v>33509843.040000003</v>
      </c>
      <c r="E23" s="113">
        <f t="shared" si="2"/>
        <v>553229563.4529767</v>
      </c>
      <c r="F23" s="113">
        <f t="shared" si="2"/>
        <v>81813670.864615396</v>
      </c>
      <c r="G23" s="113">
        <f t="shared" si="2"/>
        <v>1993154.1584615381</v>
      </c>
      <c r="H23" s="113">
        <f t="shared" si="2"/>
        <v>0</v>
      </c>
      <c r="I23" s="113">
        <f t="shared" si="2"/>
        <v>2517330.7569230772</v>
      </c>
      <c r="J23" s="113">
        <f t="shared" si="2"/>
        <v>0</v>
      </c>
      <c r="K23" s="113">
        <f t="shared" si="2"/>
        <v>0</v>
      </c>
      <c r="L23" s="113">
        <f t="shared" si="2"/>
        <v>0</v>
      </c>
      <c r="M23" s="113">
        <f t="shared" si="2"/>
        <v>0</v>
      </c>
      <c r="N23" s="113">
        <f t="shared" si="2"/>
        <v>0</v>
      </c>
      <c r="O23" s="114">
        <f t="shared" si="2"/>
        <v>0</v>
      </c>
      <c r="Q23" s="985">
        <f>ROUND(SUM(D23:O23),0)-ROUND('ATC Attach MM ER24-224'!E99,0)</f>
        <v>0</v>
      </c>
    </row>
    <row r="24" spans="2:17">
      <c r="B24" s="104"/>
      <c r="C24" s="111"/>
      <c r="D24" s="111"/>
      <c r="E24" s="111"/>
      <c r="F24" s="111"/>
      <c r="G24" s="111"/>
      <c r="H24" s="111"/>
      <c r="I24" s="111"/>
      <c r="J24" s="111"/>
      <c r="K24" s="111"/>
      <c r="L24" s="111"/>
      <c r="M24" s="111"/>
    </row>
    <row r="25" spans="2:17">
      <c r="B25" s="104"/>
      <c r="C25" s="111"/>
      <c r="D25" s="111"/>
      <c r="E25" s="111"/>
      <c r="F25" s="111"/>
      <c r="G25" s="111"/>
      <c r="H25" s="111"/>
      <c r="I25" s="111"/>
      <c r="J25" s="111"/>
      <c r="K25" s="111"/>
      <c r="L25" s="111"/>
      <c r="M25" s="111"/>
    </row>
    <row r="26" spans="2:17">
      <c r="B26" s="128" t="s">
        <v>550</v>
      </c>
      <c r="C26" s="555">
        <v>45992</v>
      </c>
      <c r="D26" s="95">
        <f t="shared" ref="D26:O38" si="3">+D10-D43</f>
        <v>8698447.8389186673</v>
      </c>
      <c r="E26" s="96">
        <f t="shared" si="3"/>
        <v>58686346.302882254</v>
      </c>
      <c r="F26" s="97">
        <f t="shared" si="3"/>
        <v>0</v>
      </c>
      <c r="G26" s="94">
        <f t="shared" si="3"/>
        <v>13923.95824099984</v>
      </c>
      <c r="H26" s="97">
        <f t="shared" si="3"/>
        <v>0</v>
      </c>
      <c r="I26" s="94">
        <f t="shared" si="3"/>
        <v>0</v>
      </c>
      <c r="J26" s="97">
        <f t="shared" si="3"/>
        <v>0</v>
      </c>
      <c r="K26" s="94">
        <f t="shared" si="3"/>
        <v>0</v>
      </c>
      <c r="L26" s="97">
        <f t="shared" si="3"/>
        <v>0</v>
      </c>
      <c r="M26" s="94">
        <f t="shared" si="3"/>
        <v>0</v>
      </c>
      <c r="N26" s="97">
        <f t="shared" si="3"/>
        <v>0</v>
      </c>
      <c r="O26" s="94">
        <f t="shared" si="3"/>
        <v>0</v>
      </c>
    </row>
    <row r="27" spans="2:17">
      <c r="B27" s="119" t="s">
        <v>549</v>
      </c>
      <c r="C27" s="556">
        <v>46023</v>
      </c>
      <c r="D27" s="89">
        <f t="shared" si="3"/>
        <v>8756769.3387384452</v>
      </c>
      <c r="E27" s="90">
        <f t="shared" si="3"/>
        <v>59683469.982709885</v>
      </c>
      <c r="F27" s="91">
        <f t="shared" ref="F27:O27" si="4">+F11-F44</f>
        <v>8672.7818261682987</v>
      </c>
      <c r="G27" s="88">
        <f t="shared" si="4"/>
        <v>16244.61794783338</v>
      </c>
      <c r="H27" s="91">
        <f t="shared" si="4"/>
        <v>0</v>
      </c>
      <c r="I27" s="88">
        <f t="shared" si="4"/>
        <v>0</v>
      </c>
      <c r="J27" s="91">
        <f t="shared" si="4"/>
        <v>0</v>
      </c>
      <c r="K27" s="88">
        <f t="shared" si="4"/>
        <v>0</v>
      </c>
      <c r="L27" s="91">
        <f t="shared" si="4"/>
        <v>0</v>
      </c>
      <c r="M27" s="88">
        <f t="shared" si="4"/>
        <v>0</v>
      </c>
      <c r="N27" s="91">
        <f t="shared" si="4"/>
        <v>0</v>
      </c>
      <c r="O27" s="88">
        <f t="shared" si="4"/>
        <v>0</v>
      </c>
    </row>
    <row r="28" spans="2:17">
      <c r="B28" s="119"/>
      <c r="C28" s="557">
        <v>46054</v>
      </c>
      <c r="D28" s="89">
        <f t="shared" si="3"/>
        <v>8815090.8385582231</v>
      </c>
      <c r="E28" s="90">
        <f t="shared" si="3"/>
        <v>60681353.961671352</v>
      </c>
      <c r="F28" s="91">
        <f t="shared" ref="F28:O28" si="5">+F12-F45</f>
        <v>17345.563652329147</v>
      </c>
      <c r="G28" s="88">
        <f t="shared" si="5"/>
        <v>18565.277654666686</v>
      </c>
      <c r="H28" s="91">
        <f t="shared" si="5"/>
        <v>0</v>
      </c>
      <c r="I28" s="88">
        <f t="shared" si="5"/>
        <v>0</v>
      </c>
      <c r="J28" s="91">
        <f t="shared" si="5"/>
        <v>0</v>
      </c>
      <c r="K28" s="88">
        <f t="shared" si="5"/>
        <v>0</v>
      </c>
      <c r="L28" s="91">
        <f t="shared" si="5"/>
        <v>0</v>
      </c>
      <c r="M28" s="88">
        <f t="shared" si="5"/>
        <v>0</v>
      </c>
      <c r="N28" s="91">
        <f t="shared" si="5"/>
        <v>0</v>
      </c>
      <c r="O28" s="88">
        <f t="shared" si="5"/>
        <v>0</v>
      </c>
    </row>
    <row r="29" spans="2:17">
      <c r="B29" s="119"/>
      <c r="C29" s="557">
        <v>46082</v>
      </c>
      <c r="D29" s="89">
        <f t="shared" si="3"/>
        <v>8873412.338378001</v>
      </c>
      <c r="E29" s="90">
        <f t="shared" si="3"/>
        <v>61680756.498479784</v>
      </c>
      <c r="F29" s="91">
        <f t="shared" ref="F29:O29" si="6">+F13-F46</f>
        <v>26018.345478497446</v>
      </c>
      <c r="G29" s="88">
        <f t="shared" si="6"/>
        <v>20885.937361500226</v>
      </c>
      <c r="H29" s="91">
        <f t="shared" si="6"/>
        <v>0</v>
      </c>
      <c r="I29" s="88">
        <f t="shared" si="6"/>
        <v>0</v>
      </c>
      <c r="J29" s="91">
        <f t="shared" si="6"/>
        <v>0</v>
      </c>
      <c r="K29" s="88">
        <f t="shared" si="6"/>
        <v>0</v>
      </c>
      <c r="L29" s="91">
        <f t="shared" si="6"/>
        <v>0</v>
      </c>
      <c r="M29" s="88">
        <f t="shared" si="6"/>
        <v>0</v>
      </c>
      <c r="N29" s="91">
        <f t="shared" si="6"/>
        <v>0</v>
      </c>
      <c r="O29" s="88">
        <f t="shared" si="6"/>
        <v>0</v>
      </c>
    </row>
    <row r="30" spans="2:17">
      <c r="B30" s="119"/>
      <c r="C30" s="557">
        <v>46113</v>
      </c>
      <c r="D30" s="89">
        <f t="shared" si="3"/>
        <v>8931733.8381977789</v>
      </c>
      <c r="E30" s="90">
        <f t="shared" si="3"/>
        <v>62680159.035288215</v>
      </c>
      <c r="F30" s="91">
        <f t="shared" ref="F30:O30" si="7">+F14-F47</f>
        <v>34691.127304665744</v>
      </c>
      <c r="G30" s="88">
        <f t="shared" si="7"/>
        <v>23206.597068333067</v>
      </c>
      <c r="H30" s="91">
        <f t="shared" si="7"/>
        <v>0</v>
      </c>
      <c r="I30" s="88">
        <f t="shared" si="7"/>
        <v>0</v>
      </c>
      <c r="J30" s="91">
        <f t="shared" si="7"/>
        <v>0</v>
      </c>
      <c r="K30" s="88">
        <f t="shared" si="7"/>
        <v>0</v>
      </c>
      <c r="L30" s="91">
        <f t="shared" si="7"/>
        <v>0</v>
      </c>
      <c r="M30" s="88">
        <f t="shared" si="7"/>
        <v>0</v>
      </c>
      <c r="N30" s="91">
        <f t="shared" si="7"/>
        <v>0</v>
      </c>
      <c r="O30" s="88">
        <f t="shared" si="7"/>
        <v>0</v>
      </c>
    </row>
    <row r="31" spans="2:17">
      <c r="B31" s="119"/>
      <c r="C31" s="557">
        <v>46143</v>
      </c>
      <c r="D31" s="89">
        <f t="shared" si="3"/>
        <v>8990055.3380175568</v>
      </c>
      <c r="E31" s="90">
        <f t="shared" si="3"/>
        <v>63679561.572096705</v>
      </c>
      <c r="F31" s="91">
        <f t="shared" ref="F31:O31" si="8">+F15-F48</f>
        <v>43363.909130834043</v>
      </c>
      <c r="G31" s="88">
        <f t="shared" si="8"/>
        <v>25527.256775166607</v>
      </c>
      <c r="H31" s="91">
        <f t="shared" si="8"/>
        <v>0</v>
      </c>
      <c r="I31" s="88">
        <f t="shared" si="8"/>
        <v>0</v>
      </c>
      <c r="J31" s="91">
        <f t="shared" si="8"/>
        <v>0</v>
      </c>
      <c r="K31" s="88">
        <f t="shared" si="8"/>
        <v>0</v>
      </c>
      <c r="L31" s="91">
        <f t="shared" si="8"/>
        <v>0</v>
      </c>
      <c r="M31" s="88">
        <f t="shared" si="8"/>
        <v>0</v>
      </c>
      <c r="N31" s="91">
        <f t="shared" si="8"/>
        <v>0</v>
      </c>
      <c r="O31" s="88">
        <f t="shared" si="8"/>
        <v>0</v>
      </c>
    </row>
    <row r="32" spans="2:17">
      <c r="B32" s="119"/>
      <c r="C32" s="557">
        <v>46174</v>
      </c>
      <c r="D32" s="89">
        <f t="shared" si="3"/>
        <v>9048376.8378373347</v>
      </c>
      <c r="E32" s="90">
        <f t="shared" si="3"/>
        <v>64678964.108905196</v>
      </c>
      <c r="F32" s="91">
        <f t="shared" ref="F32:O32" si="9">+F16-F49</f>
        <v>52036.690957002342</v>
      </c>
      <c r="G32" s="88">
        <f t="shared" si="9"/>
        <v>27847.916481999913</v>
      </c>
      <c r="H32" s="91">
        <f t="shared" si="9"/>
        <v>0</v>
      </c>
      <c r="I32" s="88">
        <f t="shared" si="9"/>
        <v>0</v>
      </c>
      <c r="J32" s="91">
        <f t="shared" si="9"/>
        <v>0</v>
      </c>
      <c r="K32" s="88">
        <f t="shared" si="9"/>
        <v>0</v>
      </c>
      <c r="L32" s="91">
        <f t="shared" si="9"/>
        <v>0</v>
      </c>
      <c r="M32" s="88">
        <f t="shared" si="9"/>
        <v>0</v>
      </c>
      <c r="N32" s="91">
        <f t="shared" si="9"/>
        <v>0</v>
      </c>
      <c r="O32" s="88">
        <f t="shared" si="9"/>
        <v>0</v>
      </c>
    </row>
    <row r="33" spans="2:17">
      <c r="B33" s="119"/>
      <c r="C33" s="557">
        <v>46204</v>
      </c>
      <c r="D33" s="89">
        <f t="shared" si="3"/>
        <v>9106698.3376571126</v>
      </c>
      <c r="E33" s="90">
        <f t="shared" si="3"/>
        <v>65678366.645713687</v>
      </c>
      <c r="F33" s="91">
        <f t="shared" ref="F33:O33" si="10">+F17-F50</f>
        <v>60709.47278316319</v>
      </c>
      <c r="G33" s="88">
        <f t="shared" si="10"/>
        <v>30168.57618883322</v>
      </c>
      <c r="H33" s="91">
        <f t="shared" si="10"/>
        <v>0</v>
      </c>
      <c r="I33" s="88">
        <f t="shared" si="10"/>
        <v>0</v>
      </c>
      <c r="J33" s="91">
        <f t="shared" si="10"/>
        <v>0</v>
      </c>
      <c r="K33" s="88">
        <f t="shared" si="10"/>
        <v>0</v>
      </c>
      <c r="L33" s="91">
        <f t="shared" si="10"/>
        <v>0</v>
      </c>
      <c r="M33" s="88">
        <f t="shared" si="10"/>
        <v>0</v>
      </c>
      <c r="N33" s="91">
        <f t="shared" si="10"/>
        <v>0</v>
      </c>
      <c r="O33" s="88">
        <f t="shared" si="10"/>
        <v>0</v>
      </c>
    </row>
    <row r="34" spans="2:17">
      <c r="B34" s="119"/>
      <c r="C34" s="557">
        <v>46235</v>
      </c>
      <c r="D34" s="89">
        <f t="shared" si="3"/>
        <v>9165019.8374768905</v>
      </c>
      <c r="E34" s="90">
        <f t="shared" si="3"/>
        <v>66677769.182522178</v>
      </c>
      <c r="F34" s="91">
        <f t="shared" ref="F34:O34" si="11">+F18-F51</f>
        <v>69382.254609331489</v>
      </c>
      <c r="G34" s="88">
        <f t="shared" si="11"/>
        <v>32489.235895666759</v>
      </c>
      <c r="H34" s="91">
        <f t="shared" si="11"/>
        <v>0</v>
      </c>
      <c r="I34" s="88">
        <f t="shared" si="11"/>
        <v>0</v>
      </c>
      <c r="J34" s="91">
        <f t="shared" si="11"/>
        <v>0</v>
      </c>
      <c r="K34" s="88">
        <f t="shared" si="11"/>
        <v>0</v>
      </c>
      <c r="L34" s="91">
        <f t="shared" si="11"/>
        <v>0</v>
      </c>
      <c r="M34" s="88">
        <f t="shared" si="11"/>
        <v>0</v>
      </c>
      <c r="N34" s="91">
        <f t="shared" si="11"/>
        <v>0</v>
      </c>
      <c r="O34" s="88">
        <f t="shared" si="11"/>
        <v>0</v>
      </c>
    </row>
    <row r="35" spans="2:17">
      <c r="B35" s="119"/>
      <c r="C35" s="557">
        <v>46266</v>
      </c>
      <c r="D35" s="89">
        <f t="shared" si="3"/>
        <v>9223341.3372966684</v>
      </c>
      <c r="E35" s="90">
        <f t="shared" si="3"/>
        <v>67677171.719330668</v>
      </c>
      <c r="F35" s="91">
        <f t="shared" ref="F35:O35" si="12">+F19-F52</f>
        <v>78055.036435499787</v>
      </c>
      <c r="G35" s="88">
        <f t="shared" si="12"/>
        <v>34809.8956024996</v>
      </c>
      <c r="H35" s="91">
        <f t="shared" si="12"/>
        <v>0</v>
      </c>
      <c r="I35" s="88">
        <f t="shared" si="12"/>
        <v>0</v>
      </c>
      <c r="J35" s="91">
        <f t="shared" si="12"/>
        <v>0</v>
      </c>
      <c r="K35" s="88">
        <f t="shared" si="12"/>
        <v>0</v>
      </c>
      <c r="L35" s="91">
        <f t="shared" si="12"/>
        <v>0</v>
      </c>
      <c r="M35" s="88">
        <f t="shared" si="12"/>
        <v>0</v>
      </c>
      <c r="N35" s="91">
        <f t="shared" si="12"/>
        <v>0</v>
      </c>
      <c r="O35" s="88">
        <f t="shared" si="12"/>
        <v>0</v>
      </c>
    </row>
    <row r="36" spans="2:17">
      <c r="B36" s="119"/>
      <c r="C36" s="557">
        <v>46296</v>
      </c>
      <c r="D36" s="89">
        <f t="shared" si="3"/>
        <v>9281662.8371164463</v>
      </c>
      <c r="E36" s="90">
        <f t="shared" si="3"/>
        <v>68676574.256139159</v>
      </c>
      <c r="F36" s="91">
        <f t="shared" ref="F36:O36" si="13">+F20-F53</f>
        <v>86727.818261682987</v>
      </c>
      <c r="G36" s="88">
        <f t="shared" si="13"/>
        <v>37130.555309332907</v>
      </c>
      <c r="H36" s="91">
        <f t="shared" si="13"/>
        <v>0</v>
      </c>
      <c r="I36" s="88">
        <f t="shared" si="13"/>
        <v>0</v>
      </c>
      <c r="J36" s="91">
        <f t="shared" si="13"/>
        <v>0</v>
      </c>
      <c r="K36" s="88">
        <f t="shared" si="13"/>
        <v>0</v>
      </c>
      <c r="L36" s="91">
        <f t="shared" si="13"/>
        <v>0</v>
      </c>
      <c r="M36" s="88">
        <f t="shared" si="13"/>
        <v>0</v>
      </c>
      <c r="N36" s="91">
        <f t="shared" si="13"/>
        <v>0</v>
      </c>
      <c r="O36" s="88">
        <f t="shared" si="13"/>
        <v>0</v>
      </c>
    </row>
    <row r="37" spans="2:17">
      <c r="B37" s="119"/>
      <c r="C37" s="557">
        <v>46327</v>
      </c>
      <c r="D37" s="89">
        <f t="shared" si="3"/>
        <v>9339984.3369362243</v>
      </c>
      <c r="E37" s="90">
        <f t="shared" si="3"/>
        <v>69675976.79294765</v>
      </c>
      <c r="F37" s="91">
        <f t="shared" ref="F37:O37" si="14">+F21-F54</f>
        <v>95400.600087851286</v>
      </c>
      <c r="G37" s="88">
        <f t="shared" si="14"/>
        <v>39451.21501616668</v>
      </c>
      <c r="H37" s="91">
        <f t="shared" si="14"/>
        <v>0</v>
      </c>
      <c r="I37" s="88">
        <f t="shared" si="14"/>
        <v>0</v>
      </c>
      <c r="J37" s="91">
        <f t="shared" si="14"/>
        <v>0</v>
      </c>
      <c r="K37" s="88">
        <f t="shared" si="14"/>
        <v>0</v>
      </c>
      <c r="L37" s="91">
        <f t="shared" si="14"/>
        <v>0</v>
      </c>
      <c r="M37" s="88">
        <f t="shared" si="14"/>
        <v>0</v>
      </c>
      <c r="N37" s="91">
        <f t="shared" si="14"/>
        <v>0</v>
      </c>
      <c r="O37" s="88">
        <f t="shared" si="14"/>
        <v>0</v>
      </c>
    </row>
    <row r="38" spans="2:17">
      <c r="B38" s="93"/>
      <c r="C38" s="558">
        <v>46357</v>
      </c>
      <c r="D38" s="118">
        <f t="shared" si="3"/>
        <v>9398305.8367560022</v>
      </c>
      <c r="E38" s="117">
        <f t="shared" si="3"/>
        <v>70701158.973559499</v>
      </c>
      <c r="F38" s="127">
        <f t="shared" ref="F38:O38" si="15">+F22-F55</f>
        <v>104073.38191401958</v>
      </c>
      <c r="G38" s="126">
        <f t="shared" si="15"/>
        <v>41771.874723000452</v>
      </c>
      <c r="H38" s="127">
        <f t="shared" si="15"/>
        <v>0</v>
      </c>
      <c r="I38" s="126">
        <f t="shared" si="15"/>
        <v>0</v>
      </c>
      <c r="J38" s="127">
        <f t="shared" si="15"/>
        <v>0</v>
      </c>
      <c r="K38" s="126">
        <f t="shared" si="15"/>
        <v>0</v>
      </c>
      <c r="L38" s="127">
        <f t="shared" si="15"/>
        <v>0</v>
      </c>
      <c r="M38" s="126">
        <f t="shared" si="15"/>
        <v>0</v>
      </c>
      <c r="N38" s="127">
        <f t="shared" si="15"/>
        <v>0</v>
      </c>
      <c r="O38" s="126">
        <f t="shared" si="15"/>
        <v>0</v>
      </c>
    </row>
    <row r="39" spans="2:17">
      <c r="B39" s="104"/>
      <c r="C39" s="115" t="s">
        <v>546</v>
      </c>
      <c r="D39" s="113">
        <f t="shared" ref="D39:O39" si="16">AVERAGE(D26:D38)</f>
        <v>9048376.8378373347</v>
      </c>
      <c r="E39" s="113">
        <f t="shared" si="16"/>
        <v>64681356.079403557</v>
      </c>
      <c r="F39" s="113">
        <f t="shared" si="16"/>
        <v>52036.690957003491</v>
      </c>
      <c r="G39" s="113">
        <f t="shared" si="16"/>
        <v>27847.91648199995</v>
      </c>
      <c r="H39" s="113">
        <f t="shared" si="16"/>
        <v>0</v>
      </c>
      <c r="I39" s="113">
        <f t="shared" si="16"/>
        <v>0</v>
      </c>
      <c r="J39" s="113">
        <f t="shared" si="16"/>
        <v>0</v>
      </c>
      <c r="K39" s="113">
        <f t="shared" si="16"/>
        <v>0</v>
      </c>
      <c r="L39" s="113">
        <f t="shared" si="16"/>
        <v>0</v>
      </c>
      <c r="M39" s="113">
        <f t="shared" si="16"/>
        <v>0</v>
      </c>
      <c r="N39" s="113">
        <f t="shared" si="16"/>
        <v>0</v>
      </c>
      <c r="O39" s="114">
        <f t="shared" si="16"/>
        <v>0</v>
      </c>
      <c r="Q39" s="985">
        <f>ROUND(SUM(D39:O39),0)-ROUND('ATC Attach MM ER24-224'!F99,0)</f>
        <v>0</v>
      </c>
    </row>
    <row r="40" spans="2:17">
      <c r="B40" s="112"/>
      <c r="C40" s="111"/>
      <c r="D40" s="197"/>
      <c r="E40" s="197"/>
      <c r="F40" s="197"/>
      <c r="G40" s="197"/>
      <c r="H40" s="197"/>
      <c r="I40" s="204"/>
      <c r="J40" s="204"/>
      <c r="K40" s="204"/>
      <c r="L40" s="197"/>
    </row>
    <row r="41" spans="2:17">
      <c r="B41" s="104"/>
      <c r="C41" s="110"/>
      <c r="D41" s="203"/>
      <c r="E41" s="203"/>
      <c r="F41" s="203"/>
      <c r="G41" s="203"/>
      <c r="H41" s="203"/>
      <c r="I41" s="203"/>
      <c r="J41" s="203"/>
      <c r="K41" s="203"/>
      <c r="L41" s="202"/>
    </row>
    <row r="42" spans="2:17">
      <c r="B42" s="123"/>
      <c r="C42" s="201"/>
      <c r="D42" s="200"/>
      <c r="E42" s="199"/>
      <c r="F42" s="199"/>
      <c r="G42" s="199"/>
      <c r="H42" s="199"/>
      <c r="I42" s="199"/>
      <c r="J42" s="199"/>
      <c r="K42" s="199"/>
      <c r="L42" s="198"/>
      <c r="M42" s="195"/>
      <c r="N42" s="195"/>
      <c r="O42" s="195"/>
    </row>
    <row r="43" spans="2:17">
      <c r="B43" s="119" t="s">
        <v>548</v>
      </c>
      <c r="C43" s="555">
        <v>45992</v>
      </c>
      <c r="D43" s="95">
        <f>D73+D103</f>
        <v>24811395.201081332</v>
      </c>
      <c r="E43" s="96">
        <f>E73+E103</f>
        <v>492245651.25901777</v>
      </c>
      <c r="F43" s="97">
        <f t="shared" ref="F43:O43" si="17">F73+F103</f>
        <v>15086137.449999999</v>
      </c>
      <c r="G43" s="94">
        <f t="shared" si="17"/>
        <v>1344859.841759</v>
      </c>
      <c r="H43" s="97">
        <f t="shared" si="17"/>
        <v>0</v>
      </c>
      <c r="I43" s="94">
        <f t="shared" si="17"/>
        <v>0</v>
      </c>
      <c r="J43" s="97">
        <f t="shared" si="17"/>
        <v>0</v>
      </c>
      <c r="K43" s="94">
        <f t="shared" si="17"/>
        <v>0</v>
      </c>
      <c r="L43" s="97">
        <f t="shared" si="17"/>
        <v>0</v>
      </c>
      <c r="M43" s="94">
        <f t="shared" si="17"/>
        <v>0</v>
      </c>
      <c r="N43" s="97">
        <f t="shared" si="17"/>
        <v>0</v>
      </c>
      <c r="O43" s="94">
        <f t="shared" si="17"/>
        <v>0</v>
      </c>
    </row>
    <row r="44" spans="2:17">
      <c r="B44" s="119" t="s">
        <v>645</v>
      </c>
      <c r="C44" s="556">
        <v>46023</v>
      </c>
      <c r="D44" s="89">
        <f t="shared" ref="D44:O55" si="18">D74+D104</f>
        <v>24753073.701261554</v>
      </c>
      <c r="E44" s="90">
        <f t="shared" si="18"/>
        <v>491311065.88229012</v>
      </c>
      <c r="F44" s="91">
        <f t="shared" si="18"/>
        <v>34730172.97817383</v>
      </c>
      <c r="G44" s="88">
        <f t="shared" si="18"/>
        <v>1449710.0220521665</v>
      </c>
      <c r="H44" s="91">
        <f t="shared" si="18"/>
        <v>0</v>
      </c>
      <c r="I44" s="88">
        <f t="shared" si="18"/>
        <v>0</v>
      </c>
      <c r="J44" s="91">
        <f t="shared" si="18"/>
        <v>0</v>
      </c>
      <c r="K44" s="88">
        <f t="shared" si="18"/>
        <v>0</v>
      </c>
      <c r="L44" s="91">
        <f t="shared" si="18"/>
        <v>0</v>
      </c>
      <c r="M44" s="88">
        <f t="shared" si="18"/>
        <v>0</v>
      </c>
      <c r="N44" s="91">
        <f t="shared" si="18"/>
        <v>0</v>
      </c>
      <c r="O44" s="88">
        <f t="shared" si="18"/>
        <v>0</v>
      </c>
    </row>
    <row r="45" spans="2:17">
      <c r="B45" s="119"/>
      <c r="C45" s="557">
        <v>46054</v>
      </c>
      <c r="D45" s="89">
        <f t="shared" si="18"/>
        <v>24694752.201441776</v>
      </c>
      <c r="E45" s="90">
        <f t="shared" si="18"/>
        <v>490761975.32112861</v>
      </c>
      <c r="F45" s="91">
        <f t="shared" si="18"/>
        <v>36744503.386347666</v>
      </c>
      <c r="G45" s="88">
        <f t="shared" si="18"/>
        <v>1557778.5223453331</v>
      </c>
      <c r="H45" s="91">
        <f t="shared" si="18"/>
        <v>0</v>
      </c>
      <c r="I45" s="88">
        <f t="shared" si="18"/>
        <v>0</v>
      </c>
      <c r="J45" s="91">
        <f t="shared" si="18"/>
        <v>0</v>
      </c>
      <c r="K45" s="88">
        <f t="shared" si="18"/>
        <v>0</v>
      </c>
      <c r="L45" s="91">
        <f t="shared" si="18"/>
        <v>0</v>
      </c>
      <c r="M45" s="88">
        <f t="shared" si="18"/>
        <v>0</v>
      </c>
      <c r="N45" s="91">
        <f t="shared" si="18"/>
        <v>0</v>
      </c>
      <c r="O45" s="88">
        <f t="shared" si="18"/>
        <v>0</v>
      </c>
    </row>
    <row r="46" spans="2:17">
      <c r="B46" s="119"/>
      <c r="C46" s="557">
        <v>46082</v>
      </c>
      <c r="D46" s="89">
        <f t="shared" si="18"/>
        <v>24636430.701621998</v>
      </c>
      <c r="E46" s="90">
        <f t="shared" si="18"/>
        <v>490658955.18942016</v>
      </c>
      <c r="F46" s="91">
        <f t="shared" si="18"/>
        <v>39692607.034521498</v>
      </c>
      <c r="G46" s="88">
        <f t="shared" si="18"/>
        <v>1666948.5426384998</v>
      </c>
      <c r="H46" s="91">
        <f t="shared" si="18"/>
        <v>0</v>
      </c>
      <c r="I46" s="88">
        <f t="shared" si="18"/>
        <v>0</v>
      </c>
      <c r="J46" s="91">
        <f t="shared" si="18"/>
        <v>0</v>
      </c>
      <c r="K46" s="88">
        <f t="shared" si="18"/>
        <v>0</v>
      </c>
      <c r="L46" s="91">
        <f t="shared" si="18"/>
        <v>0</v>
      </c>
      <c r="M46" s="88">
        <f t="shared" si="18"/>
        <v>0</v>
      </c>
      <c r="N46" s="91">
        <f t="shared" si="18"/>
        <v>0</v>
      </c>
      <c r="O46" s="88">
        <f t="shared" si="18"/>
        <v>0</v>
      </c>
    </row>
    <row r="47" spans="2:17">
      <c r="B47" s="119"/>
      <c r="C47" s="557">
        <v>46113</v>
      </c>
      <c r="D47" s="89">
        <f t="shared" si="18"/>
        <v>24578109.20180222</v>
      </c>
      <c r="E47" s="90">
        <f t="shared" si="18"/>
        <v>489659552.65261173</v>
      </c>
      <c r="F47" s="91">
        <f t="shared" si="18"/>
        <v>46294026.372695334</v>
      </c>
      <c r="G47" s="88">
        <f t="shared" si="18"/>
        <v>1767510.2429316668</v>
      </c>
      <c r="H47" s="91">
        <f t="shared" si="18"/>
        <v>0</v>
      </c>
      <c r="I47" s="88">
        <f t="shared" si="18"/>
        <v>0</v>
      </c>
      <c r="J47" s="91">
        <f t="shared" si="18"/>
        <v>0</v>
      </c>
      <c r="K47" s="88">
        <f t="shared" si="18"/>
        <v>0</v>
      </c>
      <c r="L47" s="91">
        <f t="shared" si="18"/>
        <v>0</v>
      </c>
      <c r="M47" s="88">
        <f t="shared" si="18"/>
        <v>0</v>
      </c>
      <c r="N47" s="91">
        <f t="shared" si="18"/>
        <v>0</v>
      </c>
      <c r="O47" s="88">
        <f t="shared" si="18"/>
        <v>0</v>
      </c>
    </row>
    <row r="48" spans="2:17">
      <c r="B48" s="119"/>
      <c r="C48" s="557">
        <v>46143</v>
      </c>
      <c r="D48" s="89">
        <f t="shared" si="18"/>
        <v>24519787.701982442</v>
      </c>
      <c r="E48" s="90">
        <f t="shared" si="18"/>
        <v>488660150.11580324</v>
      </c>
      <c r="F48" s="91">
        <f t="shared" si="18"/>
        <v>53218607.040869169</v>
      </c>
      <c r="G48" s="88">
        <f t="shared" si="18"/>
        <v>1876568.5432248332</v>
      </c>
      <c r="H48" s="91">
        <f t="shared" si="18"/>
        <v>0</v>
      </c>
      <c r="I48" s="88">
        <f t="shared" si="18"/>
        <v>0</v>
      </c>
      <c r="J48" s="91">
        <f t="shared" si="18"/>
        <v>0</v>
      </c>
      <c r="K48" s="88">
        <f t="shared" si="18"/>
        <v>0</v>
      </c>
      <c r="L48" s="91">
        <f t="shared" si="18"/>
        <v>0</v>
      </c>
      <c r="M48" s="88">
        <f t="shared" si="18"/>
        <v>0</v>
      </c>
      <c r="N48" s="91">
        <f t="shared" si="18"/>
        <v>0</v>
      </c>
      <c r="O48" s="88">
        <f t="shared" si="18"/>
        <v>0</v>
      </c>
    </row>
    <row r="49" spans="1:17">
      <c r="B49" s="119"/>
      <c r="C49" s="557">
        <v>46174</v>
      </c>
      <c r="D49" s="89">
        <f t="shared" si="18"/>
        <v>24461466.202162664</v>
      </c>
      <c r="E49" s="90">
        <f t="shared" si="18"/>
        <v>487660747.57899475</v>
      </c>
      <c r="F49" s="91">
        <f t="shared" si="18"/>
        <v>61727796.329042993</v>
      </c>
      <c r="G49" s="88">
        <f t="shared" si="18"/>
        <v>1962920.243518</v>
      </c>
      <c r="H49" s="91">
        <f t="shared" si="18"/>
        <v>0</v>
      </c>
      <c r="I49" s="88">
        <f t="shared" si="18"/>
        <v>0</v>
      </c>
      <c r="J49" s="91">
        <f t="shared" si="18"/>
        <v>0</v>
      </c>
      <c r="K49" s="88">
        <f t="shared" si="18"/>
        <v>0</v>
      </c>
      <c r="L49" s="91">
        <f t="shared" si="18"/>
        <v>0</v>
      </c>
      <c r="M49" s="88">
        <f t="shared" si="18"/>
        <v>0</v>
      </c>
      <c r="N49" s="91">
        <f t="shared" si="18"/>
        <v>0</v>
      </c>
      <c r="O49" s="88">
        <f t="shared" si="18"/>
        <v>0</v>
      </c>
    </row>
    <row r="50" spans="1:17">
      <c r="B50" s="119"/>
      <c r="C50" s="557">
        <v>46204</v>
      </c>
      <c r="D50" s="89">
        <f t="shared" si="18"/>
        <v>24403144.702342886</v>
      </c>
      <c r="E50" s="90">
        <f t="shared" si="18"/>
        <v>486661345.04218626</v>
      </c>
      <c r="F50" s="91">
        <f t="shared" si="18"/>
        <v>72864307.61721684</v>
      </c>
      <c r="G50" s="88">
        <f t="shared" si="18"/>
        <v>2050251.9438111666</v>
      </c>
      <c r="H50" s="91">
        <f t="shared" si="18"/>
        <v>0</v>
      </c>
      <c r="I50" s="88">
        <f t="shared" si="18"/>
        <v>0</v>
      </c>
      <c r="J50" s="91">
        <f t="shared" si="18"/>
        <v>0</v>
      </c>
      <c r="K50" s="88">
        <f t="shared" si="18"/>
        <v>0</v>
      </c>
      <c r="L50" s="91">
        <f t="shared" si="18"/>
        <v>0</v>
      </c>
      <c r="M50" s="88">
        <f t="shared" si="18"/>
        <v>0</v>
      </c>
      <c r="N50" s="91">
        <f t="shared" si="18"/>
        <v>0</v>
      </c>
      <c r="O50" s="88">
        <f t="shared" si="18"/>
        <v>0</v>
      </c>
    </row>
    <row r="51" spans="1:17">
      <c r="B51" s="119"/>
      <c r="C51" s="557">
        <v>46235</v>
      </c>
      <c r="D51" s="89">
        <f t="shared" si="18"/>
        <v>24344823.202523109</v>
      </c>
      <c r="E51" s="90">
        <f t="shared" si="18"/>
        <v>485661942.50537777</v>
      </c>
      <c r="F51" s="91">
        <f t="shared" si="18"/>
        <v>88105229.14539066</v>
      </c>
      <c r="G51" s="88">
        <f t="shared" si="18"/>
        <v>2136603.6441043331</v>
      </c>
      <c r="H51" s="91">
        <f t="shared" si="18"/>
        <v>0</v>
      </c>
      <c r="I51" s="88">
        <f t="shared" si="18"/>
        <v>0</v>
      </c>
      <c r="J51" s="91">
        <f t="shared" si="18"/>
        <v>0</v>
      </c>
      <c r="K51" s="88">
        <f t="shared" si="18"/>
        <v>0</v>
      </c>
      <c r="L51" s="91">
        <f t="shared" si="18"/>
        <v>0</v>
      </c>
      <c r="M51" s="88">
        <f t="shared" si="18"/>
        <v>0</v>
      </c>
      <c r="N51" s="91">
        <f t="shared" si="18"/>
        <v>0</v>
      </c>
      <c r="O51" s="88">
        <f t="shared" si="18"/>
        <v>0</v>
      </c>
    </row>
    <row r="52" spans="1:17">
      <c r="B52" s="119"/>
      <c r="C52" s="557">
        <v>46266</v>
      </c>
      <c r="D52" s="89">
        <f t="shared" si="18"/>
        <v>24286501.702703331</v>
      </c>
      <c r="E52" s="90">
        <f t="shared" si="18"/>
        <v>484662539.96856928</v>
      </c>
      <c r="F52" s="91">
        <f t="shared" si="18"/>
        <v>105519726.79356451</v>
      </c>
      <c r="G52" s="88">
        <f t="shared" si="18"/>
        <v>2223935.3443974997</v>
      </c>
      <c r="H52" s="91">
        <f t="shared" si="18"/>
        <v>0</v>
      </c>
      <c r="I52" s="88">
        <f t="shared" si="18"/>
        <v>0</v>
      </c>
      <c r="J52" s="91">
        <f t="shared" si="18"/>
        <v>0</v>
      </c>
      <c r="K52" s="88">
        <f t="shared" si="18"/>
        <v>0</v>
      </c>
      <c r="L52" s="91">
        <f t="shared" si="18"/>
        <v>0</v>
      </c>
      <c r="M52" s="88">
        <f t="shared" si="18"/>
        <v>0</v>
      </c>
      <c r="N52" s="91">
        <f t="shared" si="18"/>
        <v>0</v>
      </c>
      <c r="O52" s="88">
        <f t="shared" si="18"/>
        <v>0</v>
      </c>
    </row>
    <row r="53" spans="1:17">
      <c r="B53" s="119"/>
      <c r="C53" s="557">
        <v>46296</v>
      </c>
      <c r="D53" s="89">
        <f t="shared" si="18"/>
        <v>24228180.202883553</v>
      </c>
      <c r="E53" s="90">
        <f t="shared" si="18"/>
        <v>483663137.43176079</v>
      </c>
      <c r="F53" s="91">
        <f t="shared" si="18"/>
        <v>149599187.04173833</v>
      </c>
      <c r="G53" s="88">
        <f t="shared" si="18"/>
        <v>2377907.0446906667</v>
      </c>
      <c r="H53" s="91">
        <f t="shared" si="18"/>
        <v>0</v>
      </c>
      <c r="I53" s="88">
        <f t="shared" si="18"/>
        <v>8930539.6000000015</v>
      </c>
      <c r="J53" s="91">
        <f t="shared" si="18"/>
        <v>0</v>
      </c>
      <c r="K53" s="88">
        <f t="shared" si="18"/>
        <v>0</v>
      </c>
      <c r="L53" s="91">
        <f t="shared" si="18"/>
        <v>0</v>
      </c>
      <c r="M53" s="88">
        <f t="shared" si="18"/>
        <v>0</v>
      </c>
      <c r="N53" s="91">
        <f t="shared" si="18"/>
        <v>0</v>
      </c>
      <c r="O53" s="88">
        <f t="shared" si="18"/>
        <v>0</v>
      </c>
    </row>
    <row r="54" spans="1:17">
      <c r="B54" s="119"/>
      <c r="C54" s="557">
        <v>46327</v>
      </c>
      <c r="D54" s="89">
        <f t="shared" si="18"/>
        <v>24169858.703063775</v>
      </c>
      <c r="E54" s="90">
        <f t="shared" si="18"/>
        <v>482663734.8949523</v>
      </c>
      <c r="F54" s="91">
        <f t="shared" si="18"/>
        <v>168335203.99991217</v>
      </c>
      <c r="G54" s="88">
        <f t="shared" si="18"/>
        <v>2489326.1649838332</v>
      </c>
      <c r="H54" s="91">
        <f t="shared" si="18"/>
        <v>0</v>
      </c>
      <c r="I54" s="88">
        <f t="shared" si="18"/>
        <v>9621025.6699999999</v>
      </c>
      <c r="J54" s="91">
        <f t="shared" si="18"/>
        <v>0</v>
      </c>
      <c r="K54" s="88">
        <f t="shared" si="18"/>
        <v>0</v>
      </c>
      <c r="L54" s="91">
        <f t="shared" si="18"/>
        <v>0</v>
      </c>
      <c r="M54" s="88">
        <f t="shared" si="18"/>
        <v>0</v>
      </c>
      <c r="N54" s="91">
        <f t="shared" si="18"/>
        <v>0</v>
      </c>
      <c r="O54" s="88">
        <f t="shared" si="18"/>
        <v>0</v>
      </c>
    </row>
    <row r="55" spans="1:17">
      <c r="B55" s="119"/>
      <c r="C55" s="558">
        <v>46357</v>
      </c>
      <c r="D55" s="118">
        <f t="shared" si="18"/>
        <v>24111537.203243997</v>
      </c>
      <c r="E55" s="117">
        <f t="shared" si="18"/>
        <v>496855898.01434052</v>
      </c>
      <c r="F55" s="127">
        <f t="shared" si="18"/>
        <v>190983739.068086</v>
      </c>
      <c r="G55" s="126">
        <f t="shared" ref="G55:O55" si="19">G85+G115</f>
        <v>2644661.0452769995</v>
      </c>
      <c r="H55" s="127">
        <f t="shared" si="19"/>
        <v>0</v>
      </c>
      <c r="I55" s="126">
        <f t="shared" si="19"/>
        <v>14173734.57</v>
      </c>
      <c r="J55" s="127">
        <f t="shared" si="19"/>
        <v>0</v>
      </c>
      <c r="K55" s="126">
        <f t="shared" si="19"/>
        <v>0</v>
      </c>
      <c r="L55" s="127">
        <f t="shared" si="19"/>
        <v>0</v>
      </c>
      <c r="M55" s="126">
        <f t="shared" si="19"/>
        <v>0</v>
      </c>
      <c r="N55" s="127">
        <f t="shared" si="19"/>
        <v>0</v>
      </c>
      <c r="O55" s="126">
        <f t="shared" si="19"/>
        <v>0</v>
      </c>
    </row>
    <row r="56" spans="1:17">
      <c r="B56" s="116"/>
      <c r="C56" s="115" t="s">
        <v>546</v>
      </c>
      <c r="D56" s="113">
        <f t="shared" ref="D56:O56" si="20">AVERAGE(D43:D55)</f>
        <v>24461466.202162664</v>
      </c>
      <c r="E56" s="113">
        <f t="shared" si="20"/>
        <v>488548207.37357336</v>
      </c>
      <c r="F56" s="113">
        <f t="shared" si="20"/>
        <v>81761634.173658386</v>
      </c>
      <c r="G56" s="113">
        <f t="shared" si="20"/>
        <v>1965306.2419795382</v>
      </c>
      <c r="H56" s="113">
        <f t="shared" si="20"/>
        <v>0</v>
      </c>
      <c r="I56" s="113">
        <f t="shared" si="20"/>
        <v>2517330.7569230772</v>
      </c>
      <c r="J56" s="113">
        <f t="shared" si="20"/>
        <v>0</v>
      </c>
      <c r="K56" s="113">
        <f t="shared" si="20"/>
        <v>0</v>
      </c>
      <c r="L56" s="113">
        <f t="shared" si="20"/>
        <v>0</v>
      </c>
      <c r="M56" s="113">
        <f t="shared" si="20"/>
        <v>0</v>
      </c>
      <c r="N56" s="113">
        <f t="shared" si="20"/>
        <v>0</v>
      </c>
      <c r="O56" s="114">
        <f t="shared" si="20"/>
        <v>0</v>
      </c>
      <c r="Q56" s="985">
        <f>ROUND(SUM(D56:O56),0)-ROUND('ATC Attach MM ER24-224'!L99,0)</f>
        <v>0</v>
      </c>
    </row>
    <row r="57" spans="1:17">
      <c r="B57" s="104"/>
      <c r="C57" s="110"/>
      <c r="D57" s="109"/>
      <c r="E57" s="109"/>
      <c r="F57" s="109"/>
      <c r="G57" s="109"/>
      <c r="H57" s="109"/>
      <c r="I57" s="105"/>
      <c r="J57" s="105"/>
      <c r="K57" s="105"/>
      <c r="L57" s="197"/>
    </row>
    <row r="58" spans="1:17">
      <c r="B58" s="104"/>
      <c r="C58" s="103"/>
      <c r="D58" s="100"/>
      <c r="E58" s="100"/>
      <c r="F58" s="100"/>
      <c r="G58" s="100"/>
      <c r="H58" s="100"/>
      <c r="I58" s="100"/>
      <c r="J58" s="100"/>
      <c r="K58" s="100"/>
      <c r="L58" s="196"/>
      <c r="M58" s="195"/>
      <c r="N58" s="195"/>
      <c r="O58" s="195"/>
    </row>
    <row r="59" spans="1:17">
      <c r="A59" s="545"/>
      <c r="B59" s="99" t="s">
        <v>545</v>
      </c>
      <c r="C59" s="98" t="s">
        <v>477</v>
      </c>
      <c r="D59" s="95">
        <f t="shared" ref="D59:O59" si="21">D69</f>
        <v>699857.99783732661</v>
      </c>
      <c r="E59" s="96">
        <f t="shared" si="21"/>
        <v>12014812.670677328</v>
      </c>
      <c r="F59" s="95">
        <f t="shared" si="21"/>
        <v>104073.38191400001</v>
      </c>
      <c r="G59" s="96">
        <f t="shared" si="21"/>
        <v>27847.91648199999</v>
      </c>
      <c r="H59" s="95">
        <f t="shared" si="21"/>
        <v>0</v>
      </c>
      <c r="I59" s="96">
        <f t="shared" si="21"/>
        <v>0</v>
      </c>
      <c r="J59" s="95">
        <f t="shared" si="21"/>
        <v>0</v>
      </c>
      <c r="K59" s="96">
        <f t="shared" si="21"/>
        <v>0</v>
      </c>
      <c r="L59" s="95">
        <f t="shared" si="21"/>
        <v>0</v>
      </c>
      <c r="M59" s="96">
        <f t="shared" si="21"/>
        <v>0</v>
      </c>
      <c r="N59" s="95">
        <f t="shared" si="21"/>
        <v>0</v>
      </c>
      <c r="O59" s="94">
        <f t="shared" si="21"/>
        <v>0</v>
      </c>
    </row>
    <row r="60" spans="1:17">
      <c r="B60" s="93" t="s">
        <v>644</v>
      </c>
      <c r="C60" s="92" t="s">
        <v>543</v>
      </c>
      <c r="D60" s="89">
        <v>0</v>
      </c>
      <c r="E60" s="90">
        <v>0</v>
      </c>
      <c r="F60" s="89">
        <v>0</v>
      </c>
      <c r="G60" s="90">
        <v>0</v>
      </c>
      <c r="H60" s="89">
        <v>0</v>
      </c>
      <c r="I60" s="90">
        <v>0</v>
      </c>
      <c r="J60" s="89">
        <v>0</v>
      </c>
      <c r="K60" s="90">
        <v>0</v>
      </c>
      <c r="L60" s="89">
        <v>0</v>
      </c>
      <c r="M60" s="90">
        <v>0</v>
      </c>
      <c r="N60" s="89">
        <v>0</v>
      </c>
      <c r="O60" s="88">
        <v>0</v>
      </c>
    </row>
    <row r="61" spans="1:17">
      <c r="B61" s="112"/>
      <c r="C61" s="111" t="s">
        <v>542</v>
      </c>
      <c r="D61" s="85">
        <f t="shared" ref="D61:O61" si="22">SUM(D59:D60)</f>
        <v>699857.99783732661</v>
      </c>
      <c r="E61" s="85">
        <f t="shared" si="22"/>
        <v>12014812.670677328</v>
      </c>
      <c r="F61" s="85">
        <f t="shared" si="22"/>
        <v>104073.38191400001</v>
      </c>
      <c r="G61" s="85">
        <f t="shared" si="22"/>
        <v>27847.91648199999</v>
      </c>
      <c r="H61" s="85">
        <f t="shared" si="22"/>
        <v>0</v>
      </c>
      <c r="I61" s="85">
        <f t="shared" si="22"/>
        <v>0</v>
      </c>
      <c r="J61" s="85">
        <f t="shared" si="22"/>
        <v>0</v>
      </c>
      <c r="K61" s="85">
        <f t="shared" si="22"/>
        <v>0</v>
      </c>
      <c r="L61" s="85">
        <f t="shared" si="22"/>
        <v>0</v>
      </c>
      <c r="M61" s="85">
        <f t="shared" si="22"/>
        <v>0</v>
      </c>
      <c r="N61" s="85">
        <f t="shared" si="22"/>
        <v>0</v>
      </c>
      <c r="O61" s="84">
        <f t="shared" si="22"/>
        <v>0</v>
      </c>
      <c r="Q61" s="985">
        <f>ROUND(SUM(D61:O61),0)-ROUND('ATC Attach MM ER24-224'!O99,0)</f>
        <v>0</v>
      </c>
    </row>
    <row r="62" spans="1:17">
      <c r="B62" s="104"/>
      <c r="C62" s="110"/>
      <c r="D62" s="109"/>
      <c r="E62" s="109"/>
      <c r="F62" s="109"/>
      <c r="G62" s="109"/>
      <c r="H62" s="109"/>
      <c r="I62" s="105"/>
      <c r="J62" s="105"/>
      <c r="K62" s="105"/>
      <c r="L62" s="197"/>
    </row>
    <row r="63" spans="1:17">
      <c r="B63" s="104"/>
      <c r="C63" s="103"/>
      <c r="D63" s="100"/>
      <c r="E63" s="100"/>
      <c r="F63" s="100"/>
      <c r="G63" s="100"/>
      <c r="H63" s="100"/>
      <c r="I63" s="100"/>
      <c r="J63" s="100"/>
      <c r="K63" s="100"/>
      <c r="L63" s="196"/>
      <c r="M63" s="195"/>
      <c r="N63" s="195"/>
      <c r="O63" s="195"/>
    </row>
    <row r="64" spans="1:17">
      <c r="A64" s="545"/>
      <c r="B64" s="99" t="s">
        <v>541</v>
      </c>
      <c r="C64" s="98" t="s">
        <v>540</v>
      </c>
      <c r="D64" s="95">
        <f t="shared" ref="D64:O64" si="23">D70</f>
        <v>0</v>
      </c>
      <c r="E64" s="96">
        <f t="shared" si="23"/>
        <v>0</v>
      </c>
      <c r="F64" s="95">
        <f t="shared" si="23"/>
        <v>401764.72</v>
      </c>
      <c r="G64" s="96">
        <f t="shared" si="23"/>
        <v>0</v>
      </c>
      <c r="H64" s="95">
        <f t="shared" si="23"/>
        <v>30296</v>
      </c>
      <c r="I64" s="96">
        <f t="shared" si="23"/>
        <v>2185992.04</v>
      </c>
      <c r="J64" s="95">
        <f t="shared" si="23"/>
        <v>30296</v>
      </c>
      <c r="K64" s="96">
        <f t="shared" si="23"/>
        <v>0</v>
      </c>
      <c r="L64" s="95">
        <f t="shared" si="23"/>
        <v>0</v>
      </c>
      <c r="M64" s="96">
        <f t="shared" si="23"/>
        <v>0</v>
      </c>
      <c r="N64" s="95">
        <f t="shared" si="23"/>
        <v>0</v>
      </c>
      <c r="O64" s="94">
        <f t="shared" si="23"/>
        <v>0</v>
      </c>
    </row>
    <row r="65" spans="1:17">
      <c r="B65" s="93" t="s">
        <v>643</v>
      </c>
      <c r="C65" s="92"/>
      <c r="D65" s="89">
        <v>0</v>
      </c>
      <c r="E65" s="90">
        <v>0</v>
      </c>
      <c r="F65" s="89">
        <v>0</v>
      </c>
      <c r="G65" s="90">
        <v>0</v>
      </c>
      <c r="H65" s="89">
        <v>0</v>
      </c>
      <c r="I65" s="90">
        <v>0</v>
      </c>
      <c r="J65" s="89">
        <v>0</v>
      </c>
      <c r="K65" s="90">
        <v>0</v>
      </c>
      <c r="L65" s="89">
        <v>0</v>
      </c>
      <c r="M65" s="90">
        <v>0</v>
      </c>
      <c r="N65" s="89">
        <v>0</v>
      </c>
      <c r="O65" s="88">
        <v>0</v>
      </c>
    </row>
    <row r="66" spans="1:17">
      <c r="B66" s="112"/>
      <c r="C66" s="111" t="s">
        <v>538</v>
      </c>
      <c r="D66" s="85">
        <f t="shared" ref="D66:O66" si="24">SUM(D64:D65)</f>
        <v>0</v>
      </c>
      <c r="E66" s="85">
        <f t="shared" si="24"/>
        <v>0</v>
      </c>
      <c r="F66" s="85">
        <f t="shared" si="24"/>
        <v>401764.72</v>
      </c>
      <c r="G66" s="85">
        <f t="shared" si="24"/>
        <v>0</v>
      </c>
      <c r="H66" s="85">
        <f t="shared" si="24"/>
        <v>30296</v>
      </c>
      <c r="I66" s="85">
        <f t="shared" si="24"/>
        <v>2185992.04</v>
      </c>
      <c r="J66" s="85">
        <f t="shared" si="24"/>
        <v>30296</v>
      </c>
      <c r="K66" s="85">
        <f t="shared" si="24"/>
        <v>0</v>
      </c>
      <c r="L66" s="85">
        <f t="shared" si="24"/>
        <v>0</v>
      </c>
      <c r="M66" s="85">
        <f t="shared" si="24"/>
        <v>0</v>
      </c>
      <c r="N66" s="85">
        <f t="shared" si="24"/>
        <v>0</v>
      </c>
      <c r="O66" s="84">
        <f t="shared" si="24"/>
        <v>0</v>
      </c>
      <c r="Q66" s="985">
        <f>ROUND(SUM(D66:O66),0)-ROUND('ATC Attach MM ER24-224'!P99,0)</f>
        <v>0</v>
      </c>
    </row>
    <row r="68" spans="1:17">
      <c r="A68" s="543"/>
    </row>
    <row r="69" spans="1:17" s="227" customFormat="1">
      <c r="B69" s="559" t="s">
        <v>545</v>
      </c>
      <c r="C69" s="560">
        <v>46357</v>
      </c>
      <c r="D69" s="561">
        <v>699857.99783732661</v>
      </c>
      <c r="E69" s="562">
        <v>12014812.670677328</v>
      </c>
      <c r="F69" s="562">
        <v>104073.38191400001</v>
      </c>
      <c r="G69" s="562">
        <v>27847.91648199999</v>
      </c>
      <c r="H69" s="562">
        <v>0</v>
      </c>
      <c r="I69" s="562">
        <v>0</v>
      </c>
      <c r="J69" s="562">
        <v>0</v>
      </c>
      <c r="K69" s="562">
        <v>0</v>
      </c>
      <c r="L69" s="562">
        <v>0</v>
      </c>
      <c r="M69" s="562">
        <v>0</v>
      </c>
      <c r="N69" s="562">
        <v>0</v>
      </c>
      <c r="O69" s="563">
        <v>0</v>
      </c>
      <c r="Q69" s="564">
        <f>SUM(D69:O69)</f>
        <v>12846591.966910655</v>
      </c>
    </row>
    <row r="70" spans="1:17" s="227" customFormat="1">
      <c r="B70" s="565" t="s">
        <v>540</v>
      </c>
      <c r="C70" s="566">
        <v>46357</v>
      </c>
      <c r="D70" s="567">
        <v>0</v>
      </c>
      <c r="E70" s="568">
        <v>0</v>
      </c>
      <c r="F70" s="568">
        <v>401764.72</v>
      </c>
      <c r="G70" s="568">
        <v>0</v>
      </c>
      <c r="H70" s="568">
        <v>30296</v>
      </c>
      <c r="I70" s="568">
        <v>2185992.04</v>
      </c>
      <c r="J70" s="568">
        <v>30296</v>
      </c>
      <c r="K70" s="568">
        <v>0</v>
      </c>
      <c r="L70" s="568">
        <v>0</v>
      </c>
      <c r="M70" s="568">
        <v>0</v>
      </c>
      <c r="N70" s="568">
        <v>0</v>
      </c>
      <c r="O70" s="569">
        <v>0</v>
      </c>
      <c r="Q70" s="570">
        <f t="shared" ref="Q70" si="25">SUM(D70:O70)</f>
        <v>2648348.7599999998</v>
      </c>
    </row>
    <row r="71" spans="1:17" s="227" customFormat="1"/>
    <row r="72" spans="1:17" s="227" customFormat="1"/>
    <row r="73" spans="1:17" s="227" customFormat="1" outlineLevel="1">
      <c r="B73" s="559" t="s">
        <v>1052</v>
      </c>
      <c r="C73" s="560">
        <v>45992</v>
      </c>
      <c r="D73" s="564">
        <v>0</v>
      </c>
      <c r="E73" s="564">
        <v>0</v>
      </c>
      <c r="F73" s="564">
        <v>15086137.449999999</v>
      </c>
      <c r="G73" s="564">
        <v>299927.65999999997</v>
      </c>
      <c r="H73" s="564">
        <v>0</v>
      </c>
      <c r="I73" s="564">
        <v>0</v>
      </c>
      <c r="J73" s="564">
        <v>0</v>
      </c>
      <c r="K73" s="564">
        <v>0</v>
      </c>
      <c r="L73" s="564">
        <v>0</v>
      </c>
      <c r="M73" s="564">
        <v>0</v>
      </c>
      <c r="N73" s="564">
        <v>0</v>
      </c>
      <c r="O73" s="564">
        <v>0</v>
      </c>
      <c r="Q73" s="564">
        <f>SUM(D73:O73)</f>
        <v>15386065.109999999</v>
      </c>
    </row>
    <row r="74" spans="1:17" s="227" customFormat="1" outlineLevel="1">
      <c r="B74" s="571"/>
      <c r="C74" s="572">
        <v>46023</v>
      </c>
      <c r="D74" s="573">
        <v>0</v>
      </c>
      <c r="E74" s="573">
        <v>0</v>
      </c>
      <c r="F74" s="573">
        <v>30940547.149999995</v>
      </c>
      <c r="G74" s="573">
        <v>407098.5</v>
      </c>
      <c r="H74" s="573">
        <v>0</v>
      </c>
      <c r="I74" s="573">
        <v>0</v>
      </c>
      <c r="J74" s="573">
        <v>0</v>
      </c>
      <c r="K74" s="573">
        <v>0</v>
      </c>
      <c r="L74" s="573">
        <v>0</v>
      </c>
      <c r="M74" s="573">
        <v>0</v>
      </c>
      <c r="N74" s="573">
        <v>0</v>
      </c>
      <c r="O74" s="573">
        <v>0</v>
      </c>
      <c r="Q74" s="573">
        <f t="shared" ref="Q74:Q85" si="26">SUM(D74:O74)</f>
        <v>31347645.649999995</v>
      </c>
    </row>
    <row r="75" spans="1:17" s="227" customFormat="1" outlineLevel="1">
      <c r="B75" s="571"/>
      <c r="C75" s="574">
        <v>46054</v>
      </c>
      <c r="D75" s="573">
        <v>0</v>
      </c>
      <c r="E75" s="573">
        <v>0</v>
      </c>
      <c r="F75" s="573">
        <v>32963550.339999996</v>
      </c>
      <c r="G75" s="573">
        <v>517487.66</v>
      </c>
      <c r="H75" s="573">
        <v>0</v>
      </c>
      <c r="I75" s="573">
        <v>0</v>
      </c>
      <c r="J75" s="573">
        <v>0</v>
      </c>
      <c r="K75" s="573">
        <v>0</v>
      </c>
      <c r="L75" s="573">
        <v>0</v>
      </c>
      <c r="M75" s="573">
        <v>0</v>
      </c>
      <c r="N75" s="573">
        <v>0</v>
      </c>
      <c r="O75" s="573">
        <v>0</v>
      </c>
      <c r="Q75" s="573">
        <f t="shared" si="26"/>
        <v>33481037.999999996</v>
      </c>
    </row>
    <row r="76" spans="1:17" s="227" customFormat="1" outlineLevel="1">
      <c r="B76" s="571"/>
      <c r="C76" s="574">
        <v>46082</v>
      </c>
      <c r="D76" s="573">
        <v>0</v>
      </c>
      <c r="E76" s="573">
        <v>0</v>
      </c>
      <c r="F76" s="573">
        <v>35920326.769999996</v>
      </c>
      <c r="G76" s="573">
        <v>628978.34</v>
      </c>
      <c r="H76" s="573">
        <v>0</v>
      </c>
      <c r="I76" s="573">
        <v>0</v>
      </c>
      <c r="J76" s="573">
        <v>0</v>
      </c>
      <c r="K76" s="573">
        <v>0</v>
      </c>
      <c r="L76" s="573">
        <v>0</v>
      </c>
      <c r="M76" s="573">
        <v>0</v>
      </c>
      <c r="N76" s="573">
        <v>0</v>
      </c>
      <c r="O76" s="573">
        <v>0</v>
      </c>
      <c r="Q76" s="573">
        <f t="shared" si="26"/>
        <v>36549305.109999999</v>
      </c>
    </row>
    <row r="77" spans="1:17" s="227" customFormat="1" outlineLevel="1">
      <c r="B77" s="571"/>
      <c r="C77" s="574">
        <v>46113</v>
      </c>
      <c r="D77" s="573">
        <v>0</v>
      </c>
      <c r="E77" s="573">
        <v>0</v>
      </c>
      <c r="F77" s="573">
        <v>42530418.890000001</v>
      </c>
      <c r="G77" s="573">
        <v>731860.70000000007</v>
      </c>
      <c r="H77" s="573">
        <v>0</v>
      </c>
      <c r="I77" s="573">
        <v>0</v>
      </c>
      <c r="J77" s="573">
        <v>0</v>
      </c>
      <c r="K77" s="573">
        <v>0</v>
      </c>
      <c r="L77" s="573">
        <v>0</v>
      </c>
      <c r="M77" s="573">
        <v>0</v>
      </c>
      <c r="N77" s="573">
        <v>0</v>
      </c>
      <c r="O77" s="573">
        <v>0</v>
      </c>
      <c r="Q77" s="573">
        <f t="shared" si="26"/>
        <v>43262279.590000004</v>
      </c>
    </row>
    <row r="78" spans="1:17" s="227" customFormat="1" outlineLevel="1">
      <c r="B78" s="571"/>
      <c r="C78" s="574">
        <v>46143</v>
      </c>
      <c r="D78" s="573">
        <v>0</v>
      </c>
      <c r="E78" s="573">
        <v>0</v>
      </c>
      <c r="F78" s="573">
        <v>49463672.340000004</v>
      </c>
      <c r="G78" s="573">
        <v>843239.65999999992</v>
      </c>
      <c r="H78" s="573">
        <v>0</v>
      </c>
      <c r="I78" s="573">
        <v>0</v>
      </c>
      <c r="J78" s="573">
        <v>0</v>
      </c>
      <c r="K78" s="573">
        <v>0</v>
      </c>
      <c r="L78" s="573">
        <v>0</v>
      </c>
      <c r="M78" s="573">
        <v>0</v>
      </c>
      <c r="N78" s="573">
        <v>0</v>
      </c>
      <c r="O78" s="573">
        <v>0</v>
      </c>
      <c r="Q78" s="573">
        <f t="shared" si="26"/>
        <v>50306912</v>
      </c>
    </row>
    <row r="79" spans="1:17" s="227" customFormat="1" outlineLevel="1">
      <c r="B79" s="571"/>
      <c r="C79" s="574">
        <v>46174</v>
      </c>
      <c r="D79" s="573">
        <v>0</v>
      </c>
      <c r="E79" s="573">
        <v>0</v>
      </c>
      <c r="F79" s="573">
        <v>57981534.409999996</v>
      </c>
      <c r="G79" s="573">
        <v>931912.02</v>
      </c>
      <c r="H79" s="573">
        <v>0</v>
      </c>
      <c r="I79" s="573">
        <v>0</v>
      </c>
      <c r="J79" s="573">
        <v>0</v>
      </c>
      <c r="K79" s="573">
        <v>0</v>
      </c>
      <c r="L79" s="573">
        <v>0</v>
      </c>
      <c r="M79" s="573">
        <v>0</v>
      </c>
      <c r="N79" s="573">
        <v>0</v>
      </c>
      <c r="O79" s="573">
        <v>0</v>
      </c>
      <c r="Q79" s="573">
        <f t="shared" si="26"/>
        <v>58913446.43</v>
      </c>
    </row>
    <row r="80" spans="1:17" s="227" customFormat="1" outlineLevel="1">
      <c r="B80" s="571"/>
      <c r="C80" s="574">
        <v>46204</v>
      </c>
      <c r="D80" s="573">
        <v>0</v>
      </c>
      <c r="E80" s="573">
        <v>0</v>
      </c>
      <c r="F80" s="573">
        <v>69126718.480000004</v>
      </c>
      <c r="G80" s="573">
        <v>1021564.3799999999</v>
      </c>
      <c r="H80" s="573">
        <v>0</v>
      </c>
      <c r="I80" s="573">
        <v>0</v>
      </c>
      <c r="J80" s="573">
        <v>0</v>
      </c>
      <c r="K80" s="573">
        <v>0</v>
      </c>
      <c r="L80" s="573">
        <v>0</v>
      </c>
      <c r="M80" s="573">
        <v>0</v>
      </c>
      <c r="N80" s="573">
        <v>0</v>
      </c>
      <c r="O80" s="573">
        <v>0</v>
      </c>
      <c r="Q80" s="573">
        <f t="shared" si="26"/>
        <v>70148282.859999999</v>
      </c>
    </row>
    <row r="81" spans="2:17" s="227" customFormat="1" outlineLevel="1">
      <c r="B81" s="571"/>
      <c r="C81" s="574">
        <v>46235</v>
      </c>
      <c r="D81" s="573">
        <v>0</v>
      </c>
      <c r="E81" s="573">
        <v>0</v>
      </c>
      <c r="F81" s="573">
        <v>84376312.789999992</v>
      </c>
      <c r="G81" s="573">
        <v>1110236.7399999998</v>
      </c>
      <c r="H81" s="573">
        <v>0</v>
      </c>
      <c r="I81" s="573">
        <v>0</v>
      </c>
      <c r="J81" s="573">
        <v>0</v>
      </c>
      <c r="K81" s="573">
        <v>0</v>
      </c>
      <c r="L81" s="573">
        <v>0</v>
      </c>
      <c r="M81" s="573">
        <v>0</v>
      </c>
      <c r="N81" s="573">
        <v>0</v>
      </c>
      <c r="O81" s="573">
        <v>0</v>
      </c>
      <c r="Q81" s="573">
        <f t="shared" si="26"/>
        <v>85486549.529999986</v>
      </c>
    </row>
    <row r="82" spans="2:17" s="227" customFormat="1" outlineLevel="1">
      <c r="B82" s="571"/>
      <c r="C82" s="574">
        <v>46266</v>
      </c>
      <c r="D82" s="573">
        <v>0</v>
      </c>
      <c r="E82" s="573">
        <v>0</v>
      </c>
      <c r="F82" s="573">
        <v>101799483.22000001</v>
      </c>
      <c r="G82" s="573">
        <v>1199889.0999999996</v>
      </c>
      <c r="H82" s="573">
        <v>0</v>
      </c>
      <c r="I82" s="573">
        <v>0</v>
      </c>
      <c r="J82" s="573">
        <v>0</v>
      </c>
      <c r="K82" s="573">
        <v>0</v>
      </c>
      <c r="L82" s="573">
        <v>0</v>
      </c>
      <c r="M82" s="573">
        <v>0</v>
      </c>
      <c r="N82" s="573">
        <v>0</v>
      </c>
      <c r="O82" s="573">
        <v>0</v>
      </c>
      <c r="Q82" s="573">
        <f t="shared" si="26"/>
        <v>102999372.32000001</v>
      </c>
    </row>
    <row r="83" spans="2:17" s="227" customFormat="1" outlineLevel="1">
      <c r="B83" s="571"/>
      <c r="C83" s="574">
        <v>46296</v>
      </c>
      <c r="D83" s="573">
        <v>0</v>
      </c>
      <c r="E83" s="573">
        <v>0</v>
      </c>
      <c r="F83" s="573">
        <v>145887616.25</v>
      </c>
      <c r="G83" s="573">
        <v>1356181.46</v>
      </c>
      <c r="H83" s="573">
        <v>0</v>
      </c>
      <c r="I83" s="573">
        <v>8930539.6000000015</v>
      </c>
      <c r="J83" s="573">
        <v>0</v>
      </c>
      <c r="K83" s="573">
        <v>0</v>
      </c>
      <c r="L83" s="573">
        <v>0</v>
      </c>
      <c r="M83" s="573">
        <v>0</v>
      </c>
      <c r="N83" s="573">
        <v>0</v>
      </c>
      <c r="O83" s="573">
        <v>0</v>
      </c>
      <c r="Q83" s="573">
        <f t="shared" si="26"/>
        <v>156174337.31</v>
      </c>
    </row>
    <row r="84" spans="2:17" s="227" customFormat="1" outlineLevel="1">
      <c r="B84" s="571"/>
      <c r="C84" s="574">
        <v>46327</v>
      </c>
      <c r="D84" s="573">
        <v>0</v>
      </c>
      <c r="E84" s="573">
        <v>0</v>
      </c>
      <c r="F84" s="573">
        <v>164632305.99000001</v>
      </c>
      <c r="G84" s="573">
        <v>1469921.2399999998</v>
      </c>
      <c r="H84" s="573">
        <v>0</v>
      </c>
      <c r="I84" s="573">
        <v>9621025.6699999999</v>
      </c>
      <c r="J84" s="573">
        <v>0</v>
      </c>
      <c r="K84" s="573">
        <v>0</v>
      </c>
      <c r="L84" s="573">
        <v>0</v>
      </c>
      <c r="M84" s="573">
        <v>0</v>
      </c>
      <c r="N84" s="573">
        <v>0</v>
      </c>
      <c r="O84" s="573">
        <v>0</v>
      </c>
      <c r="Q84" s="573">
        <f t="shared" si="26"/>
        <v>175723252.90000001</v>
      </c>
    </row>
    <row r="85" spans="2:17" s="227" customFormat="1" outlineLevel="1">
      <c r="B85" s="575"/>
      <c r="C85" s="566">
        <v>46357</v>
      </c>
      <c r="D85" s="570">
        <v>0</v>
      </c>
      <c r="E85" s="570">
        <v>0</v>
      </c>
      <c r="F85" s="570">
        <v>187289513.84</v>
      </c>
      <c r="G85" s="570">
        <v>1627576.7799999998</v>
      </c>
      <c r="H85" s="570">
        <v>0</v>
      </c>
      <c r="I85" s="570">
        <v>14173734.57</v>
      </c>
      <c r="J85" s="570">
        <v>0</v>
      </c>
      <c r="K85" s="570">
        <v>0</v>
      </c>
      <c r="L85" s="570">
        <v>0</v>
      </c>
      <c r="M85" s="570">
        <v>0</v>
      </c>
      <c r="N85" s="570">
        <v>0</v>
      </c>
      <c r="O85" s="570">
        <v>0</v>
      </c>
      <c r="Q85" s="570">
        <f t="shared" si="26"/>
        <v>203090825.19</v>
      </c>
    </row>
    <row r="86" spans="2:17" s="227" customFormat="1" outlineLevel="1">
      <c r="B86" s="576"/>
      <c r="C86" s="577" t="s">
        <v>890</v>
      </c>
      <c r="D86" s="578">
        <f>AVERAGE(D73:D85)</f>
        <v>0</v>
      </c>
      <c r="E86" s="578">
        <f>AVERAGE(E73:E85)</f>
        <v>0</v>
      </c>
      <c r="F86" s="578">
        <f t="shared" ref="F86:O86" si="27">AVERAGE(F73:F85)</f>
        <v>78307549.070769235</v>
      </c>
      <c r="G86" s="578">
        <f t="shared" si="27"/>
        <v>934298.01846153836</v>
      </c>
      <c r="H86" s="578">
        <f t="shared" ref="H86:J86" si="28">AVERAGE(H73:H85)</f>
        <v>0</v>
      </c>
      <c r="I86" s="578">
        <f t="shared" si="28"/>
        <v>2517330.7569230772</v>
      </c>
      <c r="J86" s="578">
        <f t="shared" si="28"/>
        <v>0</v>
      </c>
      <c r="K86" s="578">
        <f t="shared" si="27"/>
        <v>0</v>
      </c>
      <c r="L86" s="578">
        <f t="shared" si="27"/>
        <v>0</v>
      </c>
      <c r="M86" s="578">
        <f t="shared" si="27"/>
        <v>0</v>
      </c>
      <c r="N86" s="578">
        <f t="shared" si="27"/>
        <v>0</v>
      </c>
      <c r="O86" s="579">
        <f t="shared" si="27"/>
        <v>0</v>
      </c>
      <c r="Q86" s="989">
        <f>AVERAGE(Q73:Q85)</f>
        <v>81759177.84615384</v>
      </c>
    </row>
    <row r="87" spans="2:17" s="227" customFormat="1" outlineLevel="1"/>
    <row r="88" spans="2:17" s="227" customFormat="1" outlineLevel="1">
      <c r="B88" s="559" t="s">
        <v>1053</v>
      </c>
      <c r="C88" s="560">
        <v>45992</v>
      </c>
      <c r="D88" s="564">
        <v>33509843.039999999</v>
      </c>
      <c r="E88" s="564">
        <v>550931997.56190002</v>
      </c>
      <c r="F88" s="564">
        <v>0</v>
      </c>
      <c r="G88" s="564">
        <v>1058856.1399999999</v>
      </c>
      <c r="H88" s="564">
        <v>0</v>
      </c>
      <c r="I88" s="564">
        <v>0</v>
      </c>
      <c r="J88" s="564">
        <v>0</v>
      </c>
      <c r="K88" s="564">
        <v>0</v>
      </c>
      <c r="L88" s="564">
        <v>0</v>
      </c>
      <c r="M88" s="564">
        <v>0</v>
      </c>
      <c r="N88" s="564">
        <v>0</v>
      </c>
      <c r="O88" s="564">
        <v>0</v>
      </c>
      <c r="Q88" s="564">
        <f>SUM(D88:O88)</f>
        <v>585500696.74189997</v>
      </c>
    </row>
    <row r="89" spans="2:17" s="227" customFormat="1" outlineLevel="1">
      <c r="B89" s="575"/>
      <c r="C89" s="572">
        <v>46023</v>
      </c>
      <c r="D89" s="573">
        <v>33509843.039999999</v>
      </c>
      <c r="E89" s="573">
        <v>550994535.86500001</v>
      </c>
      <c r="F89" s="573">
        <v>3798298.6100000003</v>
      </c>
      <c r="G89" s="573">
        <v>1058856.1399999999</v>
      </c>
      <c r="H89" s="573">
        <v>0</v>
      </c>
      <c r="I89" s="573">
        <v>0</v>
      </c>
      <c r="J89" s="573">
        <v>0</v>
      </c>
      <c r="K89" s="573">
        <v>0</v>
      </c>
      <c r="L89" s="573">
        <v>0</v>
      </c>
      <c r="M89" s="573">
        <v>0</v>
      </c>
      <c r="N89" s="573">
        <v>0</v>
      </c>
      <c r="O89" s="573">
        <v>0</v>
      </c>
      <c r="Q89" s="573">
        <f t="shared" ref="Q89:Q100" si="29">SUM(D89:O89)</f>
        <v>589361533.65499997</v>
      </c>
    </row>
    <row r="90" spans="2:17" s="227" customFormat="1" outlineLevel="1">
      <c r="B90" s="575"/>
      <c r="C90" s="574">
        <v>46054</v>
      </c>
      <c r="D90" s="573">
        <v>33509843.039999999</v>
      </c>
      <c r="E90" s="573">
        <v>551443329.28279996</v>
      </c>
      <c r="F90" s="573">
        <v>3798298.6100000003</v>
      </c>
      <c r="G90" s="573">
        <v>1058856.1399999999</v>
      </c>
      <c r="H90" s="573">
        <v>0</v>
      </c>
      <c r="I90" s="573">
        <v>0</v>
      </c>
      <c r="J90" s="573">
        <v>0</v>
      </c>
      <c r="K90" s="573">
        <v>0</v>
      </c>
      <c r="L90" s="573">
        <v>0</v>
      </c>
      <c r="M90" s="573">
        <v>0</v>
      </c>
      <c r="N90" s="573">
        <v>0</v>
      </c>
      <c r="O90" s="573">
        <v>0</v>
      </c>
      <c r="Q90" s="573">
        <f t="shared" si="29"/>
        <v>589810327.07279992</v>
      </c>
    </row>
    <row r="91" spans="2:17" s="227" customFormat="1" outlineLevel="1">
      <c r="B91" s="575"/>
      <c r="C91" s="574">
        <v>46082</v>
      </c>
      <c r="D91" s="573">
        <v>33509843.039999999</v>
      </c>
      <c r="E91" s="573">
        <v>552339711.68789995</v>
      </c>
      <c r="F91" s="573">
        <v>3798298.6100000003</v>
      </c>
      <c r="G91" s="573">
        <v>1058856.1399999999</v>
      </c>
      <c r="H91" s="573">
        <v>0</v>
      </c>
      <c r="I91" s="573">
        <v>0</v>
      </c>
      <c r="J91" s="573">
        <v>0</v>
      </c>
      <c r="K91" s="573">
        <v>0</v>
      </c>
      <c r="L91" s="573">
        <v>0</v>
      </c>
      <c r="M91" s="573">
        <v>0</v>
      </c>
      <c r="N91" s="573">
        <v>0</v>
      </c>
      <c r="O91" s="573">
        <v>0</v>
      </c>
      <c r="Q91" s="573">
        <f t="shared" si="29"/>
        <v>590706709.47789991</v>
      </c>
    </row>
    <row r="92" spans="2:17" s="227" customFormat="1" outlineLevel="1">
      <c r="B92" s="575"/>
      <c r="C92" s="574">
        <v>46113</v>
      </c>
      <c r="D92" s="573">
        <v>33509843.039999999</v>
      </c>
      <c r="E92" s="573">
        <v>552339711.68789995</v>
      </c>
      <c r="F92" s="573">
        <v>3798298.6100000003</v>
      </c>
      <c r="G92" s="573">
        <v>1058856.1399999999</v>
      </c>
      <c r="H92" s="573">
        <v>0</v>
      </c>
      <c r="I92" s="573">
        <v>0</v>
      </c>
      <c r="J92" s="573">
        <v>0</v>
      </c>
      <c r="K92" s="573">
        <v>0</v>
      </c>
      <c r="L92" s="573">
        <v>0</v>
      </c>
      <c r="M92" s="573">
        <v>0</v>
      </c>
      <c r="N92" s="573">
        <v>0</v>
      </c>
      <c r="O92" s="573">
        <v>0</v>
      </c>
      <c r="Q92" s="573">
        <f t="shared" si="29"/>
        <v>590706709.47789991</v>
      </c>
    </row>
    <row r="93" spans="2:17" s="227" customFormat="1" outlineLevel="1">
      <c r="B93" s="575"/>
      <c r="C93" s="574">
        <v>46143</v>
      </c>
      <c r="D93" s="573">
        <v>33509843.039999999</v>
      </c>
      <c r="E93" s="573">
        <v>552339711.68789995</v>
      </c>
      <c r="F93" s="573">
        <v>3798298.6100000003</v>
      </c>
      <c r="G93" s="573">
        <v>1058856.1399999999</v>
      </c>
      <c r="H93" s="573">
        <v>0</v>
      </c>
      <c r="I93" s="573">
        <v>0</v>
      </c>
      <c r="J93" s="573">
        <v>0</v>
      </c>
      <c r="K93" s="573">
        <v>0</v>
      </c>
      <c r="L93" s="573">
        <v>0</v>
      </c>
      <c r="M93" s="573">
        <v>0</v>
      </c>
      <c r="N93" s="573">
        <v>0</v>
      </c>
      <c r="O93" s="573">
        <v>0</v>
      </c>
      <c r="Q93" s="573">
        <f t="shared" si="29"/>
        <v>590706709.47789991</v>
      </c>
    </row>
    <row r="94" spans="2:17" s="227" customFormat="1" outlineLevel="1">
      <c r="B94" s="575"/>
      <c r="C94" s="574">
        <v>46174</v>
      </c>
      <c r="D94" s="573">
        <v>33509843.039999999</v>
      </c>
      <c r="E94" s="573">
        <v>552339711.68789995</v>
      </c>
      <c r="F94" s="573">
        <v>3798298.6100000003</v>
      </c>
      <c r="G94" s="573">
        <v>1058856.1399999999</v>
      </c>
      <c r="H94" s="573">
        <v>0</v>
      </c>
      <c r="I94" s="573">
        <v>0</v>
      </c>
      <c r="J94" s="573">
        <v>0</v>
      </c>
      <c r="K94" s="573">
        <v>0</v>
      </c>
      <c r="L94" s="573">
        <v>0</v>
      </c>
      <c r="M94" s="573">
        <v>0</v>
      </c>
      <c r="N94" s="573">
        <v>0</v>
      </c>
      <c r="O94" s="573">
        <v>0</v>
      </c>
      <c r="Q94" s="573">
        <f t="shared" si="29"/>
        <v>590706709.47789991</v>
      </c>
    </row>
    <row r="95" spans="2:17" s="227" customFormat="1" outlineLevel="1">
      <c r="B95" s="575"/>
      <c r="C95" s="574">
        <v>46204</v>
      </c>
      <c r="D95" s="573">
        <v>33509843.039999999</v>
      </c>
      <c r="E95" s="573">
        <v>552339711.68789995</v>
      </c>
      <c r="F95" s="573">
        <v>3798298.6100000003</v>
      </c>
      <c r="G95" s="573">
        <v>1058856.1399999999</v>
      </c>
      <c r="H95" s="573">
        <v>0</v>
      </c>
      <c r="I95" s="573">
        <v>0</v>
      </c>
      <c r="J95" s="573">
        <v>0</v>
      </c>
      <c r="K95" s="573">
        <v>0</v>
      </c>
      <c r="L95" s="573">
        <v>0</v>
      </c>
      <c r="M95" s="573">
        <v>0</v>
      </c>
      <c r="N95" s="573">
        <v>0</v>
      </c>
      <c r="O95" s="573">
        <v>0</v>
      </c>
      <c r="Q95" s="573">
        <f t="shared" si="29"/>
        <v>590706709.47789991</v>
      </c>
    </row>
    <row r="96" spans="2:17" s="227" customFormat="1" outlineLevel="1">
      <c r="B96" s="575"/>
      <c r="C96" s="574">
        <v>46235</v>
      </c>
      <c r="D96" s="573">
        <v>33509843.039999999</v>
      </c>
      <c r="E96" s="573">
        <v>552339711.68789995</v>
      </c>
      <c r="F96" s="573">
        <v>3798298.6100000003</v>
      </c>
      <c r="G96" s="573">
        <v>1058856.1399999999</v>
      </c>
      <c r="H96" s="573">
        <v>0</v>
      </c>
      <c r="I96" s="573">
        <v>0</v>
      </c>
      <c r="J96" s="573">
        <v>0</v>
      </c>
      <c r="K96" s="573">
        <v>0</v>
      </c>
      <c r="L96" s="573">
        <v>0</v>
      </c>
      <c r="M96" s="573">
        <v>0</v>
      </c>
      <c r="N96" s="573">
        <v>0</v>
      </c>
      <c r="O96" s="573">
        <v>0</v>
      </c>
      <c r="Q96" s="573">
        <f t="shared" si="29"/>
        <v>590706709.47789991</v>
      </c>
    </row>
    <row r="97" spans="2:17" s="227" customFormat="1" outlineLevel="1">
      <c r="B97" s="575"/>
      <c r="C97" s="574">
        <v>46266</v>
      </c>
      <c r="D97" s="573">
        <v>33509843.039999999</v>
      </c>
      <c r="E97" s="573">
        <v>552339711.68789995</v>
      </c>
      <c r="F97" s="573">
        <v>3798298.6100000003</v>
      </c>
      <c r="G97" s="573">
        <v>1058856.1399999999</v>
      </c>
      <c r="H97" s="573">
        <v>0</v>
      </c>
      <c r="I97" s="573">
        <v>0</v>
      </c>
      <c r="J97" s="573">
        <v>0</v>
      </c>
      <c r="K97" s="573">
        <v>0</v>
      </c>
      <c r="L97" s="573">
        <v>0</v>
      </c>
      <c r="M97" s="573">
        <v>0</v>
      </c>
      <c r="N97" s="573">
        <v>0</v>
      </c>
      <c r="O97" s="573">
        <v>0</v>
      </c>
      <c r="Q97" s="573">
        <f t="shared" si="29"/>
        <v>590706709.47789991</v>
      </c>
    </row>
    <row r="98" spans="2:17" s="227" customFormat="1" outlineLevel="1">
      <c r="B98" s="575"/>
      <c r="C98" s="574">
        <v>46296</v>
      </c>
      <c r="D98" s="573">
        <v>33509843.039999999</v>
      </c>
      <c r="E98" s="573">
        <v>552339711.68789995</v>
      </c>
      <c r="F98" s="573">
        <v>3798298.6100000003</v>
      </c>
      <c r="G98" s="573">
        <v>1058856.1399999999</v>
      </c>
      <c r="H98" s="573">
        <v>0</v>
      </c>
      <c r="I98" s="573">
        <v>0</v>
      </c>
      <c r="J98" s="573">
        <v>0</v>
      </c>
      <c r="K98" s="573">
        <v>0</v>
      </c>
      <c r="L98" s="573">
        <v>0</v>
      </c>
      <c r="M98" s="573">
        <v>0</v>
      </c>
      <c r="N98" s="573">
        <v>0</v>
      </c>
      <c r="O98" s="573">
        <v>0</v>
      </c>
      <c r="Q98" s="573">
        <f t="shared" si="29"/>
        <v>590706709.47789991</v>
      </c>
    </row>
    <row r="99" spans="2:17" s="227" customFormat="1" outlineLevel="1">
      <c r="B99" s="575"/>
      <c r="C99" s="574">
        <v>46327</v>
      </c>
      <c r="D99" s="573">
        <v>33509843.039999999</v>
      </c>
      <c r="E99" s="573">
        <v>552339711.68789995</v>
      </c>
      <c r="F99" s="573">
        <v>3798298.6100000003</v>
      </c>
      <c r="G99" s="573">
        <v>1058856.1399999999</v>
      </c>
      <c r="H99" s="573">
        <v>0</v>
      </c>
      <c r="I99" s="573">
        <v>0</v>
      </c>
      <c r="J99" s="573">
        <v>0</v>
      </c>
      <c r="K99" s="573">
        <v>0</v>
      </c>
      <c r="L99" s="573">
        <v>0</v>
      </c>
      <c r="M99" s="573">
        <v>0</v>
      </c>
      <c r="N99" s="573">
        <v>0</v>
      </c>
      <c r="O99" s="573">
        <v>0</v>
      </c>
      <c r="Q99" s="573">
        <f t="shared" si="29"/>
        <v>590706709.47789991</v>
      </c>
    </row>
    <row r="100" spans="2:17" s="227" customFormat="1" outlineLevel="1">
      <c r="B100" s="575"/>
      <c r="C100" s="566">
        <v>46357</v>
      </c>
      <c r="D100" s="570">
        <v>33509843.039999999</v>
      </c>
      <c r="E100" s="570">
        <v>567557056.98790002</v>
      </c>
      <c r="F100" s="570">
        <v>3798298.6100000003</v>
      </c>
      <c r="G100" s="570">
        <v>1058856.1399999999</v>
      </c>
      <c r="H100" s="570">
        <v>0</v>
      </c>
      <c r="I100" s="570">
        <v>0</v>
      </c>
      <c r="J100" s="570">
        <v>0</v>
      </c>
      <c r="K100" s="570">
        <v>0</v>
      </c>
      <c r="L100" s="570">
        <v>0</v>
      </c>
      <c r="M100" s="570">
        <v>0</v>
      </c>
      <c r="N100" s="570">
        <v>0</v>
      </c>
      <c r="O100" s="570">
        <v>0</v>
      </c>
      <c r="Q100" s="570">
        <f t="shared" si="29"/>
        <v>605924054.77789998</v>
      </c>
    </row>
    <row r="101" spans="2:17" s="227" customFormat="1" outlineLevel="1">
      <c r="B101" s="576"/>
      <c r="C101" s="577" t="s">
        <v>889</v>
      </c>
      <c r="D101" s="578">
        <f>AVERAGE(D88:D100)</f>
        <v>33509843.040000003</v>
      </c>
      <c r="E101" s="578">
        <f>AVERAGE(E88:E100)</f>
        <v>553229563.4529767</v>
      </c>
      <c r="F101" s="578">
        <f>AVERAGE(F88:F100)</f>
        <v>3506121.7938461537</v>
      </c>
      <c r="G101" s="578">
        <f t="shared" ref="G101:O101" si="30">AVERAGE(G88:G100)</f>
        <v>1058856.1400000001</v>
      </c>
      <c r="H101" s="578">
        <f t="shared" ref="H101:J101" si="31">AVERAGE(H88:H100)</f>
        <v>0</v>
      </c>
      <c r="I101" s="578">
        <f t="shared" si="31"/>
        <v>0</v>
      </c>
      <c r="J101" s="578">
        <f t="shared" si="31"/>
        <v>0</v>
      </c>
      <c r="K101" s="578">
        <f t="shared" si="30"/>
        <v>0</v>
      </c>
      <c r="L101" s="578">
        <f t="shared" si="30"/>
        <v>0</v>
      </c>
      <c r="M101" s="578">
        <f t="shared" si="30"/>
        <v>0</v>
      </c>
      <c r="N101" s="578">
        <f t="shared" si="30"/>
        <v>0</v>
      </c>
      <c r="O101" s="579">
        <f t="shared" si="30"/>
        <v>0</v>
      </c>
      <c r="Q101" s="989">
        <f>AVERAGE(Q88:Q100)</f>
        <v>591304384.4268229</v>
      </c>
    </row>
    <row r="102" spans="2:17" s="227" customFormat="1" outlineLevel="1"/>
    <row r="103" spans="2:17" s="227" customFormat="1" outlineLevel="1">
      <c r="B103" s="559" t="s">
        <v>1054</v>
      </c>
      <c r="C103" s="560">
        <v>45992</v>
      </c>
      <c r="D103" s="564">
        <v>24811395.201081332</v>
      </c>
      <c r="E103" s="564">
        <v>492245651.25901777</v>
      </c>
      <c r="F103" s="564">
        <v>0</v>
      </c>
      <c r="G103" s="564">
        <v>1044932.1817589999</v>
      </c>
      <c r="H103" s="564">
        <v>0</v>
      </c>
      <c r="I103" s="564">
        <v>0</v>
      </c>
      <c r="J103" s="564">
        <v>0</v>
      </c>
      <c r="K103" s="564">
        <v>0</v>
      </c>
      <c r="L103" s="564">
        <v>0</v>
      </c>
      <c r="M103" s="564">
        <v>0</v>
      </c>
      <c r="N103" s="564">
        <v>0</v>
      </c>
      <c r="O103" s="564">
        <v>0</v>
      </c>
      <c r="Q103" s="564">
        <f>SUM(D103:O103)</f>
        <v>518101978.6418581</v>
      </c>
    </row>
    <row r="104" spans="2:17" s="227" customFormat="1" outlineLevel="1">
      <c r="B104" s="575"/>
      <c r="C104" s="572">
        <v>46023</v>
      </c>
      <c r="D104" s="573">
        <v>24753073.701261554</v>
      </c>
      <c r="E104" s="573">
        <v>491311065.88229012</v>
      </c>
      <c r="F104" s="573">
        <v>3789625.8281738339</v>
      </c>
      <c r="G104" s="573">
        <v>1042611.5220521665</v>
      </c>
      <c r="H104" s="573">
        <v>0</v>
      </c>
      <c r="I104" s="573">
        <v>0</v>
      </c>
      <c r="J104" s="573">
        <v>0</v>
      </c>
      <c r="K104" s="573">
        <v>0</v>
      </c>
      <c r="L104" s="573">
        <v>0</v>
      </c>
      <c r="M104" s="573">
        <v>0</v>
      </c>
      <c r="N104" s="573">
        <v>0</v>
      </c>
      <c r="O104" s="573">
        <v>0</v>
      </c>
      <c r="Q104" s="573">
        <f t="shared" ref="Q104:Q115" si="32">SUM(D104:O104)</f>
        <v>520896376.93377769</v>
      </c>
    </row>
    <row r="105" spans="2:17" s="227" customFormat="1" outlineLevel="1">
      <c r="B105" s="575"/>
      <c r="C105" s="574">
        <v>46054</v>
      </c>
      <c r="D105" s="573">
        <v>24694752.201441776</v>
      </c>
      <c r="E105" s="573">
        <v>490761975.32112861</v>
      </c>
      <c r="F105" s="573">
        <v>3780953.046347667</v>
      </c>
      <c r="G105" s="573">
        <v>1040290.8623453332</v>
      </c>
      <c r="H105" s="573">
        <v>0</v>
      </c>
      <c r="I105" s="573">
        <v>0</v>
      </c>
      <c r="J105" s="573">
        <v>0</v>
      </c>
      <c r="K105" s="573">
        <v>0</v>
      </c>
      <c r="L105" s="573">
        <v>0</v>
      </c>
      <c r="M105" s="573">
        <v>0</v>
      </c>
      <c r="N105" s="573">
        <v>0</v>
      </c>
      <c r="O105" s="573">
        <v>0</v>
      </c>
      <c r="Q105" s="573">
        <f t="shared" si="32"/>
        <v>520277971.43126339</v>
      </c>
    </row>
    <row r="106" spans="2:17" s="227" customFormat="1" outlineLevel="1">
      <c r="B106" s="575"/>
      <c r="C106" s="574">
        <v>46082</v>
      </c>
      <c r="D106" s="573">
        <v>24636430.701621998</v>
      </c>
      <c r="E106" s="573">
        <v>490658955.18942016</v>
      </c>
      <c r="F106" s="573">
        <v>3772280.2645215006</v>
      </c>
      <c r="G106" s="573">
        <v>1037970.2026384999</v>
      </c>
      <c r="H106" s="573">
        <v>0</v>
      </c>
      <c r="I106" s="573">
        <v>0</v>
      </c>
      <c r="J106" s="573">
        <v>0</v>
      </c>
      <c r="K106" s="573">
        <v>0</v>
      </c>
      <c r="L106" s="573">
        <v>0</v>
      </c>
      <c r="M106" s="573">
        <v>0</v>
      </c>
      <c r="N106" s="573">
        <v>0</v>
      </c>
      <c r="O106" s="573">
        <v>0</v>
      </c>
      <c r="Q106" s="573">
        <f t="shared" si="32"/>
        <v>520105636.35820216</v>
      </c>
    </row>
    <row r="107" spans="2:17" s="227" customFormat="1" outlineLevel="1">
      <c r="B107" s="575"/>
      <c r="C107" s="574">
        <v>46113</v>
      </c>
      <c r="D107" s="573">
        <v>24578109.20180222</v>
      </c>
      <c r="E107" s="573">
        <v>489659552.65261173</v>
      </c>
      <c r="F107" s="573">
        <v>3763607.4826953337</v>
      </c>
      <c r="G107" s="573">
        <v>1035649.5429316666</v>
      </c>
      <c r="H107" s="573">
        <v>0</v>
      </c>
      <c r="I107" s="573">
        <v>0</v>
      </c>
      <c r="J107" s="573">
        <v>0</v>
      </c>
      <c r="K107" s="573">
        <v>0</v>
      </c>
      <c r="L107" s="573">
        <v>0</v>
      </c>
      <c r="M107" s="573">
        <v>0</v>
      </c>
      <c r="N107" s="573">
        <v>0</v>
      </c>
      <c r="O107" s="573">
        <v>0</v>
      </c>
      <c r="Q107" s="573">
        <f t="shared" si="32"/>
        <v>519036918.88004094</v>
      </c>
    </row>
    <row r="108" spans="2:17" s="227" customFormat="1" outlineLevel="1">
      <c r="B108" s="575"/>
      <c r="C108" s="574">
        <v>46143</v>
      </c>
      <c r="D108" s="573">
        <v>24519787.701982442</v>
      </c>
      <c r="E108" s="573">
        <v>488660150.11580324</v>
      </c>
      <c r="F108" s="573">
        <v>3754934.7008691672</v>
      </c>
      <c r="G108" s="573">
        <v>1033328.8832248333</v>
      </c>
      <c r="H108" s="573">
        <v>0</v>
      </c>
      <c r="I108" s="573">
        <v>0</v>
      </c>
      <c r="J108" s="573">
        <v>0</v>
      </c>
      <c r="K108" s="573">
        <v>0</v>
      </c>
      <c r="L108" s="573">
        <v>0</v>
      </c>
      <c r="M108" s="573">
        <v>0</v>
      </c>
      <c r="N108" s="573">
        <v>0</v>
      </c>
      <c r="O108" s="573">
        <v>0</v>
      </c>
      <c r="Q108" s="573">
        <f t="shared" si="32"/>
        <v>517968201.40187967</v>
      </c>
    </row>
    <row r="109" spans="2:17" s="227" customFormat="1" outlineLevel="1">
      <c r="B109" s="575"/>
      <c r="C109" s="574">
        <v>46174</v>
      </c>
      <c r="D109" s="573">
        <v>24461466.202162664</v>
      </c>
      <c r="E109" s="573">
        <v>487660747.57899475</v>
      </c>
      <c r="F109" s="573">
        <v>3746261.9190430003</v>
      </c>
      <c r="G109" s="573">
        <v>1031008.2235179999</v>
      </c>
      <c r="H109" s="573">
        <v>0</v>
      </c>
      <c r="I109" s="573">
        <v>0</v>
      </c>
      <c r="J109" s="573">
        <v>0</v>
      </c>
      <c r="K109" s="573">
        <v>0</v>
      </c>
      <c r="L109" s="573">
        <v>0</v>
      </c>
      <c r="M109" s="573">
        <v>0</v>
      </c>
      <c r="N109" s="573">
        <v>0</v>
      </c>
      <c r="O109" s="573">
        <v>0</v>
      </c>
      <c r="Q109" s="573">
        <f t="shared" si="32"/>
        <v>516899483.92371845</v>
      </c>
    </row>
    <row r="110" spans="2:17" s="227" customFormat="1" outlineLevel="1">
      <c r="B110" s="575"/>
      <c r="C110" s="574">
        <v>46204</v>
      </c>
      <c r="D110" s="573">
        <v>24403144.702342886</v>
      </c>
      <c r="E110" s="573">
        <v>486661345.04218626</v>
      </c>
      <c r="F110" s="573">
        <v>3737589.1372168339</v>
      </c>
      <c r="G110" s="573">
        <v>1028687.5638111666</v>
      </c>
      <c r="H110" s="573">
        <v>0</v>
      </c>
      <c r="I110" s="573">
        <v>0</v>
      </c>
      <c r="J110" s="573">
        <v>0</v>
      </c>
      <c r="K110" s="573">
        <v>0</v>
      </c>
      <c r="L110" s="573">
        <v>0</v>
      </c>
      <c r="M110" s="573">
        <v>0</v>
      </c>
      <c r="N110" s="573">
        <v>0</v>
      </c>
      <c r="O110" s="573">
        <v>0</v>
      </c>
      <c r="Q110" s="573">
        <f t="shared" si="32"/>
        <v>515830766.44555712</v>
      </c>
    </row>
    <row r="111" spans="2:17" s="227" customFormat="1" outlineLevel="1">
      <c r="B111" s="575"/>
      <c r="C111" s="574">
        <v>46235</v>
      </c>
      <c r="D111" s="573">
        <v>24344823.202523109</v>
      </c>
      <c r="E111" s="573">
        <v>485661942.50537777</v>
      </c>
      <c r="F111" s="573">
        <v>3728916.355390667</v>
      </c>
      <c r="G111" s="573">
        <v>1026366.9041043333</v>
      </c>
      <c r="H111" s="573">
        <v>0</v>
      </c>
      <c r="I111" s="573">
        <v>0</v>
      </c>
      <c r="J111" s="573">
        <v>0</v>
      </c>
      <c r="K111" s="573">
        <v>0</v>
      </c>
      <c r="L111" s="573">
        <v>0</v>
      </c>
      <c r="M111" s="573">
        <v>0</v>
      </c>
      <c r="N111" s="573">
        <v>0</v>
      </c>
      <c r="O111" s="573">
        <v>0</v>
      </c>
      <c r="Q111" s="573">
        <f t="shared" si="32"/>
        <v>514762048.9673959</v>
      </c>
    </row>
    <row r="112" spans="2:17" s="227" customFormat="1" outlineLevel="1">
      <c r="B112" s="575"/>
      <c r="C112" s="574">
        <v>46266</v>
      </c>
      <c r="D112" s="573">
        <v>24286501.702703331</v>
      </c>
      <c r="E112" s="573">
        <v>484662539.96856928</v>
      </c>
      <c r="F112" s="573">
        <v>3720243.5735645005</v>
      </c>
      <c r="G112" s="573">
        <v>1024046.2443974999</v>
      </c>
      <c r="H112" s="573">
        <v>0</v>
      </c>
      <c r="I112" s="573">
        <v>0</v>
      </c>
      <c r="J112" s="573">
        <v>0</v>
      </c>
      <c r="K112" s="573">
        <v>0</v>
      </c>
      <c r="L112" s="573">
        <v>0</v>
      </c>
      <c r="M112" s="573">
        <v>0</v>
      </c>
      <c r="N112" s="573">
        <v>0</v>
      </c>
      <c r="O112" s="573">
        <v>0</v>
      </c>
      <c r="Q112" s="573">
        <f t="shared" si="32"/>
        <v>513693331.48923469</v>
      </c>
    </row>
    <row r="113" spans="2:17" s="227" customFormat="1" outlineLevel="1">
      <c r="B113" s="575"/>
      <c r="C113" s="574">
        <v>46296</v>
      </c>
      <c r="D113" s="573">
        <v>24228180.202883553</v>
      </c>
      <c r="E113" s="573">
        <v>483663137.43176079</v>
      </c>
      <c r="F113" s="573">
        <v>3711570.7917383336</v>
      </c>
      <c r="G113" s="573">
        <v>1021725.5846906665</v>
      </c>
      <c r="H113" s="573">
        <v>0</v>
      </c>
      <c r="I113" s="573">
        <v>0</v>
      </c>
      <c r="J113" s="573">
        <v>0</v>
      </c>
      <c r="K113" s="573">
        <v>0</v>
      </c>
      <c r="L113" s="573">
        <v>0</v>
      </c>
      <c r="M113" s="573">
        <v>0</v>
      </c>
      <c r="N113" s="573">
        <v>0</v>
      </c>
      <c r="O113" s="573">
        <v>0</v>
      </c>
      <c r="Q113" s="573">
        <f t="shared" si="32"/>
        <v>512624614.01107335</v>
      </c>
    </row>
    <row r="114" spans="2:17" s="227" customFormat="1" outlineLevel="1">
      <c r="B114" s="575"/>
      <c r="C114" s="574">
        <v>46327</v>
      </c>
      <c r="D114" s="573">
        <v>24169858.703063775</v>
      </c>
      <c r="E114" s="573">
        <v>482663734.8949523</v>
      </c>
      <c r="F114" s="573">
        <v>3702898.0099121672</v>
      </c>
      <c r="G114" s="573">
        <v>1019404.9249838332</v>
      </c>
      <c r="H114" s="573">
        <v>0</v>
      </c>
      <c r="I114" s="573">
        <v>0</v>
      </c>
      <c r="J114" s="573">
        <v>0</v>
      </c>
      <c r="K114" s="573">
        <v>0</v>
      </c>
      <c r="L114" s="573">
        <v>0</v>
      </c>
      <c r="M114" s="573">
        <v>0</v>
      </c>
      <c r="N114" s="573">
        <v>0</v>
      </c>
      <c r="O114" s="573">
        <v>0</v>
      </c>
      <c r="Q114" s="573">
        <f t="shared" si="32"/>
        <v>511555896.53291214</v>
      </c>
    </row>
    <row r="115" spans="2:17" s="227" customFormat="1" outlineLevel="1">
      <c r="B115" s="575"/>
      <c r="C115" s="566">
        <v>46357</v>
      </c>
      <c r="D115" s="570">
        <v>24111537.203243997</v>
      </c>
      <c r="E115" s="570">
        <v>496855898.01434052</v>
      </c>
      <c r="F115" s="570">
        <v>3694225.2280860003</v>
      </c>
      <c r="G115" s="570">
        <v>1017084.2652769999</v>
      </c>
      <c r="H115" s="570">
        <v>0</v>
      </c>
      <c r="I115" s="570">
        <v>0</v>
      </c>
      <c r="J115" s="570">
        <v>0</v>
      </c>
      <c r="K115" s="570">
        <v>0</v>
      </c>
      <c r="L115" s="570">
        <v>0</v>
      </c>
      <c r="M115" s="570">
        <v>0</v>
      </c>
      <c r="N115" s="570">
        <v>0</v>
      </c>
      <c r="O115" s="570">
        <v>0</v>
      </c>
      <c r="Q115" s="570">
        <f t="shared" si="32"/>
        <v>525678744.71094751</v>
      </c>
    </row>
    <row r="116" spans="2:17" s="227" customFormat="1" outlineLevel="1">
      <c r="B116" s="576"/>
      <c r="C116" s="577" t="s">
        <v>891</v>
      </c>
      <c r="D116" s="578">
        <f>AVERAGE(D103:D115)</f>
        <v>24461466.202162664</v>
      </c>
      <c r="E116" s="578">
        <f>AVERAGE(E103:E115)</f>
        <v>488548207.37357336</v>
      </c>
      <c r="F116" s="578">
        <f>AVERAGE(F103:F115)</f>
        <v>3454085.1028891546</v>
      </c>
      <c r="G116" s="578">
        <f t="shared" ref="G116:O116" si="33">AVERAGE(G103:G115)</f>
        <v>1031008.2235179998</v>
      </c>
      <c r="H116" s="578">
        <f t="shared" ref="H116:J116" si="34">AVERAGE(H103:H115)</f>
        <v>0</v>
      </c>
      <c r="I116" s="578">
        <f t="shared" si="34"/>
        <v>0</v>
      </c>
      <c r="J116" s="578">
        <f t="shared" si="34"/>
        <v>0</v>
      </c>
      <c r="K116" s="578">
        <f t="shared" si="33"/>
        <v>0</v>
      </c>
      <c r="L116" s="578">
        <f t="shared" si="33"/>
        <v>0</v>
      </c>
      <c r="M116" s="578">
        <f t="shared" si="33"/>
        <v>0</v>
      </c>
      <c r="N116" s="578">
        <f t="shared" si="33"/>
        <v>0</v>
      </c>
      <c r="O116" s="579">
        <f t="shared" si="33"/>
        <v>0</v>
      </c>
      <c r="Q116" s="989">
        <f>AVERAGE(Q103:Q115)</f>
        <v>517494766.90214318</v>
      </c>
    </row>
    <row r="117" spans="2:17" s="227" customFormat="1" outlineLevel="1"/>
    <row r="118" spans="2:17" s="227" customFormat="1" outlineLevel="1">
      <c r="B118" s="559" t="s">
        <v>967</v>
      </c>
      <c r="C118" s="560">
        <v>45992</v>
      </c>
      <c r="D118" s="564">
        <v>8698447.8389186673</v>
      </c>
      <c r="E118" s="564">
        <v>58686346.302882224</v>
      </c>
      <c r="F118" s="564">
        <v>0</v>
      </c>
      <c r="G118" s="564">
        <v>13923.958240999997</v>
      </c>
      <c r="H118" s="564">
        <v>0</v>
      </c>
      <c r="I118" s="564">
        <v>0</v>
      </c>
      <c r="J118" s="564">
        <v>0</v>
      </c>
      <c r="K118" s="564">
        <v>0</v>
      </c>
      <c r="L118" s="564">
        <v>0</v>
      </c>
      <c r="M118" s="564">
        <v>0</v>
      </c>
      <c r="N118" s="564">
        <v>0</v>
      </c>
      <c r="O118" s="564">
        <v>0</v>
      </c>
      <c r="Q118" s="564">
        <f>SUM(D118:O118)</f>
        <v>67398718.100041896</v>
      </c>
    </row>
    <row r="119" spans="2:17" s="227" customFormat="1" outlineLevel="1">
      <c r="B119" s="575"/>
      <c r="C119" s="572">
        <v>46023</v>
      </c>
      <c r="D119" s="573">
        <v>8756769.3387384452</v>
      </c>
      <c r="E119" s="573">
        <v>59683469.982709825</v>
      </c>
      <c r="F119" s="573">
        <v>8672.7818261666671</v>
      </c>
      <c r="G119" s="573">
        <v>16244.617947833329</v>
      </c>
      <c r="H119" s="573">
        <v>0</v>
      </c>
      <c r="I119" s="573">
        <v>0</v>
      </c>
      <c r="J119" s="573">
        <v>0</v>
      </c>
      <c r="K119" s="573">
        <v>0</v>
      </c>
      <c r="L119" s="573">
        <v>0</v>
      </c>
      <c r="M119" s="573">
        <v>0</v>
      </c>
      <c r="N119" s="573">
        <v>0</v>
      </c>
      <c r="O119" s="573">
        <v>0</v>
      </c>
      <c r="Q119" s="573">
        <f t="shared" ref="Q119:Q130" si="35">SUM(D119:O119)</f>
        <v>68465156.721222267</v>
      </c>
    </row>
    <row r="120" spans="2:17" s="227" customFormat="1" outlineLevel="1">
      <c r="B120" s="575"/>
      <c r="C120" s="574">
        <v>46054</v>
      </c>
      <c r="D120" s="573">
        <v>8815090.8385582231</v>
      </c>
      <c r="E120" s="573">
        <v>60681353.961671352</v>
      </c>
      <c r="F120" s="573">
        <v>17345.563652333334</v>
      </c>
      <c r="G120" s="573">
        <v>18565.277654666661</v>
      </c>
      <c r="H120" s="573">
        <v>0</v>
      </c>
      <c r="I120" s="573">
        <v>0</v>
      </c>
      <c r="J120" s="573">
        <v>0</v>
      </c>
      <c r="K120" s="573">
        <v>0</v>
      </c>
      <c r="L120" s="573">
        <v>0</v>
      </c>
      <c r="M120" s="573">
        <v>0</v>
      </c>
      <c r="N120" s="573">
        <v>0</v>
      </c>
      <c r="O120" s="573">
        <v>0</v>
      </c>
      <c r="Q120" s="573">
        <f t="shared" si="35"/>
        <v>69532355.641536579</v>
      </c>
    </row>
    <row r="121" spans="2:17" s="227" customFormat="1" outlineLevel="1">
      <c r="B121" s="575"/>
      <c r="C121" s="574">
        <v>46082</v>
      </c>
      <c r="D121" s="573">
        <v>8873412.338378001</v>
      </c>
      <c r="E121" s="573">
        <v>61680756.498479836</v>
      </c>
      <c r="F121" s="573">
        <v>26018.345478499999</v>
      </c>
      <c r="G121" s="573">
        <v>20885.937361499993</v>
      </c>
      <c r="H121" s="573">
        <v>0</v>
      </c>
      <c r="I121" s="573">
        <v>0</v>
      </c>
      <c r="J121" s="573">
        <v>0</v>
      </c>
      <c r="K121" s="573">
        <v>0</v>
      </c>
      <c r="L121" s="573">
        <v>0</v>
      </c>
      <c r="M121" s="573">
        <v>0</v>
      </c>
      <c r="N121" s="573">
        <v>0</v>
      </c>
      <c r="O121" s="573">
        <v>0</v>
      </c>
      <c r="Q121" s="573">
        <f t="shared" si="35"/>
        <v>70601073.119697839</v>
      </c>
    </row>
    <row r="122" spans="2:17" s="227" customFormat="1" outlineLevel="1">
      <c r="B122" s="575"/>
      <c r="C122" s="574">
        <v>46113</v>
      </c>
      <c r="D122" s="573">
        <v>8931733.8381977789</v>
      </c>
      <c r="E122" s="573">
        <v>62680159.035288312</v>
      </c>
      <c r="F122" s="573">
        <v>34691.127304666668</v>
      </c>
      <c r="G122" s="573">
        <v>23206.597068333325</v>
      </c>
      <c r="H122" s="573">
        <v>0</v>
      </c>
      <c r="I122" s="573">
        <v>0</v>
      </c>
      <c r="J122" s="573">
        <v>0</v>
      </c>
      <c r="K122" s="573">
        <v>0</v>
      </c>
      <c r="L122" s="573">
        <v>0</v>
      </c>
      <c r="M122" s="573">
        <v>0</v>
      </c>
      <c r="N122" s="573">
        <v>0</v>
      </c>
      <c r="O122" s="573">
        <v>0</v>
      </c>
      <c r="Q122" s="573">
        <f t="shared" si="35"/>
        <v>71669790.5978591</v>
      </c>
    </row>
    <row r="123" spans="2:17" s="227" customFormat="1" outlineLevel="1">
      <c r="B123" s="575"/>
      <c r="C123" s="574">
        <v>46143</v>
      </c>
      <c r="D123" s="573">
        <v>8990055.3380175568</v>
      </c>
      <c r="E123" s="573">
        <v>63679561.572096787</v>
      </c>
      <c r="F123" s="573">
        <v>43363.909130833337</v>
      </c>
      <c r="G123" s="573">
        <v>25527.256775166657</v>
      </c>
      <c r="H123" s="573">
        <v>0</v>
      </c>
      <c r="I123" s="573">
        <v>0</v>
      </c>
      <c r="J123" s="573">
        <v>0</v>
      </c>
      <c r="K123" s="573">
        <v>0</v>
      </c>
      <c r="L123" s="573">
        <v>0</v>
      </c>
      <c r="M123" s="573">
        <v>0</v>
      </c>
      <c r="N123" s="573">
        <v>0</v>
      </c>
      <c r="O123" s="573">
        <v>0</v>
      </c>
      <c r="Q123" s="573">
        <f t="shared" si="35"/>
        <v>72738508.076020345</v>
      </c>
    </row>
    <row r="124" spans="2:17" s="227" customFormat="1" outlineLevel="1">
      <c r="B124" s="575"/>
      <c r="C124" s="574">
        <v>46174</v>
      </c>
      <c r="D124" s="573">
        <v>9048376.8378373347</v>
      </c>
      <c r="E124" s="573">
        <v>64678964.108905278</v>
      </c>
      <c r="F124" s="573">
        <v>52036.690957000006</v>
      </c>
      <c r="G124" s="573">
        <v>27847.91648199999</v>
      </c>
      <c r="H124" s="573">
        <v>0</v>
      </c>
      <c r="I124" s="573">
        <v>0</v>
      </c>
      <c r="J124" s="573">
        <v>0</v>
      </c>
      <c r="K124" s="573">
        <v>0</v>
      </c>
      <c r="L124" s="573">
        <v>0</v>
      </c>
      <c r="M124" s="573">
        <v>0</v>
      </c>
      <c r="N124" s="573">
        <v>0</v>
      </c>
      <c r="O124" s="573">
        <v>0</v>
      </c>
      <c r="Q124" s="573">
        <f t="shared" si="35"/>
        <v>73807225.554181606</v>
      </c>
    </row>
    <row r="125" spans="2:17" s="227" customFormat="1" outlineLevel="1">
      <c r="B125" s="575"/>
      <c r="C125" s="574">
        <v>46204</v>
      </c>
      <c r="D125" s="573">
        <v>9106698.3376571126</v>
      </c>
      <c r="E125" s="573">
        <v>65678366.645713747</v>
      </c>
      <c r="F125" s="573">
        <v>60709.472783166675</v>
      </c>
      <c r="G125" s="573">
        <v>30168.576188833322</v>
      </c>
      <c r="H125" s="573">
        <v>0</v>
      </c>
      <c r="I125" s="573">
        <v>0</v>
      </c>
      <c r="J125" s="573">
        <v>0</v>
      </c>
      <c r="K125" s="573">
        <v>0</v>
      </c>
      <c r="L125" s="573">
        <v>0</v>
      </c>
      <c r="M125" s="573">
        <v>0</v>
      </c>
      <c r="N125" s="573">
        <v>0</v>
      </c>
      <c r="O125" s="573">
        <v>0</v>
      </c>
      <c r="Q125" s="573">
        <f t="shared" si="35"/>
        <v>74875943.032342851</v>
      </c>
    </row>
    <row r="126" spans="2:17" s="227" customFormat="1" outlineLevel="1">
      <c r="B126" s="575"/>
      <c r="C126" s="574">
        <v>46235</v>
      </c>
      <c r="D126" s="573">
        <v>9165019.8374768905</v>
      </c>
      <c r="E126" s="573">
        <v>66677769.182522237</v>
      </c>
      <c r="F126" s="573">
        <v>69382.254609333337</v>
      </c>
      <c r="G126" s="573">
        <v>32489.235895666654</v>
      </c>
      <c r="H126" s="573">
        <v>0</v>
      </c>
      <c r="I126" s="573">
        <v>0</v>
      </c>
      <c r="J126" s="573">
        <v>0</v>
      </c>
      <c r="K126" s="573">
        <v>0</v>
      </c>
      <c r="L126" s="573">
        <v>0</v>
      </c>
      <c r="M126" s="573">
        <v>0</v>
      </c>
      <c r="N126" s="573">
        <v>0</v>
      </c>
      <c r="O126" s="573">
        <v>0</v>
      </c>
      <c r="Q126" s="573">
        <f t="shared" si="35"/>
        <v>75944660.510504127</v>
      </c>
    </row>
    <row r="127" spans="2:17" s="227" customFormat="1" outlineLevel="1">
      <c r="B127" s="575"/>
      <c r="C127" s="574">
        <v>46266</v>
      </c>
      <c r="D127" s="573">
        <v>9223341.3372966684</v>
      </c>
      <c r="E127" s="573">
        <v>67677171.719330713</v>
      </c>
      <c r="F127" s="573">
        <v>78055.036435500006</v>
      </c>
      <c r="G127" s="573">
        <v>34809.895602499986</v>
      </c>
      <c r="H127" s="573">
        <v>0</v>
      </c>
      <c r="I127" s="573">
        <v>0</v>
      </c>
      <c r="J127" s="573">
        <v>0</v>
      </c>
      <c r="K127" s="573">
        <v>0</v>
      </c>
      <c r="L127" s="573">
        <v>0</v>
      </c>
      <c r="M127" s="573">
        <v>0</v>
      </c>
      <c r="N127" s="573">
        <v>0</v>
      </c>
      <c r="O127" s="573">
        <v>0</v>
      </c>
      <c r="Q127" s="573">
        <f t="shared" si="35"/>
        <v>77013377.988665372</v>
      </c>
    </row>
    <row r="128" spans="2:17" s="227" customFormat="1" outlineLevel="1">
      <c r="B128" s="575"/>
      <c r="C128" s="574">
        <v>46296</v>
      </c>
      <c r="D128" s="573">
        <v>9281662.8371164463</v>
      </c>
      <c r="E128" s="573">
        <v>68676574.256139189</v>
      </c>
      <c r="F128" s="573">
        <v>86727.818261666675</v>
      </c>
      <c r="G128" s="573">
        <v>37130.555309333322</v>
      </c>
      <c r="H128" s="573">
        <v>0</v>
      </c>
      <c r="I128" s="573">
        <v>0</v>
      </c>
      <c r="J128" s="573">
        <v>0</v>
      </c>
      <c r="K128" s="573">
        <v>0</v>
      </c>
      <c r="L128" s="573">
        <v>0</v>
      </c>
      <c r="M128" s="573">
        <v>0</v>
      </c>
      <c r="N128" s="573">
        <v>0</v>
      </c>
      <c r="O128" s="573">
        <v>0</v>
      </c>
      <c r="Q128" s="573">
        <f t="shared" si="35"/>
        <v>78082095.466826648</v>
      </c>
    </row>
    <row r="129" spans="2:17" s="227" customFormat="1" outlineLevel="1">
      <c r="B129" s="575"/>
      <c r="C129" s="574">
        <v>46327</v>
      </c>
      <c r="D129" s="573">
        <v>9339984.3369362243</v>
      </c>
      <c r="E129" s="573">
        <v>69675976.79294768</v>
      </c>
      <c r="F129" s="573">
        <v>95400.600087833343</v>
      </c>
      <c r="G129" s="573">
        <v>39451.215016166658</v>
      </c>
      <c r="H129" s="573">
        <v>0</v>
      </c>
      <c r="I129" s="573">
        <v>0</v>
      </c>
      <c r="J129" s="573">
        <v>0</v>
      </c>
      <c r="K129" s="573">
        <v>0</v>
      </c>
      <c r="L129" s="573">
        <v>0</v>
      </c>
      <c r="M129" s="573">
        <v>0</v>
      </c>
      <c r="N129" s="573">
        <v>0</v>
      </c>
      <c r="O129" s="573">
        <v>0</v>
      </c>
      <c r="Q129" s="573">
        <f t="shared" si="35"/>
        <v>79150812.944987908</v>
      </c>
    </row>
    <row r="130" spans="2:17" s="227" customFormat="1" outlineLevel="1">
      <c r="B130" s="575"/>
      <c r="C130" s="580">
        <v>46357</v>
      </c>
      <c r="D130" s="570">
        <v>9398305.8367560022</v>
      </c>
      <c r="E130" s="570">
        <v>70701158.973559499</v>
      </c>
      <c r="F130" s="570">
        <v>104073.38191400001</v>
      </c>
      <c r="G130" s="570">
        <v>41771.874722999994</v>
      </c>
      <c r="H130" s="570">
        <v>0</v>
      </c>
      <c r="I130" s="570">
        <v>0</v>
      </c>
      <c r="J130" s="570">
        <v>0</v>
      </c>
      <c r="K130" s="570">
        <v>0</v>
      </c>
      <c r="L130" s="570">
        <v>0</v>
      </c>
      <c r="M130" s="570">
        <v>0</v>
      </c>
      <c r="N130" s="570">
        <v>0</v>
      </c>
      <c r="O130" s="570">
        <v>0</v>
      </c>
      <c r="Q130" s="570">
        <f t="shared" si="35"/>
        <v>80245310.066952512</v>
      </c>
    </row>
    <row r="131" spans="2:17" s="227" customFormat="1" outlineLevel="1">
      <c r="B131" s="576"/>
      <c r="C131" s="577" t="s">
        <v>892</v>
      </c>
      <c r="D131" s="578">
        <f>AVERAGE(D118:D130)</f>
        <v>9048376.8378373347</v>
      </c>
      <c r="E131" s="578">
        <f>AVERAGE(E118:E130)</f>
        <v>64681356.079403587</v>
      </c>
      <c r="F131" s="578">
        <f>AVERAGE(F118:F130)</f>
        <v>52036.690957000006</v>
      </c>
      <c r="G131" s="578">
        <f t="shared" ref="G131:O131" si="36">AVERAGE(G118:G130)</f>
        <v>27847.916481999993</v>
      </c>
      <c r="H131" s="578">
        <f t="shared" ref="H131:J131" si="37">AVERAGE(H118:H130)</f>
        <v>0</v>
      </c>
      <c r="I131" s="578">
        <f t="shared" si="37"/>
        <v>0</v>
      </c>
      <c r="J131" s="578">
        <f t="shared" si="37"/>
        <v>0</v>
      </c>
      <c r="K131" s="578">
        <f t="shared" si="36"/>
        <v>0</v>
      </c>
      <c r="L131" s="578">
        <f t="shared" si="36"/>
        <v>0</v>
      </c>
      <c r="M131" s="578">
        <f t="shared" si="36"/>
        <v>0</v>
      </c>
      <c r="N131" s="578">
        <f t="shared" si="36"/>
        <v>0</v>
      </c>
      <c r="O131" s="579">
        <f t="shared" si="36"/>
        <v>0</v>
      </c>
      <c r="Q131" s="989">
        <f>AVERAGE(Q118:Q130)</f>
        <v>73809617.524679914</v>
      </c>
    </row>
    <row r="132" spans="2:17" outlineLevel="1">
      <c r="D132" s="604">
        <f>D131-D39</f>
        <v>0</v>
      </c>
      <c r="E132" s="604">
        <f t="shared" ref="E132:O132" si="38">E131-E39</f>
        <v>0</v>
      </c>
      <c r="F132" s="604">
        <f t="shared" si="38"/>
        <v>-3.485183697193861E-9</v>
      </c>
      <c r="G132" s="604">
        <f t="shared" si="38"/>
        <v>4.3655745685100555E-11</v>
      </c>
      <c r="H132" s="604">
        <f t="shared" si="38"/>
        <v>0</v>
      </c>
      <c r="I132" s="604">
        <f t="shared" si="38"/>
        <v>0</v>
      </c>
      <c r="J132" s="604">
        <f t="shared" si="38"/>
        <v>0</v>
      </c>
      <c r="K132" s="604">
        <f t="shared" si="38"/>
        <v>0</v>
      </c>
      <c r="L132" s="604">
        <f t="shared" si="38"/>
        <v>0</v>
      </c>
      <c r="M132" s="604">
        <f t="shared" si="38"/>
        <v>0</v>
      </c>
      <c r="N132" s="604">
        <f t="shared" si="38"/>
        <v>0</v>
      </c>
      <c r="O132" s="604">
        <f t="shared" si="38"/>
        <v>0</v>
      </c>
    </row>
    <row r="133" spans="2:17" outlineLevel="1"/>
  </sheetData>
  <conditionalFormatting sqref="Q23">
    <cfRule type="cellIs" dxfId="4" priority="5" operator="notEqual">
      <formula>0</formula>
    </cfRule>
  </conditionalFormatting>
  <conditionalFormatting sqref="Q39">
    <cfRule type="cellIs" dxfId="3" priority="4" operator="notEqual">
      <formula>0</formula>
    </cfRule>
  </conditionalFormatting>
  <conditionalFormatting sqref="Q56">
    <cfRule type="cellIs" dxfId="2" priority="3" operator="notEqual">
      <formula>0</formula>
    </cfRule>
  </conditionalFormatting>
  <conditionalFormatting sqref="Q61">
    <cfRule type="cellIs" dxfId="1" priority="2" operator="notEqual">
      <formula>0</formula>
    </cfRule>
  </conditionalFormatting>
  <conditionalFormatting sqref="Q66">
    <cfRule type="cellIs" dxfId="0" priority="1" operator="notEqual">
      <formula>0</formula>
    </cfRule>
  </conditionalFormatting>
  <pageMargins left="0.7" right="0.7" top="0.75" bottom="0.75" header="0.3" footer="0.3"/>
  <pageSetup scale="5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DE62E-5B18-4230-9673-0C1073BCBBE4}">
  <sheetPr codeName="Sheet26">
    <pageSetUpPr fitToPage="1"/>
  </sheetPr>
  <dimension ref="A1:AQ106"/>
  <sheetViews>
    <sheetView topLeftCell="A47" zoomScale="70" zoomScaleNormal="70" zoomScaleSheetLayoutView="100" workbookViewId="0">
      <pane xSplit="2" topLeftCell="O1" activePane="topRight" state="frozen"/>
      <selection activeCell="I78" sqref="I78"/>
      <selection pane="topRight" activeCell="AO65" sqref="AO65"/>
    </sheetView>
  </sheetViews>
  <sheetFormatPr defaultColWidth="9.140625" defaultRowHeight="15" outlineLevelRow="1" outlineLevelCol="1"/>
  <cols>
    <col min="1" max="1" width="19.5703125" style="76" customWidth="1"/>
    <col min="2" max="2" width="70.42578125" style="76" customWidth="1"/>
    <col min="3" max="4" width="16.7109375" style="76" hidden="1" customWidth="1" outlineLevel="1"/>
    <col min="5" max="5" width="17.42578125" style="76" hidden="1" customWidth="1" outlineLevel="1"/>
    <col min="6" max="6" width="18.5703125" style="76" hidden="1" customWidth="1" outlineLevel="1"/>
    <col min="7" max="7" width="15.85546875" style="76" hidden="1" customWidth="1" outlineLevel="1"/>
    <col min="8" max="8" width="18.140625" style="76" hidden="1" customWidth="1" outlineLevel="1"/>
    <col min="9" max="9" width="15.7109375" style="76" hidden="1" customWidth="1" outlineLevel="1"/>
    <col min="10" max="10" width="17.140625" style="76" hidden="1" customWidth="1" outlineLevel="1"/>
    <col min="11" max="11" width="16.28515625" style="76" hidden="1" customWidth="1" outlineLevel="1"/>
    <col min="12" max="12" width="16.42578125" style="76" hidden="1" customWidth="1" outlineLevel="1"/>
    <col min="13" max="13" width="16" style="76" hidden="1" customWidth="1" outlineLevel="1"/>
    <col min="14" max="14" width="15.85546875" style="76" hidden="1" customWidth="1" outlineLevel="1"/>
    <col min="15" max="15" width="17.140625" style="76" customWidth="1" collapsed="1"/>
    <col min="16" max="18" width="17.140625" style="76" customWidth="1"/>
    <col min="19" max="19" width="2.42578125" style="76" customWidth="1"/>
    <col min="20" max="21" width="17.140625" style="76" customWidth="1"/>
    <col min="22" max="22" width="2.42578125" style="76" customWidth="1"/>
    <col min="23" max="24" width="16.7109375" style="76" hidden="1" customWidth="1" outlineLevel="1"/>
    <col min="25" max="25" width="17.42578125" style="76" hidden="1" customWidth="1" outlineLevel="1"/>
    <col min="26" max="26" width="18.5703125" style="76" hidden="1" customWidth="1" outlineLevel="1"/>
    <col min="27" max="27" width="15.85546875" style="76" hidden="1" customWidth="1" outlineLevel="1"/>
    <col min="28" max="28" width="18.140625" style="76" hidden="1" customWidth="1" outlineLevel="1"/>
    <col min="29" max="29" width="15.7109375" style="76" hidden="1" customWidth="1" outlineLevel="1"/>
    <col min="30" max="30" width="18.42578125" style="76" hidden="1" customWidth="1" outlineLevel="1"/>
    <col min="31" max="31" width="16.28515625" style="76" hidden="1" customWidth="1" outlineLevel="1"/>
    <col min="32" max="32" width="16.42578125" style="76" hidden="1" customWidth="1" outlineLevel="1"/>
    <col min="33" max="34" width="16" style="76" hidden="1" customWidth="1" outlineLevel="1"/>
    <col min="35" max="35" width="17.140625" style="76" customWidth="1" collapsed="1"/>
    <col min="36" max="37" width="17.140625" style="76" customWidth="1"/>
    <col min="38" max="38" width="2.42578125" style="76" customWidth="1"/>
    <col min="39" max="41" width="17.140625" style="76" customWidth="1"/>
    <col min="42" max="42" width="9.140625" style="76"/>
    <col min="43" max="43" width="14.42578125" style="76" customWidth="1"/>
    <col min="44" max="16384" width="9.140625" style="76"/>
  </cols>
  <sheetData>
    <row r="1" spans="1:41" hidden="1" outlineLevel="1">
      <c r="A1" s="350"/>
      <c r="B1" s="350" t="s">
        <v>537</v>
      </c>
      <c r="C1" s="350"/>
      <c r="D1" s="350"/>
      <c r="E1" s="350"/>
      <c r="F1" s="350"/>
      <c r="G1" s="350"/>
      <c r="H1" s="351" t="s">
        <v>536</v>
      </c>
      <c r="I1" s="351"/>
      <c r="J1" s="350"/>
      <c r="K1" s="350"/>
      <c r="L1" s="350"/>
      <c r="M1" s="350"/>
      <c r="N1" s="350"/>
      <c r="O1" s="352"/>
      <c r="P1" s="353"/>
      <c r="Q1" s="354"/>
      <c r="R1" s="354"/>
      <c r="S1" s="355"/>
      <c r="T1" s="356"/>
      <c r="U1" s="356"/>
      <c r="V1" s="355"/>
      <c r="W1" s="350"/>
      <c r="X1" s="350"/>
      <c r="Y1" s="350"/>
      <c r="Z1" s="350"/>
      <c r="AA1" s="350"/>
      <c r="AB1" s="351"/>
      <c r="AC1" s="351"/>
      <c r="AD1" s="350"/>
      <c r="AE1" s="350"/>
      <c r="AF1" s="350"/>
      <c r="AG1" s="350"/>
      <c r="AH1" s="350"/>
      <c r="AI1" s="352"/>
      <c r="AJ1" s="353"/>
      <c r="AK1" s="354"/>
      <c r="AL1" s="355"/>
      <c r="AM1" s="352"/>
      <c r="AN1" s="352"/>
      <c r="AO1" s="352"/>
    </row>
    <row r="2" spans="1:41" hidden="1" outlineLevel="1">
      <c r="A2" s="194"/>
      <c r="B2" s="194" t="str">
        <f>"For the 12 months ending 12/31/"&amp;A49</f>
        <v>For the 12 months ending 12/31/2024</v>
      </c>
      <c r="C2" s="194"/>
      <c r="D2" s="194"/>
      <c r="E2" s="194"/>
      <c r="F2" s="150" t="s">
        <v>3</v>
      </c>
      <c r="G2" s="150"/>
      <c r="H2" s="150" t="s">
        <v>728</v>
      </c>
      <c r="I2" s="150"/>
      <c r="J2" s="150"/>
      <c r="K2" s="150"/>
      <c r="L2" s="150"/>
      <c r="M2" s="194"/>
      <c r="N2" s="194"/>
      <c r="P2" s="79"/>
      <c r="Q2" s="194"/>
      <c r="R2" s="194"/>
      <c r="S2" s="160"/>
      <c r="T2" s="193"/>
      <c r="U2" s="192"/>
      <c r="V2" s="160"/>
      <c r="W2" s="194"/>
      <c r="X2" s="194"/>
      <c r="Y2" s="194"/>
      <c r="Z2" s="150" t="s">
        <v>3</v>
      </c>
      <c r="AA2" s="150"/>
      <c r="AB2" s="150" t="s">
        <v>728</v>
      </c>
      <c r="AC2" s="150"/>
      <c r="AD2" s="150"/>
      <c r="AE2" s="150"/>
      <c r="AF2" s="150"/>
      <c r="AG2" s="194"/>
      <c r="AH2" s="194"/>
      <c r="AJ2" s="79"/>
      <c r="AK2" s="194"/>
      <c r="AL2" s="160"/>
    </row>
    <row r="3" spans="1:41" hidden="1" outlineLevel="1">
      <c r="A3" s="79"/>
      <c r="B3" s="79"/>
      <c r="C3" s="79"/>
      <c r="D3" s="79"/>
      <c r="E3" s="79"/>
      <c r="F3" s="79"/>
      <c r="G3" s="79"/>
      <c r="H3" s="79"/>
      <c r="I3" s="79"/>
      <c r="O3" s="150"/>
      <c r="P3" s="79"/>
      <c r="Q3" s="79"/>
      <c r="R3" s="79"/>
      <c r="S3" s="160"/>
      <c r="T3" s="160"/>
      <c r="U3" s="160"/>
      <c r="V3" s="160"/>
      <c r="W3" s="79"/>
      <c r="X3" s="79"/>
      <c r="Y3" s="79"/>
      <c r="Z3" s="79"/>
      <c r="AA3" s="79"/>
      <c r="AB3" s="79"/>
      <c r="AC3" s="79"/>
      <c r="AI3" s="150"/>
      <c r="AJ3" s="79"/>
      <c r="AK3" s="79"/>
      <c r="AL3" s="160"/>
    </row>
    <row r="4" spans="1:41" hidden="1" outlineLevel="1">
      <c r="A4" s="191"/>
      <c r="B4" s="191" t="s">
        <v>62</v>
      </c>
      <c r="C4" s="191"/>
      <c r="D4" s="191"/>
      <c r="E4" s="191"/>
      <c r="F4" s="191" t="s">
        <v>63</v>
      </c>
      <c r="G4" s="191"/>
      <c r="H4" s="191" t="s">
        <v>64</v>
      </c>
      <c r="I4" s="191"/>
      <c r="O4" s="157" t="s">
        <v>65</v>
      </c>
      <c r="P4" s="150"/>
      <c r="Q4" s="157"/>
      <c r="R4" s="157"/>
      <c r="S4" s="161"/>
      <c r="T4" s="157"/>
      <c r="U4" s="161"/>
      <c r="V4" s="161"/>
      <c r="W4" s="191"/>
      <c r="X4" s="191"/>
      <c r="Y4" s="191"/>
      <c r="Z4" s="191" t="s">
        <v>63</v>
      </c>
      <c r="AA4" s="191"/>
      <c r="AB4" s="191" t="s">
        <v>64</v>
      </c>
      <c r="AC4" s="191"/>
      <c r="AI4" s="157" t="s">
        <v>65</v>
      </c>
      <c r="AJ4" s="150"/>
      <c r="AK4" s="157"/>
      <c r="AL4" s="161"/>
    </row>
    <row r="5" spans="1:41" ht="15.75" hidden="1" outlineLevel="1">
      <c r="A5" s="79"/>
      <c r="B5" s="79"/>
      <c r="C5" s="79"/>
      <c r="D5" s="79"/>
      <c r="E5" s="79"/>
      <c r="F5" s="173" t="s">
        <v>729</v>
      </c>
      <c r="G5" s="173"/>
      <c r="H5" s="150"/>
      <c r="I5" s="150"/>
      <c r="P5" s="150"/>
      <c r="S5" s="161"/>
      <c r="T5" s="170"/>
      <c r="U5" s="170"/>
      <c r="V5" s="161"/>
      <c r="W5" s="79"/>
      <c r="X5" s="79"/>
      <c r="Y5" s="79"/>
      <c r="Z5" s="173" t="s">
        <v>729</v>
      </c>
      <c r="AA5" s="173"/>
      <c r="AB5" s="150"/>
      <c r="AC5" s="150"/>
      <c r="AJ5" s="150"/>
      <c r="AL5" s="161"/>
    </row>
    <row r="6" spans="1:41" ht="15.75" hidden="1" outlineLevel="1">
      <c r="A6" s="169" t="s">
        <v>8</v>
      </c>
      <c r="B6" s="79"/>
      <c r="C6" s="79"/>
      <c r="D6" s="79"/>
      <c r="E6" s="79"/>
      <c r="F6" s="190" t="s">
        <v>69</v>
      </c>
      <c r="G6" s="190"/>
      <c r="H6" s="189" t="s">
        <v>68</v>
      </c>
      <c r="I6" s="189"/>
      <c r="O6" s="189" t="s">
        <v>16</v>
      </c>
      <c r="P6" s="150"/>
      <c r="S6" s="160"/>
      <c r="T6" s="188"/>
      <c r="U6" s="170"/>
      <c r="V6" s="160"/>
      <c r="W6" s="79"/>
      <c r="X6" s="79"/>
      <c r="Y6" s="79"/>
      <c r="Z6" s="190" t="s">
        <v>69</v>
      </c>
      <c r="AA6" s="190"/>
      <c r="AB6" s="189" t="s">
        <v>68</v>
      </c>
      <c r="AC6" s="189"/>
      <c r="AI6" s="189" t="s">
        <v>16</v>
      </c>
      <c r="AJ6" s="150"/>
      <c r="AL6" s="160"/>
    </row>
    <row r="7" spans="1:41" ht="15.75" hidden="1" outlineLevel="1">
      <c r="A7" s="169" t="s">
        <v>10</v>
      </c>
      <c r="B7" s="168"/>
      <c r="C7" s="168"/>
      <c r="D7" s="168"/>
      <c r="E7" s="168"/>
      <c r="F7" s="150"/>
      <c r="G7" s="150"/>
      <c r="H7" s="150"/>
      <c r="I7" s="150"/>
      <c r="O7" s="150"/>
      <c r="P7" s="150"/>
      <c r="Q7" s="150"/>
      <c r="R7" s="150"/>
      <c r="S7" s="160"/>
      <c r="T7" s="161"/>
      <c r="U7" s="161"/>
      <c r="V7" s="160"/>
      <c r="W7" s="168"/>
      <c r="X7" s="168"/>
      <c r="Y7" s="168"/>
      <c r="Z7" s="150"/>
      <c r="AA7" s="150"/>
      <c r="AB7" s="150"/>
      <c r="AC7" s="150"/>
      <c r="AI7" s="150"/>
      <c r="AJ7" s="150"/>
      <c r="AK7" s="150"/>
      <c r="AL7" s="160"/>
    </row>
    <row r="8" spans="1:41" ht="15.75" hidden="1" outlineLevel="1">
      <c r="A8" s="187"/>
      <c r="B8" s="79"/>
      <c r="C8" s="79"/>
      <c r="D8" s="79"/>
      <c r="E8" s="79"/>
      <c r="F8" s="150"/>
      <c r="G8" s="150"/>
      <c r="H8" s="150"/>
      <c r="I8" s="150"/>
      <c r="O8" s="150"/>
      <c r="P8" s="150"/>
      <c r="Q8" s="150"/>
      <c r="R8" s="150"/>
      <c r="S8" s="160"/>
      <c r="T8" s="161"/>
      <c r="U8" s="161"/>
      <c r="V8" s="160"/>
      <c r="W8" s="79"/>
      <c r="X8" s="79"/>
      <c r="Y8" s="79"/>
      <c r="Z8" s="150"/>
      <c r="AA8" s="150"/>
      <c r="AB8" s="150"/>
      <c r="AC8" s="150"/>
      <c r="AI8" s="150"/>
      <c r="AJ8" s="150"/>
      <c r="AK8" s="150"/>
      <c r="AL8" s="160"/>
    </row>
    <row r="9" spans="1:41" hidden="1" outlineLevel="1">
      <c r="A9" s="181">
        <v>1</v>
      </c>
      <c r="B9" s="79" t="s">
        <v>532</v>
      </c>
      <c r="C9" s="79"/>
      <c r="D9" s="79"/>
      <c r="E9" s="79"/>
      <c r="F9" s="175" t="s">
        <v>730</v>
      </c>
      <c r="G9" s="175"/>
      <c r="H9" s="357">
        <v>7902246092</v>
      </c>
      <c r="I9" s="150"/>
      <c r="P9" s="150"/>
      <c r="Q9" s="150"/>
      <c r="R9" s="150"/>
      <c r="S9" s="160"/>
      <c r="T9" s="161"/>
      <c r="U9" s="161"/>
      <c r="V9" s="160"/>
      <c r="W9" s="79"/>
      <c r="X9" s="79"/>
      <c r="Y9" s="79"/>
      <c r="Z9" s="175" t="s">
        <v>730</v>
      </c>
      <c r="AA9" s="175"/>
      <c r="AB9" s="461">
        <v>7897866211</v>
      </c>
      <c r="AC9" s="150"/>
      <c r="AJ9" s="150"/>
      <c r="AK9" s="150"/>
      <c r="AL9" s="160"/>
    </row>
    <row r="10" spans="1:41" hidden="1" outlineLevel="1">
      <c r="A10" s="181" t="s">
        <v>140</v>
      </c>
      <c r="B10" s="79" t="s">
        <v>641</v>
      </c>
      <c r="C10" s="79"/>
      <c r="D10" s="79"/>
      <c r="E10" s="79"/>
      <c r="F10" s="175" t="s">
        <v>778</v>
      </c>
      <c r="G10" s="175"/>
      <c r="H10" s="358">
        <v>2326504680.6199999</v>
      </c>
      <c r="I10" s="185"/>
      <c r="P10" s="150"/>
      <c r="Q10" s="150"/>
      <c r="R10" s="150"/>
      <c r="S10" s="160"/>
      <c r="T10" s="161"/>
      <c r="U10" s="161"/>
      <c r="V10" s="160"/>
      <c r="W10" s="79"/>
      <c r="X10" s="79"/>
      <c r="Y10" s="79"/>
      <c r="Z10" s="175" t="s">
        <v>778</v>
      </c>
      <c r="AA10" s="175"/>
      <c r="AB10" s="462">
        <v>2293146467</v>
      </c>
      <c r="AC10" s="185"/>
      <c r="AJ10" s="150"/>
      <c r="AK10" s="150"/>
      <c r="AL10" s="160"/>
    </row>
    <row r="11" spans="1:41" hidden="1" outlineLevel="1">
      <c r="A11" s="181">
        <v>2</v>
      </c>
      <c r="B11" s="79" t="s">
        <v>531</v>
      </c>
      <c r="C11" s="79"/>
      <c r="D11" s="79"/>
      <c r="E11" s="79"/>
      <c r="F11" s="175" t="s">
        <v>640</v>
      </c>
      <c r="G11" s="175"/>
      <c r="H11" s="183">
        <f>H9-H10</f>
        <v>5575741411.3800001</v>
      </c>
      <c r="I11" s="186"/>
      <c r="P11" s="150"/>
      <c r="Q11" s="150"/>
      <c r="R11" s="150"/>
      <c r="S11" s="160"/>
      <c r="T11" s="161"/>
      <c r="U11" s="161"/>
      <c r="V11" s="160"/>
      <c r="W11" s="79"/>
      <c r="X11" s="79"/>
      <c r="Y11" s="79"/>
      <c r="Z11" s="175" t="s">
        <v>640</v>
      </c>
      <c r="AA11" s="175"/>
      <c r="AB11" s="183">
        <f>AB9-AB10</f>
        <v>5604719744</v>
      </c>
      <c r="AC11" s="186"/>
      <c r="AJ11" s="150"/>
      <c r="AK11" s="150"/>
      <c r="AL11" s="160"/>
    </row>
    <row r="12" spans="1:41" hidden="1" outlineLevel="1">
      <c r="A12" s="181"/>
      <c r="F12" s="175"/>
      <c r="G12" s="175"/>
      <c r="P12" s="150"/>
      <c r="Q12" s="150"/>
      <c r="R12" s="150"/>
      <c r="S12" s="160"/>
      <c r="T12" s="161"/>
      <c r="U12" s="161"/>
      <c r="V12" s="160"/>
      <c r="Z12" s="175"/>
      <c r="AA12" s="175"/>
      <c r="AJ12" s="150"/>
      <c r="AK12" s="150"/>
      <c r="AL12" s="160"/>
    </row>
    <row r="13" spans="1:41" hidden="1" outlineLevel="1">
      <c r="A13" s="181"/>
      <c r="B13" s="79" t="s">
        <v>639</v>
      </c>
      <c r="C13" s="79"/>
      <c r="D13" s="79"/>
      <c r="E13" s="79"/>
      <c r="F13" s="175"/>
      <c r="G13" s="175"/>
      <c r="H13" s="150"/>
      <c r="I13" s="150"/>
      <c r="O13" s="150"/>
      <c r="P13" s="150"/>
      <c r="Q13" s="150"/>
      <c r="R13" s="150"/>
      <c r="S13" s="161"/>
      <c r="T13" s="161"/>
      <c r="U13" s="161"/>
      <c r="V13" s="161"/>
      <c r="W13" s="79"/>
      <c r="X13" s="79"/>
      <c r="Y13" s="79"/>
      <c r="Z13" s="175"/>
      <c r="AA13" s="175"/>
      <c r="AB13" s="150"/>
      <c r="AC13" s="150"/>
      <c r="AI13" s="150"/>
      <c r="AJ13" s="150"/>
      <c r="AK13" s="150"/>
      <c r="AL13" s="161"/>
    </row>
    <row r="14" spans="1:41" hidden="1" outlineLevel="1">
      <c r="A14" s="181">
        <v>3</v>
      </c>
      <c r="B14" s="79" t="s">
        <v>529</v>
      </c>
      <c r="C14" s="79"/>
      <c r="D14" s="79"/>
      <c r="E14" s="79"/>
      <c r="F14" s="175" t="s">
        <v>734</v>
      </c>
      <c r="G14" s="175"/>
      <c r="H14" s="357">
        <v>169527105.6445322</v>
      </c>
      <c r="I14" s="150"/>
      <c r="P14" s="150"/>
      <c r="Q14" s="150"/>
      <c r="R14" s="150"/>
      <c r="S14" s="161"/>
      <c r="T14" s="161"/>
      <c r="U14" s="161"/>
      <c r="V14" s="161"/>
      <c r="W14" s="79"/>
      <c r="X14" s="79"/>
      <c r="Y14" s="79"/>
      <c r="Z14" s="175" t="s">
        <v>734</v>
      </c>
      <c r="AA14" s="175"/>
      <c r="AB14" s="461">
        <v>166442433.07710424</v>
      </c>
      <c r="AC14" s="150"/>
      <c r="AJ14" s="150"/>
      <c r="AK14" s="150"/>
      <c r="AL14" s="161"/>
    </row>
    <row r="15" spans="1:41" hidden="1" outlineLevel="1">
      <c r="A15" s="181" t="s">
        <v>527</v>
      </c>
      <c r="B15" s="79" t="s">
        <v>441</v>
      </c>
      <c r="C15" s="79"/>
      <c r="D15" s="79"/>
      <c r="E15" s="79"/>
      <c r="F15" s="175" t="s">
        <v>779</v>
      </c>
      <c r="G15" s="175"/>
      <c r="H15" s="357">
        <v>121804254</v>
      </c>
      <c r="I15" s="150"/>
      <c r="P15" s="150"/>
      <c r="Q15" s="150"/>
      <c r="R15" s="150"/>
      <c r="S15" s="161"/>
      <c r="T15" s="161"/>
      <c r="U15" s="161"/>
      <c r="V15" s="161"/>
      <c r="W15" s="79"/>
      <c r="X15" s="79"/>
      <c r="Y15" s="79"/>
      <c r="Z15" s="175" t="s">
        <v>779</v>
      </c>
      <c r="AA15" s="175"/>
      <c r="AB15" s="461">
        <v>124068722</v>
      </c>
      <c r="AC15" s="150"/>
      <c r="AJ15" s="150"/>
      <c r="AK15" s="150"/>
      <c r="AL15" s="161"/>
    </row>
    <row r="16" spans="1:41" hidden="1" outlineLevel="1">
      <c r="A16" s="181" t="s">
        <v>638</v>
      </c>
      <c r="B16" s="79" t="s">
        <v>780</v>
      </c>
      <c r="C16" s="79"/>
      <c r="D16" s="79"/>
      <c r="E16" s="79"/>
      <c r="F16" s="175" t="s">
        <v>779</v>
      </c>
      <c r="G16" s="175"/>
      <c r="H16" s="357">
        <v>17076841</v>
      </c>
      <c r="I16" s="150"/>
      <c r="P16" s="150"/>
      <c r="Q16" s="150"/>
      <c r="R16" s="150"/>
      <c r="S16" s="161"/>
      <c r="T16" s="161"/>
      <c r="U16" s="161"/>
      <c r="V16" s="161"/>
      <c r="W16" s="79"/>
      <c r="X16" s="79"/>
      <c r="Y16" s="79"/>
      <c r="Z16" s="175" t="s">
        <v>779</v>
      </c>
      <c r="AA16" s="175"/>
      <c r="AB16" s="461">
        <v>19068477</v>
      </c>
      <c r="AC16" s="150"/>
      <c r="AJ16" s="150"/>
      <c r="AK16" s="150"/>
      <c r="AL16" s="161"/>
    </row>
    <row r="17" spans="1:38" hidden="1" outlineLevel="1">
      <c r="A17" s="181" t="s">
        <v>524</v>
      </c>
      <c r="B17" s="79" t="s">
        <v>637</v>
      </c>
      <c r="C17" s="79"/>
      <c r="D17" s="79"/>
      <c r="E17" s="79"/>
      <c r="F17" s="175" t="s">
        <v>781</v>
      </c>
      <c r="G17" s="175"/>
      <c r="H17" s="357">
        <v>0</v>
      </c>
      <c r="I17" s="150"/>
      <c r="P17" s="150"/>
      <c r="Q17" s="150"/>
      <c r="R17" s="150"/>
      <c r="S17" s="161"/>
      <c r="T17" s="161"/>
      <c r="U17" s="161"/>
      <c r="V17" s="161"/>
      <c r="W17" s="79"/>
      <c r="X17" s="79"/>
      <c r="Y17" s="79"/>
      <c r="Z17" s="175" t="s">
        <v>781</v>
      </c>
      <c r="AA17" s="175"/>
      <c r="AB17" s="461">
        <v>0</v>
      </c>
      <c r="AC17" s="150"/>
      <c r="AJ17" s="150"/>
      <c r="AK17" s="150"/>
      <c r="AL17" s="161"/>
    </row>
    <row r="18" spans="1:38" hidden="1" outlineLevel="1">
      <c r="A18" s="181" t="s">
        <v>635</v>
      </c>
      <c r="B18" s="79" t="s">
        <v>634</v>
      </c>
      <c r="C18" s="79"/>
      <c r="D18" s="79"/>
      <c r="E18" s="79"/>
      <c r="F18" s="175" t="s">
        <v>782</v>
      </c>
      <c r="G18" s="175"/>
      <c r="H18" s="358">
        <v>0</v>
      </c>
      <c r="I18" s="185"/>
      <c r="P18" s="150"/>
      <c r="Q18" s="150"/>
      <c r="R18" s="150"/>
      <c r="S18" s="161"/>
      <c r="T18" s="161"/>
      <c r="U18" s="161"/>
      <c r="V18" s="161"/>
      <c r="W18" s="79"/>
      <c r="X18" s="79"/>
      <c r="Y18" s="79"/>
      <c r="Z18" s="175" t="s">
        <v>782</v>
      </c>
      <c r="AA18" s="175"/>
      <c r="AB18" s="462">
        <v>0</v>
      </c>
      <c r="AC18" s="185"/>
      <c r="AJ18" s="150"/>
      <c r="AK18" s="150"/>
      <c r="AL18" s="161"/>
    </row>
    <row r="19" spans="1:38" hidden="1" outlineLevel="1">
      <c r="A19" s="181" t="s">
        <v>632</v>
      </c>
      <c r="B19" s="79" t="s">
        <v>631</v>
      </c>
      <c r="C19" s="79"/>
      <c r="D19" s="79"/>
      <c r="E19" s="79"/>
      <c r="F19" s="175" t="s">
        <v>783</v>
      </c>
      <c r="G19" s="175"/>
      <c r="H19" s="183">
        <f>H15-(H16+H17+H18)</f>
        <v>104727413</v>
      </c>
      <c r="I19" s="150"/>
      <c r="P19" s="150"/>
      <c r="Q19" s="150"/>
      <c r="R19" s="150"/>
      <c r="S19" s="161"/>
      <c r="T19" s="161"/>
      <c r="U19" s="161"/>
      <c r="V19" s="161"/>
      <c r="W19" s="79"/>
      <c r="X19" s="79"/>
      <c r="Y19" s="79"/>
      <c r="Z19" s="175" t="s">
        <v>783</v>
      </c>
      <c r="AA19" s="175"/>
      <c r="AB19" s="183">
        <f>AB15-(AB16+AB17+AB18)</f>
        <v>105000245</v>
      </c>
      <c r="AC19" s="150"/>
      <c r="AJ19" s="150"/>
      <c r="AK19" s="150"/>
      <c r="AL19" s="161"/>
    </row>
    <row r="20" spans="1:38" hidden="1" outlineLevel="1">
      <c r="A20" s="181"/>
      <c r="B20" s="79"/>
      <c r="C20" s="79"/>
      <c r="D20" s="79"/>
      <c r="E20" s="79"/>
      <c r="F20" s="175"/>
      <c r="G20" s="175"/>
      <c r="H20" s="150"/>
      <c r="I20" s="150"/>
      <c r="P20" s="150"/>
      <c r="Q20" s="150"/>
      <c r="R20" s="150"/>
      <c r="S20" s="161"/>
      <c r="T20" s="161"/>
      <c r="U20" s="161"/>
      <c r="V20" s="161"/>
      <c r="W20" s="79"/>
      <c r="X20" s="79"/>
      <c r="Y20" s="79"/>
      <c r="Z20" s="175"/>
      <c r="AA20" s="175"/>
      <c r="AB20" s="150"/>
      <c r="AC20" s="150"/>
      <c r="AJ20" s="150"/>
      <c r="AK20" s="150"/>
      <c r="AL20" s="161"/>
    </row>
    <row r="21" spans="1:38" ht="15.75" hidden="1" outlineLevel="1">
      <c r="A21" s="181">
        <v>4</v>
      </c>
      <c r="B21" s="168" t="s">
        <v>629</v>
      </c>
      <c r="C21" s="168"/>
      <c r="D21" s="168"/>
      <c r="E21" s="79"/>
      <c r="F21" s="175" t="s">
        <v>628</v>
      </c>
      <c r="G21" s="175"/>
      <c r="H21" s="149">
        <f>IF(H19=0,0,H19/H10)</f>
        <v>4.5014916098123109E-2</v>
      </c>
      <c r="I21" s="149"/>
      <c r="O21" s="184">
        <f>H21</f>
        <v>4.5014916098123109E-2</v>
      </c>
      <c r="P21" s="150"/>
      <c r="Q21" s="150"/>
      <c r="R21" s="150"/>
      <c r="S21" s="161"/>
      <c r="T21" s="161"/>
      <c r="U21" s="161"/>
      <c r="V21" s="161"/>
      <c r="W21" s="168"/>
      <c r="X21" s="168"/>
      <c r="Y21" s="79"/>
      <c r="Z21" s="175" t="s">
        <v>628</v>
      </c>
      <c r="AA21" s="175"/>
      <c r="AB21" s="149">
        <f>IF(AB19=0,0,AB19/AB10)</f>
        <v>4.5788721527834274E-2</v>
      </c>
      <c r="AC21" s="149"/>
      <c r="AI21" s="184">
        <f>AB21</f>
        <v>4.5788721527834274E-2</v>
      </c>
      <c r="AJ21" s="150"/>
      <c r="AK21" s="150"/>
      <c r="AL21" s="161"/>
    </row>
    <row r="22" spans="1:38" hidden="1" outlineLevel="1">
      <c r="A22" s="181"/>
      <c r="B22" s="79"/>
      <c r="C22" s="79"/>
      <c r="D22" s="79"/>
      <c r="E22" s="79"/>
      <c r="F22" s="175"/>
      <c r="G22" s="175"/>
      <c r="H22" s="150"/>
      <c r="I22" s="150"/>
      <c r="P22" s="150"/>
      <c r="Q22" s="150"/>
      <c r="R22" s="150"/>
      <c r="S22" s="161"/>
      <c r="T22" s="161"/>
      <c r="U22" s="161"/>
      <c r="V22" s="161"/>
      <c r="W22" s="79"/>
      <c r="X22" s="79"/>
      <c r="Y22" s="79"/>
      <c r="Z22" s="175"/>
      <c r="AA22" s="175"/>
      <c r="AB22" s="150"/>
      <c r="AC22" s="150"/>
      <c r="AJ22" s="150"/>
      <c r="AK22" s="150"/>
      <c r="AL22" s="161"/>
    </row>
    <row r="23" spans="1:38" hidden="1" outlineLevel="1">
      <c r="A23" s="181"/>
      <c r="B23" s="79"/>
      <c r="C23" s="79"/>
      <c r="D23" s="79"/>
      <c r="E23" s="79"/>
      <c r="F23" s="175"/>
      <c r="G23" s="175"/>
      <c r="H23" s="150"/>
      <c r="I23" s="150"/>
      <c r="P23" s="150"/>
      <c r="Q23" s="150"/>
      <c r="R23" s="150"/>
      <c r="S23" s="161"/>
      <c r="T23" s="161"/>
      <c r="U23" s="161"/>
      <c r="V23" s="161"/>
      <c r="W23" s="79"/>
      <c r="X23" s="79"/>
      <c r="Y23" s="79"/>
      <c r="Z23" s="175"/>
      <c r="AA23" s="175"/>
      <c r="AB23" s="150"/>
      <c r="AC23" s="150"/>
      <c r="AJ23" s="150"/>
      <c r="AK23" s="150"/>
      <c r="AL23" s="161"/>
    </row>
    <row r="24" spans="1:38" ht="15.75" hidden="1" outlineLevel="1">
      <c r="A24" s="181"/>
      <c r="B24" s="79" t="s">
        <v>627</v>
      </c>
      <c r="C24" s="79"/>
      <c r="D24" s="79"/>
      <c r="E24" s="79"/>
      <c r="F24" s="175"/>
      <c r="G24" s="175"/>
      <c r="H24" s="152"/>
      <c r="I24" s="152"/>
      <c r="O24" s="177"/>
      <c r="P24" s="150"/>
      <c r="Q24" s="149"/>
      <c r="R24" s="149"/>
      <c r="S24" s="167"/>
      <c r="T24" s="180"/>
      <c r="U24" s="161"/>
      <c r="V24" s="167"/>
      <c r="W24" s="79"/>
      <c r="X24" s="79"/>
      <c r="Y24" s="79"/>
      <c r="Z24" s="175"/>
      <c r="AA24" s="175"/>
      <c r="AB24" s="152"/>
      <c r="AC24" s="152"/>
      <c r="AI24" s="177"/>
      <c r="AJ24" s="150"/>
      <c r="AK24" s="149"/>
      <c r="AL24" s="167"/>
    </row>
    <row r="25" spans="1:38" ht="15.75" hidden="1" outlineLevel="1">
      <c r="A25" s="181" t="s">
        <v>626</v>
      </c>
      <c r="B25" s="79" t="s">
        <v>625</v>
      </c>
      <c r="C25" s="79"/>
      <c r="D25" s="79"/>
      <c r="E25" s="79"/>
      <c r="F25" s="175" t="s">
        <v>784</v>
      </c>
      <c r="G25" s="175"/>
      <c r="H25" s="183">
        <f>H14-H19-H16</f>
        <v>47722851.644532204</v>
      </c>
      <c r="I25" s="152"/>
      <c r="O25" s="177"/>
      <c r="P25" s="150"/>
      <c r="Q25" s="149"/>
      <c r="R25" s="149"/>
      <c r="S25" s="167"/>
      <c r="T25" s="180"/>
      <c r="U25" s="161"/>
      <c r="V25" s="167"/>
      <c r="W25" s="79"/>
      <c r="X25" s="79"/>
      <c r="Y25" s="79"/>
      <c r="Z25" s="175" t="s">
        <v>784</v>
      </c>
      <c r="AA25" s="175"/>
      <c r="AB25" s="183">
        <f>AB14-AB16-AB19</f>
        <v>42373711.077104241</v>
      </c>
      <c r="AC25" s="152"/>
      <c r="AI25" s="177"/>
      <c r="AJ25" s="150"/>
      <c r="AK25" s="149"/>
      <c r="AL25" s="167"/>
    </row>
    <row r="26" spans="1:38" ht="15.75" hidden="1" outlineLevel="1">
      <c r="A26" s="181" t="s">
        <v>624</v>
      </c>
      <c r="B26" s="79" t="s">
        <v>623</v>
      </c>
      <c r="C26" s="79"/>
      <c r="D26" s="79"/>
      <c r="E26" s="79"/>
      <c r="F26" s="175" t="s">
        <v>622</v>
      </c>
      <c r="G26" s="175"/>
      <c r="H26" s="152">
        <f>IF(H25=0,0,H25/H9)</f>
        <v>6.0391502730907619E-3</v>
      </c>
      <c r="I26" s="152"/>
      <c r="O26" s="177">
        <f>H26</f>
        <v>6.0391502730907619E-3</v>
      </c>
      <c r="P26" s="150"/>
      <c r="Q26" s="149"/>
      <c r="R26" s="149"/>
      <c r="S26" s="167"/>
      <c r="T26" s="180"/>
      <c r="U26" s="161"/>
      <c r="V26" s="167"/>
      <c r="W26" s="79"/>
      <c r="X26" s="79"/>
      <c r="Y26" s="79"/>
      <c r="Z26" s="175" t="s">
        <v>622</v>
      </c>
      <c r="AA26" s="175"/>
      <c r="AB26" s="152">
        <f>IF(AB25=0,0,AB25/AB9)</f>
        <v>5.365210038388208E-3</v>
      </c>
      <c r="AC26" s="152"/>
      <c r="AI26" s="177">
        <f>AB26</f>
        <v>5.365210038388208E-3</v>
      </c>
      <c r="AJ26" s="150"/>
      <c r="AK26" s="149"/>
      <c r="AL26" s="167"/>
    </row>
    <row r="27" spans="1:38" ht="15.75" hidden="1" outlineLevel="1">
      <c r="A27" s="181"/>
      <c r="B27" s="79"/>
      <c r="C27" s="79"/>
      <c r="D27" s="79"/>
      <c r="E27" s="79"/>
      <c r="F27" s="175"/>
      <c r="G27" s="175"/>
      <c r="H27" s="152"/>
      <c r="I27" s="152"/>
      <c r="O27" s="177"/>
      <c r="P27" s="150"/>
      <c r="Q27" s="149"/>
      <c r="R27" s="149"/>
      <c r="S27" s="167"/>
      <c r="T27" s="180"/>
      <c r="U27" s="161"/>
      <c r="V27" s="167"/>
      <c r="W27" s="79"/>
      <c r="X27" s="79"/>
      <c r="Y27" s="79"/>
      <c r="Z27" s="175"/>
      <c r="AA27" s="175"/>
      <c r="AB27" s="152"/>
      <c r="AC27" s="152"/>
      <c r="AI27" s="177"/>
      <c r="AJ27" s="150"/>
      <c r="AK27" s="149"/>
      <c r="AL27" s="167"/>
    </row>
    <row r="28" spans="1:38" ht="30.75" hidden="1" outlineLevel="1">
      <c r="A28" s="154"/>
      <c r="B28" s="531" t="s">
        <v>976</v>
      </c>
      <c r="C28" s="79"/>
      <c r="D28" s="79"/>
      <c r="E28" s="79"/>
      <c r="F28" s="153"/>
      <c r="G28" s="153"/>
      <c r="H28" s="150"/>
      <c r="I28" s="150"/>
      <c r="O28" s="150"/>
      <c r="P28" s="150"/>
      <c r="Q28" s="149"/>
      <c r="R28" s="149"/>
      <c r="S28" s="167"/>
      <c r="T28" s="180"/>
      <c r="U28" s="161"/>
      <c r="V28" s="167"/>
      <c r="W28" s="79"/>
      <c r="X28" s="79"/>
      <c r="Y28" s="79"/>
      <c r="Z28" s="153"/>
      <c r="AA28" s="153"/>
      <c r="AB28" s="150"/>
      <c r="AC28" s="150"/>
      <c r="AI28" s="150"/>
      <c r="AJ28" s="150"/>
      <c r="AK28" s="149"/>
      <c r="AL28" s="167"/>
    </row>
    <row r="29" spans="1:38" ht="15.75" hidden="1" outlineLevel="1">
      <c r="A29" s="154" t="s">
        <v>519</v>
      </c>
      <c r="B29" s="79" t="s">
        <v>518</v>
      </c>
      <c r="C29" s="79"/>
      <c r="D29" s="79"/>
      <c r="E29" s="79"/>
      <c r="F29" s="175" t="s">
        <v>737</v>
      </c>
      <c r="G29" s="175"/>
      <c r="H29" s="357">
        <v>25622925</v>
      </c>
      <c r="I29" s="150"/>
      <c r="P29" s="150"/>
      <c r="Q29" s="149"/>
      <c r="R29" s="149"/>
      <c r="S29" s="167"/>
      <c r="T29" s="180"/>
      <c r="U29" s="161"/>
      <c r="V29" s="167"/>
      <c r="W29" s="79"/>
      <c r="X29" s="79"/>
      <c r="Y29" s="79"/>
      <c r="Z29" s="175" t="s">
        <v>737</v>
      </c>
      <c r="AA29" s="175"/>
      <c r="AB29" s="461">
        <v>21656703</v>
      </c>
      <c r="AC29" s="150"/>
      <c r="AJ29" s="150"/>
      <c r="AK29" s="149"/>
      <c r="AL29" s="167"/>
    </row>
    <row r="30" spans="1:38" ht="15.75" hidden="1" outlineLevel="1">
      <c r="A30" s="154" t="s">
        <v>517</v>
      </c>
      <c r="B30" s="79" t="s">
        <v>516</v>
      </c>
      <c r="C30" s="79"/>
      <c r="D30" s="79"/>
      <c r="E30" s="79"/>
      <c r="F30" s="175" t="s">
        <v>515</v>
      </c>
      <c r="G30" s="175"/>
      <c r="H30" s="152">
        <f>IF(H29=0,0,H29/H9)</f>
        <v>3.2424863389081101E-3</v>
      </c>
      <c r="I30" s="152"/>
      <c r="O30" s="177">
        <f>H30</f>
        <v>3.2424863389081101E-3</v>
      </c>
      <c r="P30" s="150"/>
      <c r="Q30" s="149"/>
      <c r="R30" s="149"/>
      <c r="S30" s="167"/>
      <c r="T30" s="180"/>
      <c r="U30" s="161"/>
      <c r="V30" s="167"/>
      <c r="W30" s="79"/>
      <c r="X30" s="79"/>
      <c r="Y30" s="79"/>
      <c r="Z30" s="175" t="s">
        <v>515</v>
      </c>
      <c r="AA30" s="175"/>
      <c r="AB30" s="152">
        <f>IF(AB29=0,0,AB29/AB9)</f>
        <v>2.7420954497604619E-3</v>
      </c>
      <c r="AC30" s="152"/>
      <c r="AI30" s="177">
        <f>AB30</f>
        <v>2.7420954497604619E-3</v>
      </c>
      <c r="AJ30" s="150"/>
      <c r="AK30" s="149"/>
      <c r="AL30" s="167"/>
    </row>
    <row r="31" spans="1:38" ht="15.75" hidden="1" outlineLevel="1">
      <c r="A31" s="181"/>
      <c r="B31" s="79"/>
      <c r="C31" s="79"/>
      <c r="D31" s="79"/>
      <c r="E31" s="79"/>
      <c r="F31" s="175"/>
      <c r="G31" s="175"/>
      <c r="H31" s="152"/>
      <c r="I31" s="152"/>
      <c r="O31" s="177"/>
      <c r="P31" s="150"/>
      <c r="Q31" s="149"/>
      <c r="R31" s="149"/>
      <c r="S31" s="167"/>
      <c r="T31" s="180"/>
      <c r="U31" s="161"/>
      <c r="V31" s="167"/>
      <c r="W31" s="79"/>
      <c r="X31" s="79"/>
      <c r="Y31" s="79"/>
      <c r="Z31" s="175"/>
      <c r="AA31" s="175"/>
      <c r="AB31" s="152"/>
      <c r="AC31" s="152"/>
      <c r="AI31" s="177"/>
      <c r="AJ31" s="150"/>
      <c r="AK31" s="149"/>
      <c r="AL31" s="167"/>
    </row>
    <row r="32" spans="1:38" hidden="1" outlineLevel="1">
      <c r="A32" s="154"/>
      <c r="B32" s="79" t="s">
        <v>514</v>
      </c>
      <c r="C32" s="79"/>
      <c r="D32" s="79"/>
      <c r="E32" s="79"/>
      <c r="F32" s="153"/>
      <c r="G32" s="153"/>
      <c r="H32" s="150"/>
      <c r="I32" s="150"/>
      <c r="O32" s="150"/>
      <c r="P32" s="150"/>
      <c r="Q32" s="150"/>
      <c r="R32" s="150"/>
      <c r="S32" s="161"/>
      <c r="T32" s="150"/>
      <c r="U32" s="161"/>
      <c r="V32" s="161"/>
      <c r="W32" s="79"/>
      <c r="X32" s="79"/>
      <c r="Y32" s="79"/>
      <c r="Z32" s="153"/>
      <c r="AA32" s="153"/>
      <c r="AB32" s="150"/>
      <c r="AC32" s="150"/>
      <c r="AI32" s="150"/>
      <c r="AJ32" s="150"/>
      <c r="AK32" s="150"/>
      <c r="AL32" s="161"/>
    </row>
    <row r="33" spans="1:41" ht="15.75" hidden="1" outlineLevel="1">
      <c r="A33" s="154" t="s">
        <v>513</v>
      </c>
      <c r="B33" s="79" t="s">
        <v>512</v>
      </c>
      <c r="C33" s="79"/>
      <c r="D33" s="79"/>
      <c r="E33" s="79"/>
      <c r="F33" s="175" t="s">
        <v>738</v>
      </c>
      <c r="G33" s="175"/>
      <c r="H33" s="357">
        <v>33537221</v>
      </c>
      <c r="I33" s="150"/>
      <c r="P33" s="150"/>
      <c r="Q33" s="182"/>
      <c r="R33" s="182"/>
      <c r="S33" s="161"/>
      <c r="T33" s="181"/>
      <c r="U33" s="170"/>
      <c r="V33" s="161"/>
      <c r="W33" s="79"/>
      <c r="X33" s="79"/>
      <c r="Y33" s="79"/>
      <c r="Z33" s="175" t="s">
        <v>738</v>
      </c>
      <c r="AA33" s="175"/>
      <c r="AB33" s="461">
        <v>32415836</v>
      </c>
      <c r="AC33" s="150"/>
      <c r="AJ33" s="150"/>
      <c r="AK33" s="182"/>
      <c r="AL33" s="161"/>
    </row>
    <row r="34" spans="1:41" ht="15.75" hidden="1" outlineLevel="1">
      <c r="A34" s="154" t="s">
        <v>510</v>
      </c>
      <c r="B34" s="79" t="s">
        <v>509</v>
      </c>
      <c r="C34" s="79"/>
      <c r="D34" s="79"/>
      <c r="E34" s="79"/>
      <c r="F34" s="175" t="s">
        <v>508</v>
      </c>
      <c r="G34" s="175"/>
      <c r="H34" s="152">
        <f>IF(H33=0,0,H33/H9)</f>
        <v>4.244011210173787E-3</v>
      </c>
      <c r="I34" s="152"/>
      <c r="O34" s="177">
        <f>H34</f>
        <v>4.244011210173787E-3</v>
      </c>
      <c r="P34" s="150"/>
      <c r="Q34" s="149"/>
      <c r="R34" s="149"/>
      <c r="S34" s="161"/>
      <c r="T34" s="180"/>
      <c r="U34" s="170"/>
      <c r="V34" s="161"/>
      <c r="W34" s="79"/>
      <c r="X34" s="79"/>
      <c r="Y34" s="79"/>
      <c r="Z34" s="175" t="s">
        <v>508</v>
      </c>
      <c r="AA34" s="175"/>
      <c r="AB34" s="152">
        <f>IF(AB33=0,0,AB33/AB9)</f>
        <v>4.1043789719876281E-3</v>
      </c>
      <c r="AC34" s="152"/>
      <c r="AI34" s="177">
        <f>AB34</f>
        <v>4.1043789719876281E-3</v>
      </c>
      <c r="AJ34" s="150"/>
      <c r="AK34" s="149"/>
      <c r="AL34" s="161"/>
    </row>
    <row r="35" spans="1:41" hidden="1" outlineLevel="1">
      <c r="A35" s="154"/>
      <c r="B35" s="79"/>
      <c r="C35" s="79"/>
      <c r="D35" s="79"/>
      <c r="E35" s="79"/>
      <c r="F35" s="175"/>
      <c r="G35" s="175"/>
      <c r="H35" s="150"/>
      <c r="I35" s="150"/>
      <c r="O35" s="150"/>
      <c r="P35" s="150"/>
      <c r="U35" s="161"/>
      <c r="W35" s="79"/>
      <c r="X35" s="79"/>
      <c r="Y35" s="79"/>
      <c r="Z35" s="175"/>
      <c r="AA35" s="175"/>
      <c r="AB35" s="150"/>
      <c r="AC35" s="150"/>
      <c r="AI35" s="150"/>
      <c r="AJ35" s="150"/>
    </row>
    <row r="36" spans="1:41" ht="15.75" hidden="1" outlineLevel="1">
      <c r="A36" s="174" t="s">
        <v>507</v>
      </c>
      <c r="B36" s="168" t="s">
        <v>621</v>
      </c>
      <c r="C36" s="168"/>
      <c r="D36" s="168"/>
      <c r="E36" s="168"/>
      <c r="F36" s="173" t="s">
        <v>620</v>
      </c>
      <c r="G36" s="173"/>
      <c r="H36" s="80">
        <f>H26+H30+H34</f>
        <v>1.3525647822172658E-2</v>
      </c>
      <c r="I36" s="80"/>
      <c r="O36" s="80">
        <f>O26+O30+O34</f>
        <v>1.3525647822172658E-2</v>
      </c>
      <c r="P36" s="150"/>
      <c r="U36" s="161"/>
      <c r="W36" s="168"/>
      <c r="X36" s="168"/>
      <c r="Y36" s="168"/>
      <c r="Z36" s="173" t="s">
        <v>620</v>
      </c>
      <c r="AA36" s="173"/>
      <c r="AB36" s="80">
        <f>AB26+AB30+AB34</f>
        <v>1.2211684460136298E-2</v>
      </c>
      <c r="AC36" s="80"/>
      <c r="AI36" s="80">
        <f>AI26+AI30+AI34</f>
        <v>1.2211684460136298E-2</v>
      </c>
      <c r="AJ36" s="150"/>
    </row>
    <row r="37" spans="1:41" hidden="1" outlineLevel="1">
      <c r="A37" s="154"/>
      <c r="B37" s="79"/>
      <c r="C37" s="79"/>
      <c r="D37" s="79"/>
      <c r="E37" s="79"/>
      <c r="F37" s="175"/>
      <c r="G37" s="175"/>
      <c r="H37" s="150"/>
      <c r="I37" s="150"/>
      <c r="O37" s="150"/>
      <c r="P37" s="150"/>
      <c r="Q37" s="150"/>
      <c r="R37" s="150"/>
      <c r="S37" s="161"/>
      <c r="T37" s="179"/>
      <c r="U37" s="161"/>
      <c r="V37" s="161"/>
      <c r="W37" s="79"/>
      <c r="X37" s="79"/>
      <c r="Y37" s="79"/>
      <c r="Z37" s="175"/>
      <c r="AA37" s="175"/>
      <c r="AB37" s="150"/>
      <c r="AC37" s="150"/>
      <c r="AI37" s="150"/>
      <c r="AJ37" s="150"/>
      <c r="AK37" s="150"/>
      <c r="AL37" s="161"/>
    </row>
    <row r="38" spans="1:41" hidden="1" outlineLevel="1">
      <c r="A38" s="154"/>
      <c r="B38" s="150" t="s">
        <v>505</v>
      </c>
      <c r="C38" s="150"/>
      <c r="D38" s="150"/>
      <c r="E38" s="150"/>
      <c r="F38" s="175"/>
      <c r="G38" s="175"/>
      <c r="H38" s="150"/>
      <c r="I38" s="150"/>
      <c r="O38" s="150"/>
      <c r="P38" s="178"/>
      <c r="Q38" s="156"/>
      <c r="R38" s="156"/>
      <c r="U38" s="170"/>
      <c r="W38" s="150"/>
      <c r="X38" s="150"/>
      <c r="Y38" s="150"/>
      <c r="Z38" s="175"/>
      <c r="AA38" s="175"/>
      <c r="AB38" s="150"/>
      <c r="AC38" s="150"/>
      <c r="AI38" s="150"/>
      <c r="AJ38" s="178"/>
      <c r="AK38" s="156"/>
    </row>
    <row r="39" spans="1:41" hidden="1" outlineLevel="1">
      <c r="A39" s="154" t="s">
        <v>504</v>
      </c>
      <c r="B39" s="150" t="s">
        <v>440</v>
      </c>
      <c r="C39" s="150"/>
      <c r="D39" s="150"/>
      <c r="E39" s="150"/>
      <c r="F39" s="175" t="s">
        <v>740</v>
      </c>
      <c r="G39" s="175"/>
      <c r="H39" s="357">
        <v>77963743.137508184</v>
      </c>
      <c r="I39" s="150"/>
      <c r="O39" s="150"/>
      <c r="P39" s="178"/>
      <c r="Q39" s="156"/>
      <c r="R39" s="156"/>
      <c r="U39" s="170"/>
      <c r="W39" s="150"/>
      <c r="X39" s="150"/>
      <c r="Y39" s="150"/>
      <c r="Z39" s="175" t="s">
        <v>740</v>
      </c>
      <c r="AA39" s="175"/>
      <c r="AB39" s="461">
        <v>77982435.882568091</v>
      </c>
      <c r="AC39" s="150"/>
      <c r="AI39" s="150"/>
      <c r="AJ39" s="178"/>
      <c r="AK39" s="156"/>
    </row>
    <row r="40" spans="1:41" ht="15.75" hidden="1" outlineLevel="1">
      <c r="A40" s="154" t="s">
        <v>502</v>
      </c>
      <c r="B40" s="150" t="s">
        <v>501</v>
      </c>
      <c r="C40" s="150"/>
      <c r="D40" s="150"/>
      <c r="E40" s="150"/>
      <c r="F40" s="175" t="s">
        <v>500</v>
      </c>
      <c r="G40" s="175"/>
      <c r="H40" s="152">
        <f>IF(H39=0,0,H39/H11)</f>
        <v>1.3982668381712506E-2</v>
      </c>
      <c r="I40" s="152"/>
      <c r="O40" s="177">
        <f>H40</f>
        <v>1.3982668381712506E-2</v>
      </c>
      <c r="P40" s="178"/>
      <c r="Q40" s="156"/>
      <c r="R40" s="156"/>
      <c r="S40" s="161"/>
      <c r="T40" s="161"/>
      <c r="U40" s="170"/>
      <c r="V40" s="161"/>
      <c r="W40" s="150"/>
      <c r="X40" s="150"/>
      <c r="Y40" s="150"/>
      <c r="Z40" s="175" t="s">
        <v>500</v>
      </c>
      <c r="AA40" s="175"/>
      <c r="AB40" s="152">
        <f>IF(AB39=0,0,AB39/AB11)</f>
        <v>1.3913708346621674E-2</v>
      </c>
      <c r="AC40" s="152"/>
      <c r="AI40" s="177">
        <f>AB40</f>
        <v>1.3913708346621674E-2</v>
      </c>
      <c r="AJ40" s="178"/>
      <c r="AK40" s="156"/>
      <c r="AL40" s="161"/>
    </row>
    <row r="41" spans="1:41" hidden="1" outlineLevel="1">
      <c r="A41" s="154"/>
      <c r="B41" s="150"/>
      <c r="C41" s="150"/>
      <c r="D41" s="150"/>
      <c r="E41" s="150"/>
      <c r="F41" s="175"/>
      <c r="G41" s="175"/>
      <c r="H41" s="150"/>
      <c r="I41" s="150"/>
      <c r="O41" s="150"/>
      <c r="P41" s="150"/>
      <c r="S41" s="160"/>
      <c r="T41" s="161"/>
      <c r="U41" s="160"/>
      <c r="V41" s="160"/>
      <c r="W41" s="150"/>
      <c r="X41" s="150"/>
      <c r="Y41" s="150"/>
      <c r="Z41" s="175"/>
      <c r="AA41" s="175"/>
      <c r="AB41" s="150"/>
      <c r="AC41" s="150"/>
      <c r="AI41" s="150"/>
      <c r="AJ41" s="150"/>
      <c r="AL41" s="160"/>
    </row>
    <row r="42" spans="1:41" hidden="1" outlineLevel="1">
      <c r="A42" s="154"/>
      <c r="B42" s="79" t="s">
        <v>183</v>
      </c>
      <c r="C42" s="79"/>
      <c r="D42" s="79"/>
      <c r="E42" s="79"/>
      <c r="F42" s="171"/>
      <c r="G42" s="171"/>
      <c r="P42" s="150"/>
      <c r="S42" s="161"/>
      <c r="T42" s="161"/>
      <c r="U42" s="161"/>
      <c r="V42" s="161"/>
      <c r="W42" s="79"/>
      <c r="X42" s="79"/>
      <c r="Y42" s="79"/>
      <c r="Z42" s="171"/>
      <c r="AA42" s="171"/>
      <c r="AJ42" s="150"/>
      <c r="AL42" s="161"/>
    </row>
    <row r="43" spans="1:41" hidden="1" outlineLevel="1">
      <c r="A43" s="154" t="s">
        <v>499</v>
      </c>
      <c r="B43" s="79" t="s">
        <v>498</v>
      </c>
      <c r="C43" s="79"/>
      <c r="D43" s="79"/>
      <c r="E43" s="79"/>
      <c r="F43" s="175" t="s">
        <v>742</v>
      </c>
      <c r="G43" s="175"/>
      <c r="H43" s="357">
        <v>368082116.46735197</v>
      </c>
      <c r="I43" s="150"/>
      <c r="O43" s="150"/>
      <c r="P43" s="150"/>
      <c r="S43" s="161"/>
      <c r="T43" s="161"/>
      <c r="U43" s="161"/>
      <c r="V43" s="161"/>
      <c r="W43" s="79"/>
      <c r="X43" s="79"/>
      <c r="Y43" s="79"/>
      <c r="Z43" s="175" t="s">
        <v>742</v>
      </c>
      <c r="AA43" s="175"/>
      <c r="AB43" s="461">
        <v>370676280.84874725</v>
      </c>
      <c r="AC43" s="150"/>
      <c r="AI43" s="150"/>
      <c r="AJ43" s="150"/>
      <c r="AL43" s="161"/>
    </row>
    <row r="44" spans="1:41" ht="15.75" hidden="1" outlineLevel="1">
      <c r="A44" s="154" t="s">
        <v>496</v>
      </c>
      <c r="B44" s="150" t="s">
        <v>495</v>
      </c>
      <c r="C44" s="150"/>
      <c r="D44" s="150"/>
      <c r="E44" s="150"/>
      <c r="F44" s="175" t="s">
        <v>494</v>
      </c>
      <c r="G44" s="175"/>
      <c r="H44" s="81">
        <f>IF(H43=0,0,H43/H11)</f>
        <v>6.6014918790190336E-2</v>
      </c>
      <c r="I44" s="81"/>
      <c r="O44" s="177">
        <f>H44</f>
        <v>6.6014918790190336E-2</v>
      </c>
      <c r="P44" s="150"/>
      <c r="T44" s="176"/>
      <c r="U44" s="170"/>
      <c r="W44" s="150"/>
      <c r="X44" s="150"/>
      <c r="Y44" s="150"/>
      <c r="Z44" s="175" t="s">
        <v>494</v>
      </c>
      <c r="AA44" s="175"/>
      <c r="AB44" s="81">
        <f>IF(AB43=0,0,AB43/AB11)</f>
        <v>6.6136452450734212E-2</v>
      </c>
      <c r="AC44" s="81"/>
      <c r="AI44" s="177">
        <f>AB44</f>
        <v>6.6136452450734212E-2</v>
      </c>
      <c r="AJ44" s="150"/>
    </row>
    <row r="45" spans="1:41" hidden="1" outlineLevel="1">
      <c r="A45" s="154"/>
      <c r="B45" s="79"/>
      <c r="C45" s="79"/>
      <c r="D45" s="79"/>
      <c r="E45" s="79"/>
      <c r="F45" s="175"/>
      <c r="G45" s="175"/>
      <c r="H45" s="150"/>
      <c r="I45" s="150"/>
      <c r="O45" s="150"/>
      <c r="P45" s="150"/>
      <c r="Q45" s="171"/>
      <c r="R45" s="171"/>
      <c r="S45" s="161"/>
      <c r="T45" s="161"/>
      <c r="U45" s="161"/>
      <c r="V45" s="161"/>
      <c r="W45" s="79"/>
      <c r="X45" s="79"/>
      <c r="Y45" s="79"/>
      <c r="Z45" s="175"/>
      <c r="AA45" s="175"/>
      <c r="AB45" s="150"/>
      <c r="AC45" s="150"/>
      <c r="AI45" s="150"/>
      <c r="AJ45" s="150"/>
      <c r="AK45" s="171"/>
      <c r="AL45" s="161"/>
    </row>
    <row r="46" spans="1:41" ht="15.75" hidden="1" outlineLevel="1">
      <c r="A46" s="174" t="s">
        <v>493</v>
      </c>
      <c r="B46" s="168" t="s">
        <v>479</v>
      </c>
      <c r="C46" s="168"/>
      <c r="D46" s="168"/>
      <c r="E46" s="168"/>
      <c r="F46" s="173" t="s">
        <v>492</v>
      </c>
      <c r="G46" s="173"/>
      <c r="H46" s="172"/>
      <c r="I46" s="172"/>
      <c r="O46" s="80">
        <f>O40+O44</f>
        <v>7.9997587171902834E-2</v>
      </c>
      <c r="P46" s="150"/>
      <c r="Q46" s="171"/>
      <c r="R46" s="171"/>
      <c r="S46" s="161"/>
      <c r="T46" s="161"/>
      <c r="U46" s="161"/>
      <c r="V46" s="161"/>
      <c r="W46" s="168"/>
      <c r="X46" s="168"/>
      <c r="Y46" s="168"/>
      <c r="Z46" s="173" t="s">
        <v>492</v>
      </c>
      <c r="AA46" s="173"/>
      <c r="AB46" s="172"/>
      <c r="AC46" s="172"/>
      <c r="AI46" s="80">
        <f>AI40+AI44</f>
        <v>8.0050160797355885E-2</v>
      </c>
      <c r="AJ46" s="150"/>
      <c r="AK46" s="171"/>
      <c r="AL46" s="161"/>
      <c r="AO46" s="159"/>
    </row>
    <row r="47" spans="1:41" collapsed="1">
      <c r="F47" s="79"/>
      <c r="G47" s="79"/>
      <c r="H47" s="79"/>
      <c r="I47" s="79"/>
      <c r="J47" s="79"/>
      <c r="K47" s="79"/>
      <c r="L47" s="79"/>
      <c r="M47" s="79"/>
      <c r="N47" s="79"/>
      <c r="O47" s="79"/>
      <c r="P47" s="79"/>
      <c r="Q47" s="79"/>
      <c r="R47" s="79"/>
      <c r="S47" s="161"/>
      <c r="T47" s="160"/>
      <c r="U47" s="161"/>
      <c r="V47" s="161"/>
      <c r="Z47" s="79"/>
      <c r="AA47" s="79"/>
      <c r="AB47" s="79"/>
      <c r="AC47" s="79"/>
      <c r="AD47" s="79"/>
      <c r="AE47" s="79"/>
      <c r="AF47" s="79"/>
      <c r="AG47" s="79"/>
      <c r="AH47" s="79"/>
      <c r="AI47" s="79"/>
      <c r="AJ47" s="79"/>
      <c r="AK47" s="79"/>
      <c r="AL47" s="161"/>
    </row>
    <row r="48" spans="1:41" ht="18.75">
      <c r="A48" s="359" t="s">
        <v>345</v>
      </c>
      <c r="B48" s="359"/>
      <c r="C48" s="1006" t="str">
        <f>A49&amp;" Projected Revenue Requirement Calculation"</f>
        <v>2024 Projected Revenue Requirement Calculation</v>
      </c>
      <c r="D48" s="1006"/>
      <c r="E48" s="1006"/>
      <c r="F48" s="1006"/>
      <c r="G48" s="1006"/>
      <c r="H48" s="1006"/>
      <c r="I48" s="1006"/>
      <c r="J48" s="1006"/>
      <c r="K48" s="1006"/>
      <c r="L48" s="1006"/>
      <c r="M48" s="1006"/>
      <c r="N48" s="1006"/>
      <c r="O48" s="1006"/>
      <c r="P48" s="1006"/>
      <c r="Q48" s="1006"/>
      <c r="R48" s="1006"/>
      <c r="S48" s="161"/>
      <c r="T48" s="1007" t="s">
        <v>723</v>
      </c>
      <c r="U48" s="1007"/>
      <c r="V48" s="161"/>
      <c r="W48" s="1006" t="str">
        <f>A49&amp;" Actual Revenue Requirement"</f>
        <v>2024 Actual Revenue Requirement</v>
      </c>
      <c r="X48" s="1006"/>
      <c r="Y48" s="1006"/>
      <c r="Z48" s="1006"/>
      <c r="AA48" s="1006"/>
      <c r="AB48" s="1006"/>
      <c r="AC48" s="1006"/>
      <c r="AD48" s="1006"/>
      <c r="AE48" s="1006"/>
      <c r="AF48" s="1006"/>
      <c r="AG48" s="1006"/>
      <c r="AH48" s="1006"/>
      <c r="AI48" s="1006"/>
      <c r="AJ48" s="1006"/>
      <c r="AK48" s="1006"/>
      <c r="AL48" s="161"/>
      <c r="AM48" s="1007" t="str">
        <f>A49&amp;" Annual True-up Calculation"</f>
        <v>2024 Annual True-up Calculation</v>
      </c>
      <c r="AN48" s="1007"/>
      <c r="AO48" s="1007"/>
    </row>
    <row r="49" spans="1:41">
      <c r="A49" s="271">
        <v>2024</v>
      </c>
      <c r="B49" s="151"/>
      <c r="C49" s="151"/>
      <c r="D49" s="151"/>
      <c r="E49" s="360">
        <f>+O21</f>
        <v>4.5014916098123109E-2</v>
      </c>
      <c r="F49" s="79"/>
      <c r="G49" s="360">
        <f>+O36</f>
        <v>1.3525647822172658E-2</v>
      </c>
      <c r="J49" s="79"/>
      <c r="K49" s="360">
        <f>+O46</f>
        <v>7.9997587171902834E-2</v>
      </c>
      <c r="L49" s="79"/>
      <c r="M49" s="79"/>
      <c r="N49" s="79"/>
      <c r="O49" s="79"/>
      <c r="P49" s="150"/>
      <c r="Q49" s="150"/>
      <c r="R49" s="150"/>
      <c r="S49" s="161"/>
      <c r="T49" s="465">
        <v>65832564.049999997</v>
      </c>
      <c r="U49" s="272" t="s">
        <v>767</v>
      </c>
      <c r="V49" s="161"/>
      <c r="W49" s="151"/>
      <c r="X49" s="151"/>
      <c r="Y49" s="460">
        <f>+AI21</f>
        <v>4.5788721527834274E-2</v>
      </c>
      <c r="Z49" s="79"/>
      <c r="AA49" s="460">
        <f>+AI36</f>
        <v>1.2211684460136298E-2</v>
      </c>
      <c r="AD49" s="79"/>
      <c r="AE49" s="460">
        <f>+AI46</f>
        <v>8.0050160797355885E-2</v>
      </c>
      <c r="AF49" s="79"/>
      <c r="AG49" s="79"/>
      <c r="AH49" s="79"/>
      <c r="AI49" s="79"/>
      <c r="AJ49" s="150"/>
      <c r="AK49" s="150"/>
      <c r="AL49" s="161"/>
      <c r="AM49" s="272"/>
      <c r="AN49" s="272"/>
      <c r="AO49" s="272"/>
    </row>
    <row r="50" spans="1:41">
      <c r="A50" s="151"/>
      <c r="B50" s="151"/>
      <c r="C50" s="151"/>
      <c r="D50" s="151"/>
      <c r="E50" s="151"/>
      <c r="F50" s="151"/>
      <c r="G50" s="151"/>
      <c r="H50" s="151"/>
      <c r="I50" s="151"/>
      <c r="J50" s="151"/>
      <c r="K50" s="151"/>
      <c r="L50" s="151"/>
      <c r="M50" s="151"/>
      <c r="N50" s="151"/>
      <c r="O50" s="151"/>
      <c r="P50" s="151"/>
      <c r="Q50" s="151"/>
      <c r="R50" s="151"/>
      <c r="S50" s="161"/>
      <c r="T50" s="385">
        <f>+P65</f>
        <v>5677145.4667293485</v>
      </c>
      <c r="U50" s="272" t="s">
        <v>361</v>
      </c>
      <c r="V50" s="161"/>
      <c r="W50" s="151"/>
      <c r="X50" s="151"/>
      <c r="Y50" s="151"/>
      <c r="Z50" s="151"/>
      <c r="AA50" s="151"/>
      <c r="AB50" s="151"/>
      <c r="AC50" s="151"/>
      <c r="AD50" s="151"/>
      <c r="AE50" s="151"/>
      <c r="AF50" s="79"/>
      <c r="AG50" s="79"/>
      <c r="AH50" s="79"/>
      <c r="AI50" s="79"/>
      <c r="AJ50" s="150"/>
      <c r="AK50" s="150"/>
      <c r="AL50" s="161"/>
      <c r="AM50" s="272"/>
      <c r="AN50" s="275">
        <f>'MM TU Interest'!E29</f>
        <v>5.0640990632981026E-2</v>
      </c>
      <c r="AO50" s="76" t="s">
        <v>785</v>
      </c>
    </row>
    <row r="51" spans="1:41">
      <c r="A51" s="151"/>
      <c r="B51" s="151"/>
      <c r="C51" s="151"/>
      <c r="D51" s="151"/>
      <c r="E51" s="151"/>
      <c r="F51" s="151"/>
      <c r="G51" s="151"/>
      <c r="H51" s="151"/>
      <c r="I51" s="151"/>
      <c r="J51" s="151"/>
      <c r="K51" s="151"/>
      <c r="L51" s="151"/>
      <c r="M51" s="151"/>
      <c r="N51" s="151"/>
      <c r="O51" s="151"/>
      <c r="P51" s="151"/>
      <c r="Q51" s="151"/>
      <c r="R51" s="151"/>
      <c r="S51" s="161"/>
      <c r="T51" s="276">
        <f>SUM(T49:T50)</f>
        <v>71509709.51672934</v>
      </c>
      <c r="U51" s="270"/>
      <c r="V51" s="161"/>
      <c r="W51" s="151"/>
      <c r="X51" s="151"/>
      <c r="Y51" s="151"/>
      <c r="Z51" s="151"/>
      <c r="AA51" s="151"/>
      <c r="AB51" s="151"/>
      <c r="AC51" s="151"/>
      <c r="AD51" s="151"/>
      <c r="AE51" s="151"/>
      <c r="AF51" s="79"/>
      <c r="AG51" s="79"/>
      <c r="AH51" s="79"/>
      <c r="AI51" s="79"/>
      <c r="AJ51" s="150"/>
      <c r="AK51" s="150"/>
      <c r="AL51" s="161"/>
      <c r="AM51" s="272"/>
      <c r="AN51" s="159">
        <f>'MM TU Interest'!E35</f>
        <v>522048.73</v>
      </c>
      <c r="AO51" s="76" t="s">
        <v>786</v>
      </c>
    </row>
    <row r="52" spans="1:41">
      <c r="A52" s="316" t="s">
        <v>281</v>
      </c>
      <c r="B52" s="361" t="s">
        <v>283</v>
      </c>
      <c r="C52" s="362" t="s">
        <v>746</v>
      </c>
      <c r="D52" s="362" t="s">
        <v>747</v>
      </c>
      <c r="E52" s="362" t="s">
        <v>748</v>
      </c>
      <c r="F52" s="362" t="s">
        <v>749</v>
      </c>
      <c r="G52" s="362" t="s">
        <v>750</v>
      </c>
      <c r="H52" s="362" t="s">
        <v>751</v>
      </c>
      <c r="I52" s="362" t="s">
        <v>752</v>
      </c>
      <c r="J52" s="362" t="s">
        <v>776</v>
      </c>
      <c r="K52" s="362" t="s">
        <v>787</v>
      </c>
      <c r="L52" s="362" t="s">
        <v>788</v>
      </c>
      <c r="M52" s="362" t="s">
        <v>789</v>
      </c>
      <c r="N52" s="362" t="s">
        <v>790</v>
      </c>
      <c r="O52" s="361" t="s">
        <v>285</v>
      </c>
      <c r="P52" s="361" t="s">
        <v>287</v>
      </c>
      <c r="Q52" s="361" t="s">
        <v>288</v>
      </c>
      <c r="R52" s="361" t="s">
        <v>290</v>
      </c>
      <c r="S52" s="161"/>
      <c r="T52" s="318" t="s">
        <v>292</v>
      </c>
      <c r="U52" s="319" t="s">
        <v>294</v>
      </c>
      <c r="V52" s="161"/>
      <c r="W52" s="363" t="s">
        <v>753</v>
      </c>
      <c r="X52" s="363" t="s">
        <v>754</v>
      </c>
      <c r="Y52" s="363" t="s">
        <v>755</v>
      </c>
      <c r="Z52" s="363" t="s">
        <v>756</v>
      </c>
      <c r="AA52" s="363" t="s">
        <v>757</v>
      </c>
      <c r="AB52" s="363" t="s">
        <v>758</v>
      </c>
      <c r="AC52" s="363" t="s">
        <v>759</v>
      </c>
      <c r="AD52" s="362" t="s">
        <v>777</v>
      </c>
      <c r="AE52" s="362" t="s">
        <v>791</v>
      </c>
      <c r="AF52" s="362" t="s">
        <v>792</v>
      </c>
      <c r="AG52" s="362" t="s">
        <v>793</v>
      </c>
      <c r="AH52" s="362" t="s">
        <v>794</v>
      </c>
      <c r="AI52" s="361" t="s">
        <v>296</v>
      </c>
      <c r="AJ52" s="361" t="s">
        <v>298</v>
      </c>
      <c r="AK52" s="361" t="s">
        <v>300</v>
      </c>
      <c r="AL52" s="161"/>
      <c r="AM52" s="318" t="s">
        <v>309</v>
      </c>
      <c r="AN52" s="318" t="s">
        <v>310</v>
      </c>
      <c r="AO52" s="318" t="s">
        <v>312</v>
      </c>
    </row>
    <row r="53" spans="1:41" ht="75">
      <c r="A53" s="364" t="s">
        <v>484</v>
      </c>
      <c r="B53" s="364" t="s">
        <v>485</v>
      </c>
      <c r="C53" s="364" t="s">
        <v>795</v>
      </c>
      <c r="D53" s="364" t="s">
        <v>605</v>
      </c>
      <c r="E53" s="364" t="s">
        <v>604</v>
      </c>
      <c r="F53" s="166" t="s">
        <v>603</v>
      </c>
      <c r="G53" s="166" t="s">
        <v>602</v>
      </c>
      <c r="H53" s="365" t="s">
        <v>601</v>
      </c>
      <c r="I53" s="366" t="s">
        <v>481</v>
      </c>
      <c r="J53" s="166" t="s">
        <v>480</v>
      </c>
      <c r="K53" s="166" t="s">
        <v>479</v>
      </c>
      <c r="L53" s="366" t="s">
        <v>478</v>
      </c>
      <c r="M53" s="166" t="s">
        <v>477</v>
      </c>
      <c r="N53" s="166" t="s">
        <v>541</v>
      </c>
      <c r="O53" s="164" t="s">
        <v>475</v>
      </c>
      <c r="P53" s="165" t="s">
        <v>761</v>
      </c>
      <c r="Q53" s="164" t="s">
        <v>600</v>
      </c>
      <c r="R53" s="324" t="s">
        <v>762</v>
      </c>
      <c r="S53" s="367"/>
      <c r="T53" s="324" t="s">
        <v>763</v>
      </c>
      <c r="U53" s="324" t="s">
        <v>725</v>
      </c>
      <c r="V53" s="367"/>
      <c r="W53" s="364" t="s">
        <v>796</v>
      </c>
      <c r="X53" s="364" t="s">
        <v>605</v>
      </c>
      <c r="Y53" s="364" t="s">
        <v>604</v>
      </c>
      <c r="Z53" s="166" t="s">
        <v>603</v>
      </c>
      <c r="AA53" s="166" t="s">
        <v>602</v>
      </c>
      <c r="AB53" s="365" t="s">
        <v>601</v>
      </c>
      <c r="AC53" s="366" t="s">
        <v>481</v>
      </c>
      <c r="AD53" s="166" t="s">
        <v>480</v>
      </c>
      <c r="AE53" s="166" t="s">
        <v>479</v>
      </c>
      <c r="AF53" s="366" t="s">
        <v>478</v>
      </c>
      <c r="AG53" s="166" t="s">
        <v>477</v>
      </c>
      <c r="AH53" s="166" t="s">
        <v>541</v>
      </c>
      <c r="AI53" s="164" t="s">
        <v>475</v>
      </c>
      <c r="AJ53" s="165" t="s">
        <v>761</v>
      </c>
      <c r="AK53" s="164" t="s">
        <v>600</v>
      </c>
      <c r="AL53" s="367"/>
      <c r="AM53" s="324" t="s">
        <v>765</v>
      </c>
      <c r="AN53" s="324" t="s">
        <v>766</v>
      </c>
      <c r="AO53" s="324" t="str">
        <f>"Total "&amp;J49&amp;" True-up"</f>
        <v>Total  True-up</v>
      </c>
    </row>
    <row r="54" spans="1:41">
      <c r="A54" s="79"/>
      <c r="B54" s="79"/>
      <c r="C54" s="79"/>
      <c r="D54" s="79"/>
      <c r="E54" s="79"/>
      <c r="F54" s="79"/>
      <c r="G54" s="79"/>
      <c r="H54" s="79"/>
      <c r="I54" s="163"/>
      <c r="J54" s="79"/>
      <c r="K54" s="79"/>
      <c r="L54" s="163"/>
      <c r="M54" s="79"/>
      <c r="N54" s="79"/>
      <c r="O54" s="163"/>
      <c r="P54" s="150"/>
      <c r="Q54" s="162"/>
      <c r="R54" s="162"/>
      <c r="S54" s="161"/>
      <c r="T54" s="368"/>
      <c r="U54" s="369"/>
      <c r="V54" s="161"/>
      <c r="W54" s="79"/>
      <c r="X54" s="79"/>
      <c r="Y54" s="79"/>
      <c r="Z54" s="79"/>
      <c r="AA54" s="79"/>
      <c r="AB54" s="79"/>
      <c r="AC54" s="163"/>
      <c r="AD54" s="79"/>
      <c r="AE54" s="79"/>
      <c r="AF54" s="163"/>
      <c r="AG54" s="79"/>
      <c r="AH54" s="79"/>
      <c r="AI54" s="163"/>
      <c r="AJ54" s="150"/>
      <c r="AK54" s="162"/>
      <c r="AL54" s="161"/>
      <c r="AM54" s="370"/>
      <c r="AN54" s="370"/>
      <c r="AO54" s="370"/>
    </row>
    <row r="55" spans="1:41">
      <c r="A55" s="606">
        <v>2844</v>
      </c>
      <c r="B55" s="371" t="s">
        <v>887</v>
      </c>
      <c r="C55" s="372">
        <v>33509843.040000003</v>
      </c>
      <c r="D55" s="372">
        <v>7649158.8095359998</v>
      </c>
      <c r="E55" s="81">
        <f t="shared" ref="E55:E63" si="0">E$49</f>
        <v>4.5014916098123109E-2</v>
      </c>
      <c r="F55" s="159">
        <f t="shared" ref="F55:F63" si="1">D55*E55</f>
        <v>344326.24203248229</v>
      </c>
      <c r="G55" s="81">
        <f t="shared" ref="G55:G63" si="2">G$49</f>
        <v>1.3525647822172658E-2</v>
      </c>
      <c r="H55" s="373">
        <f t="shared" ref="H55:H63" si="3">C55*G55</f>
        <v>453242.33553532365</v>
      </c>
      <c r="I55" s="158">
        <f t="shared" ref="I55:I63" si="4">F55+H55</f>
        <v>797568.577567806</v>
      </c>
      <c r="J55" s="159">
        <f>C55-D55</f>
        <v>25860684.230464004</v>
      </c>
      <c r="K55" s="81">
        <f t="shared" ref="K55:K63" si="5">K$49</f>
        <v>7.9997587171902834E-2</v>
      </c>
      <c r="L55" s="158">
        <f t="shared" ref="L55:L63" si="6">J55*K55</f>
        <v>2068792.3410515971</v>
      </c>
      <c r="M55" s="372">
        <v>700355.71953600005</v>
      </c>
      <c r="N55" s="372">
        <v>0</v>
      </c>
      <c r="O55" s="158">
        <f t="shared" ref="O55:O63" si="7">I55+L55+M55+N55</f>
        <v>3566716.6381554031</v>
      </c>
      <c r="P55" s="372">
        <v>356145.21867073601</v>
      </c>
      <c r="Q55" s="158">
        <f t="shared" ref="Q55:Q63" si="8">O55+P55</f>
        <v>3922861.8568261391</v>
      </c>
      <c r="R55" s="374">
        <f>IF(ISERR(Q55/Q$65),0,Q55/Q$65)</f>
        <v>5.065014286658534E-2</v>
      </c>
      <c r="S55" s="77"/>
      <c r="T55" s="158">
        <f>+R55*T51</f>
        <v>3621977.0033703586</v>
      </c>
      <c r="U55" s="374">
        <f>IF(ISERR(T55/$T$65),0,T55/$T$65)</f>
        <v>5.065014286658534E-2</v>
      </c>
      <c r="V55" s="77"/>
      <c r="W55" s="459">
        <v>33509843.040000003</v>
      </c>
      <c r="X55" s="459">
        <v>7648660.9400000125</v>
      </c>
      <c r="Y55" s="81">
        <f t="shared" ref="Y55:Y63" si="9">Y$49</f>
        <v>4.5788721527834274E-2</v>
      </c>
      <c r="Z55" s="159">
        <f t="shared" ref="Z55:Z63" si="10">X55*Y55</f>
        <v>350222.40584248368</v>
      </c>
      <c r="AA55" s="81">
        <f t="shared" ref="AA55:AA63" si="11">AA$49</f>
        <v>1.2211684460136298E-2</v>
      </c>
      <c r="AB55" s="373">
        <f t="shared" ref="AB55:AB63" si="12">W55*AA55</f>
        <v>409211.62951317453</v>
      </c>
      <c r="AC55" s="158">
        <f t="shared" ref="AC55:AC63" si="13">Z55+AB55</f>
        <v>759434.03535565827</v>
      </c>
      <c r="AD55" s="159">
        <f>W55-X55</f>
        <v>25861182.09999999</v>
      </c>
      <c r="AE55" s="81">
        <f t="shared" ref="AE55:AE63" si="14">AE$49</f>
        <v>8.0050160797355885E-2</v>
      </c>
      <c r="AF55" s="158">
        <f t="shared" ref="AF55:AF63" si="15">AD55*AE55</f>
        <v>2070191.7855147009</v>
      </c>
      <c r="AG55" s="459">
        <v>699857.88</v>
      </c>
      <c r="AH55" s="459">
        <v>0</v>
      </c>
      <c r="AI55" s="158">
        <f t="shared" ref="AI55:AI63" si="16">AC55+AF55+AG55+AH55</f>
        <v>3529483.7008703593</v>
      </c>
      <c r="AJ55" s="159">
        <f>P55</f>
        <v>356145.21867073601</v>
      </c>
      <c r="AK55" s="158">
        <f t="shared" ref="AK55:AK63" si="17">AI55+AJ55</f>
        <v>3885628.9195410954</v>
      </c>
      <c r="AL55" s="77"/>
      <c r="AM55" s="158">
        <f>+AK55-T55</f>
        <v>263651.91617073677</v>
      </c>
      <c r="AN55" s="158">
        <f>IF(ISERR((AM55/$AM$65)*$AN$51),0,(AM55/$AM$65)*$AN$51)</f>
        <v>27916.869312141753</v>
      </c>
      <c r="AO55" s="158">
        <f t="shared" ref="AO55:AO63" si="18">+AM55+AN55</f>
        <v>291568.78548287851</v>
      </c>
    </row>
    <row r="56" spans="1:41">
      <c r="A56" s="606">
        <v>3127</v>
      </c>
      <c r="B56" s="371" t="s">
        <v>888</v>
      </c>
      <c r="C56" s="372">
        <v>549113462.32126915</v>
      </c>
      <c r="D56" s="372">
        <v>42043060.348325126</v>
      </c>
      <c r="E56" s="81">
        <f t="shared" si="0"/>
        <v>4.5014916098123109E-2</v>
      </c>
      <c r="F56" s="159">
        <f t="shared" si="1"/>
        <v>1892564.8340881821</v>
      </c>
      <c r="G56" s="81">
        <f t="shared" si="2"/>
        <v>1.3525647822172658E-2</v>
      </c>
      <c r="H56" s="373">
        <f t="shared" si="3"/>
        <v>7427115.305771362</v>
      </c>
      <c r="I56" s="158">
        <f t="shared" si="4"/>
        <v>9319680.1398595441</v>
      </c>
      <c r="J56" s="159">
        <f t="shared" ref="J56:J63" si="19">C56-D56</f>
        <v>507070401.97294402</v>
      </c>
      <c r="K56" s="81">
        <f t="shared" si="5"/>
        <v>7.9997587171902834E-2</v>
      </c>
      <c r="L56" s="158">
        <f t="shared" si="6"/>
        <v>40564408.684122398</v>
      </c>
      <c r="M56" s="372">
        <v>13339212.778649911</v>
      </c>
      <c r="N56" s="372">
        <v>0</v>
      </c>
      <c r="O56" s="158">
        <f t="shared" si="7"/>
        <v>63223301.602631852</v>
      </c>
      <c r="P56" s="372">
        <v>5321000.2480586125</v>
      </c>
      <c r="Q56" s="158">
        <f t="shared" si="8"/>
        <v>68544301.850690469</v>
      </c>
      <c r="R56" s="374">
        <f>IF(ISERR(Q56/Q$65),0,Q56/Q$65)</f>
        <v>0.88501171036308834</v>
      </c>
      <c r="S56" s="77"/>
      <c r="T56" s="158">
        <f>+R56*T51</f>
        <v>63286930.326968245</v>
      </c>
      <c r="U56" s="374">
        <f t="shared" ref="U56:U63" si="20">IF(ISERR(T56/$T$65),0,T56/$T$65)</f>
        <v>0.88501171036308834</v>
      </c>
      <c r="V56" s="77"/>
      <c r="W56" s="459">
        <v>545108709.11230767</v>
      </c>
      <c r="X56" s="459">
        <v>40860597.894615389</v>
      </c>
      <c r="Y56" s="81">
        <f t="shared" si="9"/>
        <v>4.5788721527834274E-2</v>
      </c>
      <c r="Z56" s="159">
        <f t="shared" si="10"/>
        <v>1870954.5384573555</v>
      </c>
      <c r="AA56" s="81">
        <f t="shared" si="11"/>
        <v>1.2211684460136298E-2</v>
      </c>
      <c r="AB56" s="373">
        <f t="shared" si="12"/>
        <v>6656695.5521517247</v>
      </c>
      <c r="AC56" s="158">
        <f t="shared" si="13"/>
        <v>8527650.0906090811</v>
      </c>
      <c r="AD56" s="159">
        <f t="shared" ref="AD56:AD63" si="21">W56-X56</f>
        <v>504248111.21769226</v>
      </c>
      <c r="AE56" s="81">
        <f t="shared" si="14"/>
        <v>8.0050160797355885E-2</v>
      </c>
      <c r="AF56" s="158">
        <f t="shared" si="15"/>
        <v>40365142.384739257</v>
      </c>
      <c r="AG56" s="459">
        <v>11873593.49</v>
      </c>
      <c r="AH56" s="459">
        <v>0</v>
      </c>
      <c r="AI56" s="158">
        <f t="shared" si="16"/>
        <v>60766385.965348341</v>
      </c>
      <c r="AJ56" s="159">
        <f t="shared" ref="AJ56:AJ63" si="22">P56</f>
        <v>5321000.2480586125</v>
      </c>
      <c r="AK56" s="158">
        <f t="shared" si="17"/>
        <v>66087386.21340695</v>
      </c>
      <c r="AL56" s="77"/>
      <c r="AM56" s="158">
        <f>+AK56-T56</f>
        <v>2800455.886438705</v>
      </c>
      <c r="AN56" s="158">
        <f t="shared" ref="AN56:AN63" si="23">IF(ISERR((AM56/$AM$65)*$AN$51),0,(AM56/$AM$65)*$AN$51)</f>
        <v>296527.18679844268</v>
      </c>
      <c r="AO56" s="158">
        <f t="shared" si="18"/>
        <v>3096983.0732371476</v>
      </c>
    </row>
    <row r="57" spans="1:41">
      <c r="A57" s="607">
        <v>23372</v>
      </c>
      <c r="B57" s="371" t="s">
        <v>1004</v>
      </c>
      <c r="C57" s="372">
        <v>0</v>
      </c>
      <c r="D57" s="372">
        <v>0</v>
      </c>
      <c r="E57" s="81">
        <f t="shared" si="0"/>
        <v>4.5014916098123109E-2</v>
      </c>
      <c r="F57" s="159">
        <f t="shared" si="1"/>
        <v>0</v>
      </c>
      <c r="G57" s="81">
        <f t="shared" si="2"/>
        <v>1.3525647822172658E-2</v>
      </c>
      <c r="H57" s="373">
        <f t="shared" si="3"/>
        <v>0</v>
      </c>
      <c r="I57" s="158">
        <f t="shared" si="4"/>
        <v>0</v>
      </c>
      <c r="J57" s="159">
        <f t="shared" si="19"/>
        <v>0</v>
      </c>
      <c r="K57" s="81">
        <f t="shared" si="5"/>
        <v>7.9997587171902834E-2</v>
      </c>
      <c r="L57" s="158">
        <f t="shared" si="6"/>
        <v>0</v>
      </c>
      <c r="M57" s="372">
        <v>0</v>
      </c>
      <c r="N57" s="372">
        <v>4850000</v>
      </c>
      <c r="O57" s="158">
        <f t="shared" si="7"/>
        <v>4850000</v>
      </c>
      <c r="P57" s="372">
        <v>0</v>
      </c>
      <c r="Q57" s="158">
        <f t="shared" si="8"/>
        <v>4850000</v>
      </c>
      <c r="R57" s="374">
        <f t="shared" ref="R57:R63" si="24">IF(ISERR(Q57/Q$65),0,Q57/Q$65)</f>
        <v>6.2620913473024759E-2</v>
      </c>
      <c r="S57" s="77"/>
      <c r="T57" s="158">
        <f>+R57*T51</f>
        <v>4478003.3321282435</v>
      </c>
      <c r="U57" s="374">
        <f t="shared" si="20"/>
        <v>6.2620913473024759E-2</v>
      </c>
      <c r="V57" s="77"/>
      <c r="W57" s="459">
        <v>570153.30615384609</v>
      </c>
      <c r="X57" s="459">
        <v>0</v>
      </c>
      <c r="Y57" s="81">
        <f t="shared" si="9"/>
        <v>4.5788721527834274E-2</v>
      </c>
      <c r="Z57" s="159">
        <f t="shared" si="10"/>
        <v>0</v>
      </c>
      <c r="AA57" s="81">
        <f t="shared" si="11"/>
        <v>1.2211684460136298E-2</v>
      </c>
      <c r="AB57" s="373">
        <f t="shared" si="12"/>
        <v>6962.5322686542549</v>
      </c>
      <c r="AC57" s="158">
        <f t="shared" si="13"/>
        <v>6962.5322686542549</v>
      </c>
      <c r="AD57" s="159">
        <f t="shared" si="21"/>
        <v>570153.30615384609</v>
      </c>
      <c r="AE57" s="81">
        <f t="shared" si="14"/>
        <v>8.0050160797355885E-2</v>
      </c>
      <c r="AF57" s="158">
        <f t="shared" si="15"/>
        <v>45640.863836759461</v>
      </c>
      <c r="AG57" s="459">
        <v>0</v>
      </c>
      <c r="AH57" s="459">
        <v>311008.13999999996</v>
      </c>
      <c r="AI57" s="158">
        <f t="shared" si="16"/>
        <v>363611.53610541369</v>
      </c>
      <c r="AJ57" s="159">
        <f t="shared" si="22"/>
        <v>0</v>
      </c>
      <c r="AK57" s="158">
        <f t="shared" si="17"/>
        <v>363611.53610541369</v>
      </c>
      <c r="AL57" s="77"/>
      <c r="AM57" s="158">
        <f t="shared" ref="AM57:AM63" si="25">+AK57-T57</f>
        <v>-4114391.7960228296</v>
      </c>
      <c r="AN57" s="158">
        <f t="shared" si="23"/>
        <v>-435653.7200136843</v>
      </c>
      <c r="AO57" s="158">
        <f t="shared" si="18"/>
        <v>-4550045.5160365142</v>
      </c>
    </row>
    <row r="58" spans="1:41">
      <c r="A58" s="607">
        <v>23408</v>
      </c>
      <c r="B58" s="371" t="s">
        <v>1005</v>
      </c>
      <c r="C58" s="372">
        <v>0</v>
      </c>
      <c r="D58" s="372">
        <v>0</v>
      </c>
      <c r="E58" s="81">
        <f t="shared" si="0"/>
        <v>4.5014916098123109E-2</v>
      </c>
      <c r="F58" s="159">
        <f t="shared" si="1"/>
        <v>0</v>
      </c>
      <c r="G58" s="81">
        <f t="shared" si="2"/>
        <v>1.3525647822172658E-2</v>
      </c>
      <c r="H58" s="373">
        <f t="shared" si="3"/>
        <v>0</v>
      </c>
      <c r="I58" s="158">
        <f t="shared" si="4"/>
        <v>0</v>
      </c>
      <c r="J58" s="159">
        <f t="shared" si="19"/>
        <v>0</v>
      </c>
      <c r="K58" s="81">
        <f t="shared" si="5"/>
        <v>7.9997587171902834E-2</v>
      </c>
      <c r="L58" s="158">
        <f t="shared" si="6"/>
        <v>0</v>
      </c>
      <c r="M58" s="372">
        <v>0</v>
      </c>
      <c r="N58" s="372">
        <v>133000</v>
      </c>
      <c r="O58" s="158">
        <f t="shared" si="7"/>
        <v>133000</v>
      </c>
      <c r="P58" s="372">
        <v>0</v>
      </c>
      <c r="Q58" s="158">
        <f t="shared" si="8"/>
        <v>133000</v>
      </c>
      <c r="R58" s="374">
        <f t="shared" si="24"/>
        <v>1.7172332973015036E-3</v>
      </c>
      <c r="S58" s="77"/>
      <c r="T58" s="158">
        <f>+R58*T51</f>
        <v>122798.85426248584</v>
      </c>
      <c r="U58" s="374">
        <f t="shared" si="20"/>
        <v>1.7172332973015036E-3</v>
      </c>
      <c r="V58" s="77"/>
      <c r="W58" s="459">
        <v>336393.54307692312</v>
      </c>
      <c r="X58" s="459">
        <v>0</v>
      </c>
      <c r="Y58" s="81">
        <f t="shared" si="9"/>
        <v>4.5788721527834274E-2</v>
      </c>
      <c r="Z58" s="159">
        <f t="shared" si="10"/>
        <v>0</v>
      </c>
      <c r="AA58" s="81">
        <f t="shared" si="11"/>
        <v>1.2211684460136298E-2</v>
      </c>
      <c r="AB58" s="373">
        <f t="shared" si="12"/>
        <v>4107.9318024826525</v>
      </c>
      <c r="AC58" s="158">
        <f t="shared" si="13"/>
        <v>4107.9318024826525</v>
      </c>
      <c r="AD58" s="159">
        <f t="shared" si="21"/>
        <v>336393.54307692312</v>
      </c>
      <c r="AE58" s="81">
        <f t="shared" si="14"/>
        <v>8.0050160797355885E-2</v>
      </c>
      <c r="AF58" s="158">
        <f t="shared" si="15"/>
        <v>26928.35721449996</v>
      </c>
      <c r="AG58" s="459">
        <v>0</v>
      </c>
      <c r="AH58" s="459">
        <v>6072368.3100000005</v>
      </c>
      <c r="AI58" s="158">
        <f t="shared" si="16"/>
        <v>6103404.5990169831</v>
      </c>
      <c r="AJ58" s="159">
        <f t="shared" si="22"/>
        <v>0</v>
      </c>
      <c r="AK58" s="158">
        <f t="shared" si="17"/>
        <v>6103404.5990169831</v>
      </c>
      <c r="AL58" s="77"/>
      <c r="AM58" s="158">
        <f t="shared" si="25"/>
        <v>5980605.744754497</v>
      </c>
      <c r="AN58" s="158">
        <f t="shared" si="23"/>
        <v>633258.39390309993</v>
      </c>
      <c r="AO58" s="158">
        <f t="shared" si="18"/>
        <v>6613864.1386575969</v>
      </c>
    </row>
    <row r="59" spans="1:41">
      <c r="A59" s="608"/>
      <c r="B59" s="371"/>
      <c r="C59" s="372">
        <v>0</v>
      </c>
      <c r="D59" s="372">
        <v>0</v>
      </c>
      <c r="E59" s="81">
        <f t="shared" si="0"/>
        <v>4.5014916098123109E-2</v>
      </c>
      <c r="F59" s="159">
        <f t="shared" si="1"/>
        <v>0</v>
      </c>
      <c r="G59" s="81">
        <f t="shared" si="2"/>
        <v>1.3525647822172658E-2</v>
      </c>
      <c r="H59" s="373">
        <f t="shared" si="3"/>
        <v>0</v>
      </c>
      <c r="I59" s="158">
        <f t="shared" si="4"/>
        <v>0</v>
      </c>
      <c r="J59" s="159">
        <f t="shared" si="19"/>
        <v>0</v>
      </c>
      <c r="K59" s="81">
        <f t="shared" si="5"/>
        <v>7.9997587171902834E-2</v>
      </c>
      <c r="L59" s="158">
        <f t="shared" si="6"/>
        <v>0</v>
      </c>
      <c r="M59" s="372">
        <v>0</v>
      </c>
      <c r="N59" s="372">
        <v>0</v>
      </c>
      <c r="O59" s="158">
        <f t="shared" si="7"/>
        <v>0</v>
      </c>
      <c r="P59" s="372">
        <v>0</v>
      </c>
      <c r="Q59" s="158">
        <f t="shared" si="8"/>
        <v>0</v>
      </c>
      <c r="R59" s="374">
        <f t="shared" si="24"/>
        <v>0</v>
      </c>
      <c r="S59" s="77"/>
      <c r="T59" s="158">
        <f>+R59*T51</f>
        <v>0</v>
      </c>
      <c r="U59" s="374">
        <f t="shared" si="20"/>
        <v>0</v>
      </c>
      <c r="V59" s="77"/>
      <c r="W59" s="459">
        <v>0</v>
      </c>
      <c r="X59" s="459">
        <v>0</v>
      </c>
      <c r="Y59" s="81">
        <f t="shared" si="9"/>
        <v>4.5788721527834274E-2</v>
      </c>
      <c r="Z59" s="159">
        <f t="shared" si="10"/>
        <v>0</v>
      </c>
      <c r="AA59" s="81">
        <f t="shared" si="11"/>
        <v>1.2211684460136298E-2</v>
      </c>
      <c r="AB59" s="373">
        <f t="shared" si="12"/>
        <v>0</v>
      </c>
      <c r="AC59" s="158">
        <f t="shared" si="13"/>
        <v>0</v>
      </c>
      <c r="AD59" s="159">
        <f t="shared" si="21"/>
        <v>0</v>
      </c>
      <c r="AE59" s="81">
        <f t="shared" si="14"/>
        <v>8.0050160797355885E-2</v>
      </c>
      <c r="AF59" s="158">
        <f t="shared" si="15"/>
        <v>0</v>
      </c>
      <c r="AG59" s="459">
        <v>0</v>
      </c>
      <c r="AH59" s="459">
        <v>0</v>
      </c>
      <c r="AI59" s="158">
        <f t="shared" si="16"/>
        <v>0</v>
      </c>
      <c r="AJ59" s="159">
        <f t="shared" si="22"/>
        <v>0</v>
      </c>
      <c r="AK59" s="158">
        <f t="shared" si="17"/>
        <v>0</v>
      </c>
      <c r="AL59" s="77"/>
      <c r="AM59" s="158">
        <f t="shared" si="25"/>
        <v>0</v>
      </c>
      <c r="AN59" s="158">
        <f t="shared" si="23"/>
        <v>0</v>
      </c>
      <c r="AO59" s="158">
        <f t="shared" si="18"/>
        <v>0</v>
      </c>
    </row>
    <row r="60" spans="1:41">
      <c r="A60" s="608"/>
      <c r="B60" s="371"/>
      <c r="C60" s="372">
        <v>0</v>
      </c>
      <c r="D60" s="372">
        <v>0</v>
      </c>
      <c r="E60" s="81">
        <f t="shared" si="0"/>
        <v>4.5014916098123109E-2</v>
      </c>
      <c r="F60" s="159">
        <f t="shared" si="1"/>
        <v>0</v>
      </c>
      <c r="G60" s="81">
        <f t="shared" si="2"/>
        <v>1.3525647822172658E-2</v>
      </c>
      <c r="H60" s="373">
        <f t="shared" si="3"/>
        <v>0</v>
      </c>
      <c r="I60" s="158">
        <f t="shared" si="4"/>
        <v>0</v>
      </c>
      <c r="J60" s="159">
        <f t="shared" si="19"/>
        <v>0</v>
      </c>
      <c r="K60" s="81">
        <f t="shared" si="5"/>
        <v>7.9997587171902834E-2</v>
      </c>
      <c r="L60" s="158">
        <f t="shared" si="6"/>
        <v>0</v>
      </c>
      <c r="M60" s="372">
        <v>0</v>
      </c>
      <c r="N60" s="372">
        <v>0</v>
      </c>
      <c r="O60" s="158">
        <f t="shared" si="7"/>
        <v>0</v>
      </c>
      <c r="P60" s="372">
        <v>0</v>
      </c>
      <c r="Q60" s="158">
        <f t="shared" si="8"/>
        <v>0</v>
      </c>
      <c r="R60" s="374">
        <f t="shared" si="24"/>
        <v>0</v>
      </c>
      <c r="S60" s="77"/>
      <c r="T60" s="158">
        <f>+R60*T51</f>
        <v>0</v>
      </c>
      <c r="U60" s="374">
        <f t="shared" si="20"/>
        <v>0</v>
      </c>
      <c r="V60" s="77"/>
      <c r="W60" s="459">
        <v>0</v>
      </c>
      <c r="X60" s="459">
        <v>0</v>
      </c>
      <c r="Y60" s="81">
        <f t="shared" si="9"/>
        <v>4.5788721527834274E-2</v>
      </c>
      <c r="Z60" s="159">
        <f t="shared" si="10"/>
        <v>0</v>
      </c>
      <c r="AA60" s="81">
        <f t="shared" si="11"/>
        <v>1.2211684460136298E-2</v>
      </c>
      <c r="AB60" s="373">
        <f t="shared" si="12"/>
        <v>0</v>
      </c>
      <c r="AC60" s="158">
        <f t="shared" si="13"/>
        <v>0</v>
      </c>
      <c r="AD60" s="159">
        <f t="shared" si="21"/>
        <v>0</v>
      </c>
      <c r="AE60" s="81">
        <f t="shared" si="14"/>
        <v>8.0050160797355885E-2</v>
      </c>
      <c r="AF60" s="158">
        <f t="shared" si="15"/>
        <v>0</v>
      </c>
      <c r="AG60" s="459">
        <v>0</v>
      </c>
      <c r="AH60" s="459">
        <v>0</v>
      </c>
      <c r="AI60" s="158">
        <f t="shared" si="16"/>
        <v>0</v>
      </c>
      <c r="AJ60" s="159">
        <f t="shared" si="22"/>
        <v>0</v>
      </c>
      <c r="AK60" s="158">
        <f t="shared" si="17"/>
        <v>0</v>
      </c>
      <c r="AL60" s="77"/>
      <c r="AM60" s="158">
        <f t="shared" si="25"/>
        <v>0</v>
      </c>
      <c r="AN60" s="158">
        <f t="shared" si="23"/>
        <v>0</v>
      </c>
      <c r="AO60" s="158">
        <f t="shared" si="18"/>
        <v>0</v>
      </c>
    </row>
    <row r="61" spans="1:41">
      <c r="A61" s="608"/>
      <c r="B61" s="371"/>
      <c r="C61" s="372">
        <v>0</v>
      </c>
      <c r="D61" s="372">
        <v>0</v>
      </c>
      <c r="E61" s="81">
        <f t="shared" si="0"/>
        <v>4.5014916098123109E-2</v>
      </c>
      <c r="F61" s="159">
        <f t="shared" si="1"/>
        <v>0</v>
      </c>
      <c r="G61" s="81">
        <f t="shared" si="2"/>
        <v>1.3525647822172658E-2</v>
      </c>
      <c r="H61" s="373">
        <f t="shared" si="3"/>
        <v>0</v>
      </c>
      <c r="I61" s="158">
        <f t="shared" si="4"/>
        <v>0</v>
      </c>
      <c r="J61" s="159">
        <f t="shared" si="19"/>
        <v>0</v>
      </c>
      <c r="K61" s="81">
        <f t="shared" si="5"/>
        <v>7.9997587171902834E-2</v>
      </c>
      <c r="L61" s="158">
        <f t="shared" si="6"/>
        <v>0</v>
      </c>
      <c r="M61" s="372">
        <v>0</v>
      </c>
      <c r="N61" s="372">
        <v>0</v>
      </c>
      <c r="O61" s="158">
        <f t="shared" si="7"/>
        <v>0</v>
      </c>
      <c r="P61" s="372">
        <v>0</v>
      </c>
      <c r="Q61" s="158">
        <f t="shared" si="8"/>
        <v>0</v>
      </c>
      <c r="R61" s="374">
        <f t="shared" si="24"/>
        <v>0</v>
      </c>
      <c r="S61" s="77"/>
      <c r="T61" s="158">
        <f>+R61*T51</f>
        <v>0</v>
      </c>
      <c r="U61" s="374">
        <f t="shared" si="20"/>
        <v>0</v>
      </c>
      <c r="V61" s="77"/>
      <c r="W61" s="459">
        <v>0</v>
      </c>
      <c r="X61" s="459">
        <v>0</v>
      </c>
      <c r="Y61" s="81">
        <f t="shared" si="9"/>
        <v>4.5788721527834274E-2</v>
      </c>
      <c r="Z61" s="159">
        <f t="shared" si="10"/>
        <v>0</v>
      </c>
      <c r="AA61" s="81">
        <f t="shared" si="11"/>
        <v>1.2211684460136298E-2</v>
      </c>
      <c r="AB61" s="373">
        <f t="shared" si="12"/>
        <v>0</v>
      </c>
      <c r="AC61" s="158">
        <f t="shared" si="13"/>
        <v>0</v>
      </c>
      <c r="AD61" s="159">
        <f t="shared" si="21"/>
        <v>0</v>
      </c>
      <c r="AE61" s="81">
        <f t="shared" si="14"/>
        <v>8.0050160797355885E-2</v>
      </c>
      <c r="AF61" s="158">
        <f t="shared" si="15"/>
        <v>0</v>
      </c>
      <c r="AG61" s="459">
        <v>0</v>
      </c>
      <c r="AH61" s="459">
        <v>0</v>
      </c>
      <c r="AI61" s="158">
        <f t="shared" si="16"/>
        <v>0</v>
      </c>
      <c r="AJ61" s="159">
        <f t="shared" si="22"/>
        <v>0</v>
      </c>
      <c r="AK61" s="158">
        <f t="shared" si="17"/>
        <v>0</v>
      </c>
      <c r="AL61" s="77"/>
      <c r="AM61" s="158">
        <f t="shared" si="25"/>
        <v>0</v>
      </c>
      <c r="AN61" s="158">
        <f t="shared" si="23"/>
        <v>0</v>
      </c>
      <c r="AO61" s="158">
        <f t="shared" si="18"/>
        <v>0</v>
      </c>
    </row>
    <row r="62" spans="1:41">
      <c r="A62" s="608"/>
      <c r="B62" s="371"/>
      <c r="C62" s="372">
        <v>0</v>
      </c>
      <c r="D62" s="372">
        <v>0</v>
      </c>
      <c r="E62" s="81">
        <f t="shared" si="0"/>
        <v>4.5014916098123109E-2</v>
      </c>
      <c r="F62" s="159">
        <f t="shared" si="1"/>
        <v>0</v>
      </c>
      <c r="G62" s="81">
        <f t="shared" si="2"/>
        <v>1.3525647822172658E-2</v>
      </c>
      <c r="H62" s="373">
        <f t="shared" si="3"/>
        <v>0</v>
      </c>
      <c r="I62" s="158">
        <f t="shared" si="4"/>
        <v>0</v>
      </c>
      <c r="J62" s="159">
        <f t="shared" si="19"/>
        <v>0</v>
      </c>
      <c r="K62" s="81">
        <f t="shared" si="5"/>
        <v>7.9997587171902834E-2</v>
      </c>
      <c r="L62" s="158">
        <f t="shared" si="6"/>
        <v>0</v>
      </c>
      <c r="M62" s="372">
        <v>0</v>
      </c>
      <c r="N62" s="372">
        <v>0</v>
      </c>
      <c r="O62" s="158">
        <f t="shared" si="7"/>
        <v>0</v>
      </c>
      <c r="P62" s="372">
        <v>0</v>
      </c>
      <c r="Q62" s="158">
        <f t="shared" si="8"/>
        <v>0</v>
      </c>
      <c r="R62" s="374">
        <f t="shared" si="24"/>
        <v>0</v>
      </c>
      <c r="S62" s="77"/>
      <c r="T62" s="158">
        <f>+R62*T51</f>
        <v>0</v>
      </c>
      <c r="U62" s="374">
        <f t="shared" si="20"/>
        <v>0</v>
      </c>
      <c r="V62" s="77"/>
      <c r="W62" s="459">
        <v>0</v>
      </c>
      <c r="X62" s="459">
        <v>0</v>
      </c>
      <c r="Y62" s="81">
        <f t="shared" si="9"/>
        <v>4.5788721527834274E-2</v>
      </c>
      <c r="Z62" s="159">
        <f t="shared" si="10"/>
        <v>0</v>
      </c>
      <c r="AA62" s="81">
        <f t="shared" si="11"/>
        <v>1.2211684460136298E-2</v>
      </c>
      <c r="AB62" s="373">
        <f t="shared" si="12"/>
        <v>0</v>
      </c>
      <c r="AC62" s="158">
        <f t="shared" si="13"/>
        <v>0</v>
      </c>
      <c r="AD62" s="159">
        <f t="shared" si="21"/>
        <v>0</v>
      </c>
      <c r="AE62" s="81">
        <f t="shared" si="14"/>
        <v>8.0050160797355885E-2</v>
      </c>
      <c r="AF62" s="158">
        <f t="shared" si="15"/>
        <v>0</v>
      </c>
      <c r="AG62" s="459">
        <v>0</v>
      </c>
      <c r="AH62" s="459">
        <v>0</v>
      </c>
      <c r="AI62" s="158">
        <f t="shared" si="16"/>
        <v>0</v>
      </c>
      <c r="AJ62" s="159">
        <f t="shared" si="22"/>
        <v>0</v>
      </c>
      <c r="AK62" s="158">
        <f t="shared" si="17"/>
        <v>0</v>
      </c>
      <c r="AL62" s="77"/>
      <c r="AM62" s="158">
        <f t="shared" si="25"/>
        <v>0</v>
      </c>
      <c r="AN62" s="158">
        <f t="shared" si="23"/>
        <v>0</v>
      </c>
      <c r="AO62" s="158">
        <f t="shared" si="18"/>
        <v>0</v>
      </c>
    </row>
    <row r="63" spans="1:41">
      <c r="A63" s="608"/>
      <c r="B63" s="375"/>
      <c r="C63" s="372">
        <v>0</v>
      </c>
      <c r="D63" s="372">
        <v>0</v>
      </c>
      <c r="E63" s="81">
        <f t="shared" si="0"/>
        <v>4.5014916098123109E-2</v>
      </c>
      <c r="F63" s="159">
        <f t="shared" si="1"/>
        <v>0</v>
      </c>
      <c r="G63" s="81">
        <f t="shared" si="2"/>
        <v>1.3525647822172658E-2</v>
      </c>
      <c r="H63" s="373">
        <f t="shared" si="3"/>
        <v>0</v>
      </c>
      <c r="I63" s="158">
        <f t="shared" si="4"/>
        <v>0</v>
      </c>
      <c r="J63" s="159">
        <f t="shared" si="19"/>
        <v>0</v>
      </c>
      <c r="K63" s="81">
        <f t="shared" si="5"/>
        <v>7.9997587171902834E-2</v>
      </c>
      <c r="L63" s="158">
        <f t="shared" si="6"/>
        <v>0</v>
      </c>
      <c r="M63" s="372">
        <v>0</v>
      </c>
      <c r="N63" s="372">
        <v>0</v>
      </c>
      <c r="O63" s="158">
        <f t="shared" si="7"/>
        <v>0</v>
      </c>
      <c r="P63" s="372">
        <v>0</v>
      </c>
      <c r="Q63" s="158">
        <f t="shared" si="8"/>
        <v>0</v>
      </c>
      <c r="R63" s="374">
        <f t="shared" si="24"/>
        <v>0</v>
      </c>
      <c r="S63" s="77"/>
      <c r="T63" s="158">
        <f>+R63*T51</f>
        <v>0</v>
      </c>
      <c r="U63" s="374">
        <f t="shared" si="20"/>
        <v>0</v>
      </c>
      <c r="V63" s="77"/>
      <c r="W63" s="459">
        <v>0</v>
      </c>
      <c r="X63" s="459">
        <v>0</v>
      </c>
      <c r="Y63" s="81">
        <f t="shared" si="9"/>
        <v>4.5788721527834274E-2</v>
      </c>
      <c r="Z63" s="159">
        <f t="shared" si="10"/>
        <v>0</v>
      </c>
      <c r="AA63" s="81">
        <f t="shared" si="11"/>
        <v>1.2211684460136298E-2</v>
      </c>
      <c r="AB63" s="373">
        <f t="shared" si="12"/>
        <v>0</v>
      </c>
      <c r="AC63" s="158">
        <f t="shared" si="13"/>
        <v>0</v>
      </c>
      <c r="AD63" s="159">
        <f t="shared" si="21"/>
        <v>0</v>
      </c>
      <c r="AE63" s="81">
        <f t="shared" si="14"/>
        <v>8.0050160797355885E-2</v>
      </c>
      <c r="AF63" s="158">
        <f t="shared" si="15"/>
        <v>0</v>
      </c>
      <c r="AG63" s="459">
        <v>0</v>
      </c>
      <c r="AH63" s="459">
        <v>0</v>
      </c>
      <c r="AI63" s="158">
        <f t="shared" si="16"/>
        <v>0</v>
      </c>
      <c r="AJ63" s="159">
        <f t="shared" si="22"/>
        <v>0</v>
      </c>
      <c r="AK63" s="158">
        <f t="shared" si="17"/>
        <v>0</v>
      </c>
      <c r="AL63" s="77"/>
      <c r="AM63" s="158">
        <f t="shared" si="25"/>
        <v>0</v>
      </c>
      <c r="AN63" s="158">
        <f t="shared" si="23"/>
        <v>0</v>
      </c>
      <c r="AO63" s="158">
        <f t="shared" si="18"/>
        <v>0</v>
      </c>
    </row>
    <row r="64" spans="1:41">
      <c r="B64" s="77"/>
      <c r="E64" s="81"/>
      <c r="G64" s="81"/>
      <c r="H64" s="77"/>
      <c r="I64" s="376"/>
      <c r="K64" s="81"/>
      <c r="L64" s="377"/>
      <c r="O64" s="377"/>
      <c r="Q64" s="376"/>
      <c r="R64" s="342"/>
      <c r="S64" s="77"/>
      <c r="T64" s="158"/>
      <c r="U64" s="376"/>
      <c r="V64" s="77"/>
      <c r="Y64" s="81"/>
      <c r="AA64" s="81"/>
      <c r="AB64" s="77"/>
      <c r="AC64" s="376"/>
      <c r="AE64" s="81"/>
      <c r="AF64" s="377"/>
      <c r="AI64" s="377"/>
      <c r="AK64" s="376"/>
      <c r="AL64" s="77"/>
      <c r="AM64" s="158"/>
      <c r="AN64" s="158"/>
      <c r="AO64" s="158"/>
    </row>
    <row r="65" spans="1:43">
      <c r="A65" s="353"/>
      <c r="B65" s="353" t="s">
        <v>587</v>
      </c>
      <c r="C65" s="383">
        <f>SUM(C55:C64)</f>
        <v>582623305.36126912</v>
      </c>
      <c r="D65" s="383">
        <f>SUM(D55:D64)</f>
        <v>49692219.157861128</v>
      </c>
      <c r="E65" s="383"/>
      <c r="F65" s="383">
        <f>SUM(F55:F64)</f>
        <v>2236891.0761206644</v>
      </c>
      <c r="G65" s="383"/>
      <c r="H65" s="383">
        <f>SUM(H55:H64)</f>
        <v>7880357.6413066853</v>
      </c>
      <c r="I65" s="383">
        <f>SUM(I55:I64)</f>
        <v>10117248.717427351</v>
      </c>
      <c r="J65" s="383">
        <f>SUM(J55:J64)</f>
        <v>532931086.203408</v>
      </c>
      <c r="K65" s="383"/>
      <c r="L65" s="383">
        <f t="shared" ref="L65:R65" si="26">SUM(L55:L64)</f>
        <v>42633201.025173992</v>
      </c>
      <c r="M65" s="383">
        <f t="shared" si="26"/>
        <v>14039568.498185912</v>
      </c>
      <c r="N65" s="383">
        <f t="shared" si="26"/>
        <v>4983000</v>
      </c>
      <c r="O65" s="383">
        <f t="shared" si="26"/>
        <v>71773018.240787253</v>
      </c>
      <c r="P65" s="383">
        <f t="shared" si="26"/>
        <v>5677145.4667293485</v>
      </c>
      <c r="Q65" s="383">
        <f t="shared" si="26"/>
        <v>77450163.707516611</v>
      </c>
      <c r="R65" s="384">
        <f t="shared" si="26"/>
        <v>1</v>
      </c>
      <c r="S65" s="77"/>
      <c r="T65" s="383">
        <f>SUM(T55:T64)</f>
        <v>71509709.51672934</v>
      </c>
      <c r="U65" s="384">
        <f>SUM(U55:U64)</f>
        <v>1</v>
      </c>
      <c r="V65" s="77"/>
      <c r="W65" s="383">
        <f>SUM(W55:W64)</f>
        <v>579525099.0015384</v>
      </c>
      <c r="X65" s="383">
        <f>SUM(X55:X64)</f>
        <v>48509258.834615402</v>
      </c>
      <c r="Y65" s="383"/>
      <c r="Z65" s="383">
        <f>SUM(Z55:Z64)</f>
        <v>2221176.944299839</v>
      </c>
      <c r="AA65" s="383"/>
      <c r="AB65" s="383">
        <f>SUM(AB55:AB64)</f>
        <v>7076977.6457360359</v>
      </c>
      <c r="AC65" s="383">
        <f>SUM(AC55:AC64)</f>
        <v>9298154.5900358763</v>
      </c>
      <c r="AD65" s="383">
        <f>SUM(AD55:AD64)</f>
        <v>531015840.16692299</v>
      </c>
      <c r="AE65" s="383"/>
      <c r="AF65" s="383">
        <f t="shared" ref="AF65:AK65" si="27">SUM(AF55:AF64)</f>
        <v>42507903.391305216</v>
      </c>
      <c r="AG65" s="383">
        <f t="shared" si="27"/>
        <v>12573451.370000001</v>
      </c>
      <c r="AH65" s="383">
        <f t="shared" si="27"/>
        <v>6383376.4500000002</v>
      </c>
      <c r="AI65" s="383">
        <f t="shared" si="27"/>
        <v>70762885.801341102</v>
      </c>
      <c r="AJ65" s="383">
        <f t="shared" si="27"/>
        <v>5677145.4667293485</v>
      </c>
      <c r="AK65" s="383">
        <f t="shared" si="27"/>
        <v>76440031.26807043</v>
      </c>
      <c r="AL65" s="77"/>
      <c r="AM65" s="383">
        <f>SUM(AM55:AM64)</f>
        <v>4930321.7513411092</v>
      </c>
      <c r="AN65" s="383">
        <f>SUM(AN55:AN64)</f>
        <v>522048.73000000004</v>
      </c>
      <c r="AO65" s="383">
        <f>SUM(AO55:AO64)</f>
        <v>5452370.4813411087</v>
      </c>
      <c r="AQ65" s="387"/>
    </row>
    <row r="66" spans="1:43">
      <c r="A66" s="77"/>
      <c r="B66" s="77"/>
      <c r="C66" s="77"/>
      <c r="D66" s="77"/>
      <c r="E66" s="77"/>
      <c r="F66" s="77"/>
      <c r="G66" s="77"/>
      <c r="H66" s="77"/>
      <c r="I66" s="77"/>
      <c r="J66" s="77"/>
      <c r="K66" s="77"/>
      <c r="L66" s="77"/>
      <c r="M66" s="77"/>
      <c r="N66" s="77"/>
      <c r="O66" s="77"/>
      <c r="P66" s="77"/>
      <c r="Q66" s="77"/>
      <c r="R66" s="77"/>
      <c r="S66" s="77"/>
      <c r="T66" s="77"/>
      <c r="U66" s="77"/>
      <c r="V66" s="77"/>
      <c r="W66" s="77"/>
      <c r="X66" s="77"/>
      <c r="AL66" s="77"/>
    </row>
    <row r="67" spans="1:43" ht="15.75">
      <c r="A67" s="378" t="s">
        <v>400</v>
      </c>
      <c r="B67" s="77"/>
      <c r="C67" s="77"/>
      <c r="D67" s="77"/>
      <c r="E67" s="77"/>
      <c r="F67" s="77"/>
      <c r="G67" s="77"/>
      <c r="H67" s="77"/>
      <c r="I67" s="77"/>
      <c r="J67" s="77"/>
      <c r="K67" s="77"/>
      <c r="L67" s="77"/>
      <c r="M67" s="77"/>
      <c r="N67" s="77"/>
      <c r="O67" s="77"/>
      <c r="P67" s="77"/>
      <c r="Q67" s="77"/>
      <c r="R67" s="77"/>
      <c r="S67" s="77"/>
      <c r="T67" s="77"/>
      <c r="U67" s="77"/>
      <c r="V67" s="77"/>
      <c r="W67" s="77"/>
      <c r="X67" s="77"/>
      <c r="AL67" s="77"/>
    </row>
    <row r="68" spans="1:43" ht="15.75">
      <c r="A68" s="379" t="s">
        <v>768</v>
      </c>
      <c r="C68" s="380"/>
      <c r="D68" s="380"/>
      <c r="E68" s="380"/>
      <c r="F68" s="380"/>
      <c r="G68" s="380"/>
      <c r="H68" s="380"/>
      <c r="I68" s="380"/>
      <c r="J68" s="380"/>
      <c r="K68" s="380"/>
      <c r="L68" s="380"/>
      <c r="M68" s="380"/>
      <c r="N68" s="380"/>
      <c r="O68" s="380"/>
      <c r="P68" s="380"/>
      <c r="Q68" s="380"/>
      <c r="R68" s="380"/>
      <c r="S68" s="77"/>
      <c r="T68" s="77"/>
      <c r="U68" s="77"/>
      <c r="V68" s="77"/>
      <c r="W68" s="77"/>
      <c r="X68" s="77"/>
      <c r="AL68" s="77"/>
    </row>
    <row r="69" spans="1:43" ht="15.75">
      <c r="A69" s="379" t="s">
        <v>769</v>
      </c>
      <c r="C69" s="155"/>
      <c r="D69" s="155"/>
      <c r="E69" s="155"/>
      <c r="F69" s="155"/>
      <c r="G69" s="155"/>
      <c r="H69" s="155"/>
      <c r="I69" s="155"/>
      <c r="J69" s="155"/>
      <c r="K69" s="155"/>
      <c r="L69" s="155"/>
      <c r="M69" s="155"/>
      <c r="N69" s="155"/>
      <c r="O69" s="155"/>
      <c r="P69" s="155"/>
      <c r="Q69" s="155"/>
      <c r="R69" s="155"/>
      <c r="S69" s="77"/>
      <c r="T69" s="77"/>
      <c r="U69" s="77"/>
      <c r="V69" s="77"/>
      <c r="W69" s="77"/>
      <c r="X69" s="77"/>
      <c r="AK69" s="381"/>
      <c r="AL69" s="77"/>
      <c r="AM69" s="176"/>
      <c r="AN69" s="176"/>
      <c r="AO69" s="176"/>
    </row>
    <row r="70" spans="1:43" ht="15.75">
      <c r="A70" s="379" t="s">
        <v>770</v>
      </c>
      <c r="C70" s="380"/>
      <c r="D70" s="380"/>
      <c r="E70" s="380"/>
      <c r="F70" s="380"/>
      <c r="G70" s="380"/>
      <c r="H70" s="380"/>
      <c r="I70" s="380"/>
      <c r="J70" s="380"/>
      <c r="K70" s="380"/>
      <c r="L70" s="380"/>
      <c r="M70" s="380"/>
      <c r="N70" s="380"/>
      <c r="O70" s="380"/>
      <c r="P70" s="380"/>
      <c r="Q70" s="380"/>
      <c r="R70" s="380"/>
      <c r="S70" s="77"/>
      <c r="T70" s="77"/>
      <c r="U70" s="77"/>
      <c r="V70" s="77"/>
      <c r="W70" s="77"/>
      <c r="X70" s="77"/>
      <c r="AK70" s="381"/>
      <c r="AL70" s="77"/>
      <c r="AM70" s="176"/>
      <c r="AN70" s="176"/>
      <c r="AO70" s="176"/>
    </row>
    <row r="71" spans="1:43" ht="15.75">
      <c r="A71" s="379" t="s">
        <v>771</v>
      </c>
      <c r="C71" s="382"/>
      <c r="D71" s="382"/>
      <c r="E71" s="382"/>
      <c r="F71" s="382"/>
      <c r="G71" s="382"/>
      <c r="H71" s="382"/>
      <c r="I71" s="382"/>
      <c r="J71" s="382"/>
      <c r="K71" s="382"/>
      <c r="L71" s="382"/>
      <c r="M71" s="382"/>
      <c r="N71" s="382"/>
      <c r="O71" s="382"/>
      <c r="P71" s="382"/>
      <c r="Q71" s="382"/>
      <c r="R71" s="382"/>
      <c r="S71" s="77"/>
      <c r="T71" s="77"/>
      <c r="U71" s="77"/>
      <c r="V71" s="77"/>
      <c r="W71" s="77"/>
      <c r="X71" s="77"/>
      <c r="AK71" s="381"/>
      <c r="AL71" s="77"/>
      <c r="AM71" s="176"/>
      <c r="AN71" s="176"/>
      <c r="AO71" s="176"/>
    </row>
    <row r="72" spans="1:43" ht="15.75">
      <c r="A72" s="379" t="s">
        <v>772</v>
      </c>
      <c r="C72" s="266"/>
      <c r="D72" s="266"/>
      <c r="E72" s="266"/>
      <c r="F72" s="266"/>
      <c r="G72" s="266"/>
      <c r="H72" s="266"/>
      <c r="I72" s="266"/>
      <c r="J72" s="266"/>
      <c r="K72" s="266"/>
      <c r="L72" s="266"/>
      <c r="M72" s="266"/>
      <c r="N72" s="266"/>
      <c r="O72" s="266"/>
      <c r="P72" s="266"/>
      <c r="Q72" s="266"/>
      <c r="R72" s="266"/>
      <c r="S72" s="77"/>
      <c r="T72" s="77"/>
      <c r="U72" s="77"/>
      <c r="V72" s="77"/>
      <c r="W72" s="77"/>
      <c r="X72" s="77"/>
      <c r="AL72" s="77"/>
    </row>
    <row r="73" spans="1:43" ht="15.75">
      <c r="A73" s="379" t="s">
        <v>727</v>
      </c>
      <c r="C73" s="382"/>
      <c r="D73" s="382"/>
      <c r="E73" s="382"/>
      <c r="F73" s="382"/>
      <c r="G73" s="382"/>
      <c r="H73" s="382"/>
      <c r="I73" s="382"/>
      <c r="J73" s="382"/>
      <c r="K73" s="382"/>
      <c r="L73" s="382"/>
      <c r="M73" s="382"/>
      <c r="N73" s="382"/>
      <c r="O73" s="382"/>
      <c r="P73" s="382"/>
      <c r="Q73" s="382"/>
      <c r="R73" s="382"/>
      <c r="S73" s="77"/>
      <c r="T73" s="77"/>
      <c r="U73" s="77"/>
      <c r="V73" s="77"/>
      <c r="W73" s="77"/>
      <c r="X73" s="77"/>
      <c r="AL73" s="77"/>
    </row>
    <row r="74" spans="1:43">
      <c r="S74" s="77"/>
      <c r="T74" s="77"/>
      <c r="U74" s="77"/>
      <c r="V74" s="77"/>
      <c r="W74" s="77"/>
      <c r="X74" s="77"/>
      <c r="AL74" s="77"/>
    </row>
    <row r="75" spans="1:43">
      <c r="A75" s="77"/>
      <c r="B75" s="77"/>
      <c r="C75" s="77"/>
      <c r="D75" s="77"/>
      <c r="E75" s="77"/>
      <c r="F75" s="77"/>
      <c r="G75" s="77"/>
      <c r="H75" s="77"/>
      <c r="I75" s="77"/>
      <c r="J75" s="77"/>
      <c r="K75" s="77"/>
      <c r="L75" s="77"/>
      <c r="M75" s="77"/>
      <c r="N75" s="77"/>
      <c r="O75" s="77"/>
      <c r="P75" s="77"/>
      <c r="Q75" s="77"/>
      <c r="R75" s="77"/>
      <c r="S75" s="77"/>
      <c r="T75" s="77"/>
      <c r="U75" s="77"/>
      <c r="V75" s="77"/>
      <c r="W75" s="77"/>
      <c r="X75" s="77"/>
      <c r="AL75" s="77"/>
    </row>
    <row r="76" spans="1:43">
      <c r="A76" s="77"/>
      <c r="B76" s="77"/>
      <c r="C76" s="77"/>
      <c r="D76" s="77"/>
      <c r="E76" s="77"/>
      <c r="F76" s="77"/>
      <c r="G76" s="77"/>
      <c r="H76" s="77"/>
      <c r="I76" s="77"/>
      <c r="J76" s="77"/>
      <c r="K76" s="77"/>
      <c r="L76" s="77"/>
      <c r="M76" s="77"/>
      <c r="N76" s="77"/>
      <c r="O76" s="77"/>
      <c r="P76" s="77"/>
      <c r="Q76" s="77"/>
      <c r="R76" s="77"/>
      <c r="S76" s="77"/>
      <c r="T76" s="77"/>
      <c r="U76" s="77"/>
      <c r="V76" s="77"/>
      <c r="W76" s="77"/>
      <c r="X76" s="77"/>
      <c r="AL76" s="77"/>
    </row>
    <row r="77" spans="1:43">
      <c r="A77" s="77"/>
      <c r="B77" s="77"/>
      <c r="C77" s="77"/>
      <c r="D77" s="77"/>
      <c r="E77" s="77"/>
      <c r="F77" s="77"/>
      <c r="G77" s="77"/>
      <c r="H77" s="77"/>
      <c r="I77" s="77"/>
      <c r="J77" s="77"/>
      <c r="K77" s="77"/>
      <c r="L77" s="77"/>
      <c r="M77" s="77"/>
      <c r="N77" s="77"/>
      <c r="O77" s="77"/>
      <c r="P77" s="77"/>
      <c r="Q77" s="77"/>
      <c r="R77" s="77"/>
      <c r="S77" s="77"/>
      <c r="T77" s="77"/>
      <c r="U77" s="77"/>
      <c r="V77" s="77"/>
      <c r="W77" s="77"/>
      <c r="X77" s="77"/>
      <c r="AL77" s="77"/>
    </row>
    <row r="78" spans="1:43">
      <c r="A78" s="77"/>
      <c r="B78" s="77"/>
      <c r="C78" s="77"/>
      <c r="D78" s="77"/>
      <c r="E78" s="77"/>
      <c r="F78" s="77"/>
      <c r="G78" s="77"/>
      <c r="H78" s="77"/>
      <c r="I78" s="77"/>
      <c r="J78" s="77"/>
      <c r="K78" s="77"/>
      <c r="L78" s="77"/>
      <c r="M78" s="77"/>
      <c r="N78" s="77"/>
      <c r="O78" s="77"/>
      <c r="P78" s="77"/>
      <c r="Q78" s="77"/>
      <c r="R78" s="77"/>
      <c r="S78" s="77"/>
      <c r="T78" s="77"/>
      <c r="U78" s="77"/>
      <c r="V78" s="77"/>
      <c r="W78" s="77"/>
      <c r="X78" s="77"/>
      <c r="AL78" s="77"/>
    </row>
    <row r="79" spans="1:43">
      <c r="A79" s="77"/>
      <c r="B79" s="77"/>
      <c r="C79" s="77"/>
      <c r="D79" s="77"/>
      <c r="E79" s="77"/>
      <c r="F79" s="77"/>
      <c r="G79" s="77"/>
      <c r="H79" s="77"/>
      <c r="I79" s="77"/>
      <c r="J79" s="77"/>
      <c r="K79" s="77"/>
      <c r="L79" s="77"/>
      <c r="M79" s="77"/>
      <c r="N79" s="77"/>
      <c r="O79" s="77"/>
      <c r="P79" s="77"/>
      <c r="Q79" s="77"/>
      <c r="R79" s="77"/>
      <c r="S79" s="77"/>
      <c r="T79" s="77"/>
      <c r="U79" s="77"/>
      <c r="V79" s="77"/>
      <c r="W79" s="77"/>
      <c r="X79" s="77"/>
      <c r="AL79" s="77"/>
    </row>
    <row r="80" spans="1:43">
      <c r="A80" s="77"/>
      <c r="B80" s="77"/>
      <c r="C80" s="77"/>
      <c r="D80" s="77"/>
      <c r="E80" s="77"/>
      <c r="F80" s="77"/>
      <c r="G80" s="77"/>
      <c r="H80" s="77"/>
      <c r="I80" s="77"/>
      <c r="J80" s="77"/>
      <c r="K80" s="77"/>
      <c r="L80" s="77"/>
      <c r="M80" s="77"/>
      <c r="N80" s="77"/>
      <c r="O80" s="77"/>
      <c r="P80" s="77"/>
      <c r="Q80" s="77"/>
      <c r="R80" s="77"/>
      <c r="S80" s="77"/>
      <c r="T80" s="77"/>
      <c r="U80" s="77"/>
      <c r="V80" s="77"/>
      <c r="W80" s="77"/>
      <c r="X80" s="77"/>
      <c r="AL80" s="77"/>
    </row>
    <row r="81" spans="1:38">
      <c r="A81" s="77"/>
      <c r="B81" s="77"/>
      <c r="C81" s="77"/>
      <c r="D81" s="77"/>
      <c r="E81" s="77"/>
      <c r="F81" s="77"/>
      <c r="G81" s="77"/>
      <c r="H81" s="77"/>
      <c r="I81" s="77"/>
      <c r="J81" s="77"/>
      <c r="K81" s="77"/>
      <c r="L81" s="77"/>
      <c r="M81" s="77"/>
      <c r="N81" s="77"/>
      <c r="O81" s="77"/>
      <c r="P81" s="77"/>
      <c r="Q81" s="77"/>
      <c r="R81" s="77"/>
      <c r="S81" s="77"/>
      <c r="T81" s="77"/>
      <c r="U81" s="77"/>
      <c r="V81" s="77"/>
      <c r="W81" s="77"/>
      <c r="X81" s="77"/>
      <c r="AL81" s="77"/>
    </row>
    <row r="82" spans="1:38">
      <c r="A82" s="77"/>
      <c r="B82" s="77"/>
      <c r="C82" s="77"/>
      <c r="D82" s="77"/>
      <c r="E82" s="77"/>
      <c r="F82" s="77"/>
      <c r="G82" s="77"/>
      <c r="H82" s="77"/>
      <c r="I82" s="77"/>
      <c r="J82" s="77"/>
      <c r="K82" s="77"/>
      <c r="L82" s="77"/>
      <c r="M82" s="77"/>
      <c r="N82" s="77"/>
      <c r="O82" s="77"/>
      <c r="P82" s="77"/>
      <c r="Q82" s="77"/>
      <c r="R82" s="77"/>
      <c r="S82" s="77"/>
      <c r="T82" s="77"/>
      <c r="U82" s="77"/>
      <c r="V82" s="77"/>
      <c r="W82" s="77"/>
      <c r="X82" s="77"/>
      <c r="AL82" s="77"/>
    </row>
    <row r="83" spans="1:38">
      <c r="A83" s="77"/>
      <c r="B83" s="77"/>
      <c r="C83" s="77"/>
      <c r="D83" s="77"/>
      <c r="E83" s="77"/>
      <c r="F83" s="77"/>
      <c r="G83" s="77"/>
      <c r="H83" s="77"/>
      <c r="I83" s="77"/>
      <c r="J83" s="77"/>
      <c r="K83" s="77"/>
      <c r="L83" s="77"/>
      <c r="M83" s="77"/>
      <c r="N83" s="77"/>
      <c r="O83" s="77"/>
      <c r="P83" s="77"/>
      <c r="Q83" s="77"/>
      <c r="R83" s="77"/>
      <c r="S83" s="77"/>
      <c r="T83" s="77"/>
      <c r="U83" s="77"/>
      <c r="V83" s="77"/>
      <c r="W83" s="77"/>
      <c r="X83" s="77"/>
      <c r="AL83" s="77"/>
    </row>
    <row r="84" spans="1:38">
      <c r="A84" s="77"/>
      <c r="B84" s="77"/>
      <c r="C84" s="77"/>
      <c r="D84" s="77"/>
      <c r="E84" s="77"/>
      <c r="F84" s="77"/>
      <c r="G84" s="77"/>
      <c r="H84" s="77"/>
      <c r="I84" s="77"/>
      <c r="J84" s="77"/>
      <c r="K84" s="77"/>
      <c r="L84" s="77"/>
      <c r="M84" s="77"/>
      <c r="N84" s="77"/>
      <c r="O84" s="77"/>
      <c r="P84" s="77"/>
      <c r="Q84" s="77"/>
      <c r="R84" s="77"/>
      <c r="S84" s="77"/>
      <c r="T84" s="77"/>
      <c r="U84" s="77"/>
      <c r="V84" s="77"/>
      <c r="W84" s="77"/>
      <c r="X84" s="77"/>
      <c r="AL84" s="77"/>
    </row>
    <row r="85" spans="1:38">
      <c r="A85" s="77"/>
      <c r="B85" s="77"/>
      <c r="C85" s="77"/>
      <c r="D85" s="77"/>
      <c r="E85" s="77"/>
      <c r="F85" s="77"/>
      <c r="G85" s="77"/>
      <c r="H85" s="77"/>
      <c r="I85" s="77"/>
      <c r="J85" s="77"/>
      <c r="K85" s="77"/>
      <c r="L85" s="77"/>
      <c r="M85" s="77"/>
      <c r="N85" s="77"/>
      <c r="O85" s="77"/>
      <c r="P85" s="77"/>
      <c r="Q85" s="77"/>
      <c r="R85" s="77"/>
      <c r="S85" s="77"/>
      <c r="T85" s="77"/>
      <c r="U85" s="77"/>
      <c r="V85" s="77"/>
      <c r="W85" s="77"/>
      <c r="X85" s="77"/>
      <c r="AL85" s="77"/>
    </row>
    <row r="86" spans="1:38">
      <c r="A86" s="77"/>
      <c r="B86" s="77"/>
      <c r="C86" s="77"/>
      <c r="D86" s="77"/>
      <c r="E86" s="77"/>
      <c r="F86" s="77"/>
      <c r="G86" s="77"/>
      <c r="H86" s="77"/>
      <c r="I86" s="77"/>
      <c r="J86" s="77"/>
      <c r="K86" s="77"/>
      <c r="L86" s="77"/>
      <c r="M86" s="77"/>
      <c r="N86" s="77"/>
      <c r="O86" s="77"/>
      <c r="P86" s="77"/>
      <c r="Q86" s="77"/>
      <c r="R86" s="77"/>
      <c r="S86" s="77"/>
      <c r="T86" s="77"/>
      <c r="U86" s="77"/>
      <c r="V86" s="77"/>
      <c r="W86" s="77"/>
      <c r="X86" s="77"/>
      <c r="AL86" s="77"/>
    </row>
    <row r="87" spans="1:38">
      <c r="A87" s="77"/>
      <c r="B87" s="77"/>
      <c r="C87" s="77"/>
      <c r="D87" s="77"/>
      <c r="E87" s="77"/>
      <c r="F87" s="77"/>
      <c r="G87" s="77"/>
      <c r="H87" s="77"/>
      <c r="I87" s="77"/>
      <c r="J87" s="77"/>
      <c r="K87" s="77"/>
      <c r="L87" s="77"/>
      <c r="M87" s="77"/>
      <c r="N87" s="77"/>
      <c r="O87" s="77"/>
      <c r="P87" s="77"/>
      <c r="Q87" s="77"/>
      <c r="R87" s="77"/>
      <c r="S87" s="77"/>
      <c r="T87" s="77"/>
      <c r="U87" s="77"/>
      <c r="V87" s="77"/>
      <c r="W87" s="77"/>
      <c r="X87" s="77"/>
      <c r="AL87" s="77"/>
    </row>
    <row r="88" spans="1:38">
      <c r="A88" s="77"/>
      <c r="B88" s="77"/>
      <c r="C88" s="77"/>
      <c r="D88" s="77"/>
      <c r="E88" s="77"/>
      <c r="F88" s="77"/>
      <c r="G88" s="77"/>
      <c r="H88" s="77"/>
      <c r="I88" s="77"/>
      <c r="J88" s="77"/>
      <c r="K88" s="77"/>
      <c r="L88" s="77"/>
      <c r="M88" s="77"/>
      <c r="N88" s="77"/>
      <c r="O88" s="77"/>
      <c r="P88" s="77"/>
      <c r="Q88" s="77"/>
      <c r="R88" s="77"/>
      <c r="S88" s="77"/>
      <c r="T88" s="77"/>
      <c r="U88" s="77"/>
      <c r="V88" s="77"/>
      <c r="W88" s="77"/>
      <c r="X88" s="77"/>
      <c r="AL88" s="77"/>
    </row>
    <row r="89" spans="1:38">
      <c r="A89" s="77"/>
      <c r="B89" s="77"/>
      <c r="C89" s="77"/>
      <c r="D89" s="77"/>
      <c r="E89" s="77"/>
      <c r="F89" s="77"/>
      <c r="G89" s="77"/>
      <c r="H89" s="77"/>
      <c r="I89" s="77"/>
      <c r="J89" s="77"/>
      <c r="K89" s="77"/>
      <c r="L89" s="77"/>
      <c r="M89" s="77"/>
      <c r="N89" s="77"/>
      <c r="O89" s="77"/>
      <c r="P89" s="77"/>
      <c r="Q89" s="77"/>
      <c r="R89" s="77"/>
      <c r="S89" s="77"/>
      <c r="T89" s="77"/>
      <c r="U89" s="77"/>
      <c r="V89" s="77"/>
      <c r="W89" s="77"/>
      <c r="X89" s="77"/>
      <c r="AL89" s="77"/>
    </row>
    <row r="90" spans="1:38">
      <c r="A90" s="77"/>
      <c r="B90" s="77"/>
      <c r="C90" s="77"/>
      <c r="D90" s="77"/>
      <c r="E90" s="77"/>
      <c r="F90" s="77"/>
      <c r="G90" s="77"/>
      <c r="H90" s="77"/>
      <c r="I90" s="77"/>
      <c r="J90" s="77"/>
      <c r="K90" s="77"/>
      <c r="L90" s="77"/>
      <c r="M90" s="77"/>
      <c r="N90" s="77"/>
      <c r="O90" s="77"/>
      <c r="P90" s="77"/>
      <c r="Q90" s="77"/>
      <c r="R90" s="77"/>
      <c r="S90" s="77"/>
      <c r="T90" s="77"/>
      <c r="U90" s="77"/>
      <c r="V90" s="77"/>
      <c r="W90" s="77"/>
      <c r="X90" s="77"/>
      <c r="AL90" s="77"/>
    </row>
    <row r="91" spans="1:38">
      <c r="A91" s="77"/>
      <c r="B91" s="77"/>
      <c r="C91" s="77"/>
      <c r="D91" s="77"/>
      <c r="E91" s="77"/>
      <c r="F91" s="77"/>
      <c r="G91" s="77"/>
      <c r="H91" s="77"/>
      <c r="I91" s="77"/>
      <c r="J91" s="77"/>
      <c r="K91" s="77"/>
      <c r="L91" s="77"/>
      <c r="M91" s="77"/>
      <c r="N91" s="77"/>
      <c r="O91" s="77"/>
      <c r="P91" s="77"/>
      <c r="Q91" s="77"/>
      <c r="R91" s="77"/>
      <c r="S91" s="77"/>
      <c r="T91" s="77"/>
      <c r="U91" s="77"/>
      <c r="V91" s="77"/>
      <c r="W91" s="77"/>
      <c r="X91" s="77"/>
      <c r="AL91" s="77"/>
    </row>
    <row r="92" spans="1:38">
      <c r="A92" s="77"/>
      <c r="B92" s="77"/>
      <c r="C92" s="77"/>
      <c r="D92" s="77"/>
      <c r="E92" s="77"/>
      <c r="F92" s="77"/>
      <c r="G92" s="77"/>
      <c r="H92" s="77"/>
      <c r="I92" s="77"/>
      <c r="J92" s="77"/>
      <c r="K92" s="77"/>
      <c r="L92" s="77"/>
      <c r="M92" s="77"/>
      <c r="N92" s="77"/>
      <c r="O92" s="77"/>
      <c r="P92" s="77"/>
      <c r="Q92" s="77"/>
      <c r="R92" s="77"/>
      <c r="S92" s="77"/>
      <c r="T92" s="77"/>
      <c r="U92" s="77"/>
      <c r="V92" s="77"/>
      <c r="W92" s="77"/>
      <c r="X92" s="77"/>
      <c r="AL92" s="77"/>
    </row>
    <row r="93" spans="1:38">
      <c r="A93" s="77"/>
      <c r="B93" s="77"/>
      <c r="C93" s="77"/>
      <c r="D93" s="77"/>
      <c r="E93" s="77"/>
      <c r="F93" s="77"/>
      <c r="G93" s="77"/>
      <c r="H93" s="77"/>
      <c r="I93" s="77"/>
      <c r="J93" s="77"/>
      <c r="K93" s="77"/>
      <c r="L93" s="77"/>
      <c r="M93" s="77"/>
      <c r="N93" s="77"/>
      <c r="O93" s="77"/>
      <c r="P93" s="77"/>
      <c r="Q93" s="77"/>
      <c r="R93" s="77"/>
      <c r="S93" s="77"/>
      <c r="T93" s="77"/>
      <c r="U93" s="77"/>
      <c r="V93" s="77"/>
      <c r="W93" s="77"/>
      <c r="X93" s="77"/>
      <c r="AL93" s="77"/>
    </row>
    <row r="94" spans="1:38">
      <c r="A94" s="77"/>
      <c r="B94" s="77"/>
      <c r="C94" s="77"/>
      <c r="D94" s="77"/>
      <c r="E94" s="77"/>
      <c r="F94" s="77"/>
      <c r="G94" s="77"/>
      <c r="H94" s="77"/>
      <c r="I94" s="77"/>
      <c r="J94" s="77"/>
      <c r="K94" s="77"/>
      <c r="L94" s="77"/>
      <c r="M94" s="77"/>
      <c r="N94" s="77"/>
      <c r="O94" s="77"/>
      <c r="P94" s="77"/>
      <c r="Q94" s="77"/>
      <c r="R94" s="77"/>
      <c r="S94" s="77"/>
      <c r="T94" s="77"/>
      <c r="U94" s="77"/>
      <c r="V94" s="77"/>
      <c r="W94" s="77"/>
      <c r="X94" s="77"/>
      <c r="AL94" s="77"/>
    </row>
    <row r="95" spans="1:38">
      <c r="A95" s="77"/>
      <c r="B95" s="77"/>
      <c r="C95" s="77"/>
      <c r="D95" s="77"/>
      <c r="E95" s="77"/>
      <c r="F95" s="77"/>
      <c r="G95" s="77"/>
      <c r="H95" s="77"/>
      <c r="I95" s="77"/>
      <c r="J95" s="77"/>
      <c r="K95" s="77"/>
      <c r="L95" s="77"/>
      <c r="M95" s="77"/>
      <c r="N95" s="77"/>
      <c r="O95" s="77"/>
      <c r="P95" s="77"/>
      <c r="Q95" s="77"/>
      <c r="R95" s="77"/>
      <c r="S95" s="77"/>
      <c r="T95" s="77"/>
      <c r="U95" s="77"/>
      <c r="V95" s="77"/>
      <c r="W95" s="77"/>
      <c r="X95" s="77"/>
      <c r="AL95" s="77"/>
    </row>
    <row r="96" spans="1:38">
      <c r="A96" s="77"/>
      <c r="B96" s="77"/>
      <c r="C96" s="77"/>
      <c r="D96" s="77"/>
      <c r="E96" s="77"/>
      <c r="F96" s="77"/>
      <c r="G96" s="77"/>
      <c r="H96" s="77"/>
      <c r="I96" s="77"/>
      <c r="J96" s="77"/>
      <c r="K96" s="77"/>
      <c r="L96" s="77"/>
      <c r="M96" s="77"/>
      <c r="N96" s="77"/>
      <c r="O96" s="77"/>
      <c r="P96" s="77"/>
      <c r="Q96" s="77"/>
      <c r="R96" s="77"/>
      <c r="S96" s="77"/>
      <c r="T96" s="77"/>
      <c r="U96" s="77"/>
      <c r="V96" s="77"/>
      <c r="W96" s="77"/>
      <c r="X96" s="77"/>
      <c r="AL96" s="77"/>
    </row>
    <row r="97" spans="1:38">
      <c r="A97" s="77"/>
      <c r="B97" s="77"/>
      <c r="C97" s="77"/>
      <c r="D97" s="77"/>
      <c r="E97" s="77"/>
      <c r="F97" s="77"/>
      <c r="G97" s="77"/>
      <c r="H97" s="77"/>
      <c r="I97" s="77"/>
      <c r="J97" s="77"/>
      <c r="K97" s="77"/>
      <c r="L97" s="77"/>
      <c r="M97" s="77"/>
      <c r="N97" s="77"/>
      <c r="O97" s="77"/>
      <c r="P97" s="77"/>
      <c r="Q97" s="77"/>
      <c r="R97" s="77"/>
      <c r="S97" s="77"/>
      <c r="T97" s="77"/>
      <c r="U97" s="77"/>
      <c r="V97" s="77"/>
      <c r="W97" s="77"/>
      <c r="X97" s="77"/>
      <c r="AL97" s="77"/>
    </row>
    <row r="98" spans="1:38">
      <c r="A98" s="77"/>
      <c r="B98" s="77"/>
      <c r="C98" s="77"/>
      <c r="D98" s="77"/>
      <c r="E98" s="77"/>
      <c r="F98" s="77"/>
      <c r="G98" s="77"/>
      <c r="H98" s="77"/>
      <c r="I98" s="77"/>
      <c r="J98" s="77"/>
      <c r="K98" s="77"/>
      <c r="L98" s="77"/>
      <c r="M98" s="77"/>
      <c r="N98" s="77"/>
      <c r="O98" s="77"/>
      <c r="P98" s="77"/>
      <c r="Q98" s="77"/>
      <c r="R98" s="77"/>
      <c r="S98" s="77"/>
      <c r="T98" s="77"/>
      <c r="U98" s="77"/>
      <c r="V98" s="77"/>
      <c r="W98" s="77"/>
      <c r="X98" s="77"/>
      <c r="AL98" s="77"/>
    </row>
    <row r="99" spans="1:38">
      <c r="A99" s="77"/>
      <c r="B99" s="77"/>
      <c r="C99" s="77"/>
      <c r="D99" s="77"/>
      <c r="E99" s="77"/>
      <c r="F99" s="77"/>
      <c r="G99" s="77"/>
      <c r="H99" s="77"/>
      <c r="I99" s="77"/>
      <c r="J99" s="77"/>
      <c r="K99" s="77"/>
      <c r="L99" s="77"/>
      <c r="M99" s="77"/>
      <c r="N99" s="77"/>
      <c r="O99" s="77"/>
      <c r="P99" s="77"/>
      <c r="Q99" s="77"/>
      <c r="R99" s="77"/>
    </row>
    <row r="100" spans="1:38">
      <c r="A100" s="77"/>
      <c r="B100" s="77"/>
      <c r="C100" s="77"/>
      <c r="D100" s="77"/>
      <c r="E100" s="77"/>
      <c r="F100" s="77"/>
      <c r="G100" s="77"/>
      <c r="H100" s="77"/>
      <c r="I100" s="77"/>
      <c r="J100" s="77"/>
      <c r="K100" s="77"/>
      <c r="L100" s="77"/>
      <c r="M100" s="77"/>
      <c r="N100" s="77"/>
      <c r="O100" s="77"/>
      <c r="P100" s="77"/>
      <c r="Q100" s="77"/>
      <c r="R100" s="77"/>
    </row>
    <row r="101" spans="1:38">
      <c r="A101" s="77"/>
      <c r="B101" s="77"/>
      <c r="C101" s="77"/>
      <c r="D101" s="77"/>
      <c r="E101" s="77"/>
      <c r="F101" s="77"/>
      <c r="G101" s="77"/>
      <c r="H101" s="77"/>
      <c r="I101" s="77"/>
      <c r="J101" s="77"/>
      <c r="K101" s="77"/>
      <c r="L101" s="77"/>
      <c r="M101" s="77"/>
      <c r="N101" s="77"/>
      <c r="O101" s="77"/>
      <c r="P101" s="77"/>
      <c r="Q101" s="77"/>
      <c r="R101" s="77"/>
    </row>
    <row r="102" spans="1:38">
      <c r="A102" s="77"/>
      <c r="B102" s="77"/>
      <c r="C102" s="77"/>
      <c r="D102" s="77"/>
      <c r="E102" s="77"/>
      <c r="F102" s="77"/>
      <c r="G102" s="77"/>
      <c r="H102" s="77"/>
      <c r="I102" s="77"/>
      <c r="J102" s="77"/>
      <c r="K102" s="77"/>
      <c r="L102" s="77"/>
      <c r="M102" s="77"/>
      <c r="N102" s="77"/>
      <c r="O102" s="77"/>
      <c r="P102" s="77"/>
      <c r="Q102" s="77"/>
      <c r="R102" s="77"/>
    </row>
    <row r="103" spans="1:38">
      <c r="A103" s="77"/>
      <c r="B103" s="77"/>
      <c r="C103" s="77"/>
      <c r="D103" s="77"/>
      <c r="E103" s="77"/>
      <c r="F103" s="77"/>
      <c r="G103" s="77"/>
      <c r="H103" s="77"/>
      <c r="I103" s="77"/>
      <c r="J103" s="77"/>
      <c r="K103" s="77"/>
      <c r="L103" s="77"/>
      <c r="M103" s="77"/>
      <c r="N103" s="77"/>
      <c r="O103" s="77"/>
      <c r="P103" s="77"/>
      <c r="Q103" s="77"/>
      <c r="R103" s="77"/>
    </row>
    <row r="104" spans="1:38">
      <c r="A104" s="77"/>
      <c r="B104" s="77"/>
      <c r="C104" s="77"/>
      <c r="D104" s="77"/>
      <c r="E104" s="77"/>
      <c r="F104" s="77"/>
      <c r="G104" s="77"/>
      <c r="H104" s="77"/>
      <c r="I104" s="77"/>
      <c r="J104" s="77"/>
      <c r="K104" s="77"/>
      <c r="L104" s="77"/>
      <c r="M104" s="77"/>
      <c r="N104" s="77"/>
      <c r="O104" s="77"/>
      <c r="P104" s="77"/>
      <c r="Q104" s="77"/>
      <c r="R104" s="77"/>
    </row>
    <row r="105" spans="1:38">
      <c r="A105" s="77"/>
      <c r="B105" s="77"/>
      <c r="C105" s="77"/>
      <c r="D105" s="77"/>
      <c r="E105" s="77"/>
      <c r="F105" s="77"/>
      <c r="G105" s="77"/>
      <c r="H105" s="77"/>
      <c r="I105" s="77"/>
      <c r="J105" s="77"/>
      <c r="K105" s="77"/>
      <c r="L105" s="77"/>
      <c r="M105" s="77"/>
      <c r="N105" s="77"/>
      <c r="O105" s="77"/>
      <c r="P105" s="77"/>
      <c r="Q105" s="77"/>
      <c r="R105" s="77"/>
    </row>
    <row r="106" spans="1:38">
      <c r="A106" s="77"/>
      <c r="B106" s="77"/>
      <c r="C106" s="77"/>
      <c r="D106" s="77"/>
      <c r="E106" s="77"/>
      <c r="F106" s="77"/>
      <c r="G106" s="77"/>
      <c r="H106" s="77"/>
      <c r="I106" s="77"/>
      <c r="J106" s="77"/>
      <c r="K106" s="77"/>
      <c r="L106" s="77"/>
      <c r="M106" s="77"/>
      <c r="N106" s="77"/>
      <c r="O106" s="77"/>
      <c r="P106" s="77"/>
      <c r="Q106" s="77"/>
      <c r="R106" s="77"/>
    </row>
  </sheetData>
  <mergeCells count="4">
    <mergeCell ref="C48:R48"/>
    <mergeCell ref="T48:U48"/>
    <mergeCell ref="W48:AK48"/>
    <mergeCell ref="AM48:AO48"/>
  </mergeCells>
  <pageMargins left="0.25" right="0.25" top="0.75" bottom="0.75" header="0.3" footer="0.3"/>
  <pageSetup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5D9F-698C-4481-896C-5AF7BFE7EB03}">
  <sheetPr codeName="Sheet5">
    <pageSetUpPr fitToPage="1"/>
  </sheetPr>
  <dimension ref="A1:AD51"/>
  <sheetViews>
    <sheetView zoomScaleNormal="100" zoomScaleSheetLayoutView="100" workbookViewId="0">
      <pane xSplit="3" ySplit="4" topLeftCell="D5" activePane="bottomRight" state="frozen"/>
      <selection pane="topRight" activeCell="D1" sqref="D1"/>
      <selection pane="bottomLeft" activeCell="A7" sqref="A7"/>
      <selection pane="bottomRight" activeCell="D8" sqref="D8"/>
    </sheetView>
  </sheetViews>
  <sheetFormatPr defaultColWidth="11.42578125" defaultRowHeight="12.75"/>
  <cols>
    <col min="1" max="2" width="11.42578125" style="9"/>
    <col min="3" max="3" width="16.7109375" style="9" customWidth="1"/>
    <col min="4" max="14" width="23.5703125" style="9" customWidth="1"/>
    <col min="15" max="16384" width="11.42578125" style="9"/>
  </cols>
  <sheetData>
    <row r="1" spans="1:16" s="58" customFormat="1" ht="15">
      <c r="A1"/>
      <c r="B1"/>
      <c r="C1" s="466"/>
      <c r="D1" s="423"/>
      <c r="E1" s="423"/>
      <c r="F1" s="423"/>
      <c r="G1" s="466"/>
      <c r="H1" s="466"/>
      <c r="I1" s="466"/>
      <c r="J1" s="467"/>
      <c r="K1" s="467"/>
      <c r="L1" s="467"/>
    </row>
    <row r="2" spans="1:16">
      <c r="C2" s="8" t="s">
        <v>349</v>
      </c>
      <c r="D2" s="468"/>
      <c r="E2" s="468"/>
      <c r="F2" s="468"/>
      <c r="G2" s="468"/>
      <c r="H2" s="468"/>
      <c r="I2" s="468"/>
      <c r="J2" s="468"/>
      <c r="K2" s="469"/>
      <c r="L2" s="468"/>
      <c r="M2" s="10"/>
    </row>
    <row r="3" spans="1:16">
      <c r="C3" s="8" t="s">
        <v>1246</v>
      </c>
      <c r="D3" s="468"/>
      <c r="E3" s="468"/>
      <c r="F3" s="468"/>
      <c r="G3" s="468"/>
      <c r="H3" s="468"/>
      <c r="I3" s="468"/>
      <c r="J3" s="468"/>
      <c r="K3" s="468"/>
      <c r="L3" s="14" t="s">
        <v>425</v>
      </c>
    </row>
    <row r="4" spans="1:16">
      <c r="C4" s="8" t="s">
        <v>350</v>
      </c>
      <c r="D4" s="468"/>
      <c r="E4" s="468"/>
      <c r="F4" s="468"/>
      <c r="G4" s="468"/>
      <c r="H4" s="468"/>
      <c r="I4" s="468"/>
      <c r="J4" s="468"/>
      <c r="K4" s="468"/>
      <c r="L4" s="547">
        <v>0.88501353093568347</v>
      </c>
    </row>
    <row r="5" spans="1:16">
      <c r="C5" s="468"/>
      <c r="D5" s="468"/>
      <c r="E5" s="468"/>
      <c r="F5" s="468"/>
      <c r="G5" s="468"/>
      <c r="H5" s="468"/>
      <c r="I5" s="468"/>
      <c r="J5" s="468"/>
      <c r="K5" s="468"/>
      <c r="L5" s="468"/>
    </row>
    <row r="6" spans="1:16" ht="25.5" customHeight="1">
      <c r="C6" s="471"/>
      <c r="D6" s="18" t="s">
        <v>338</v>
      </c>
      <c r="E6" s="18"/>
      <c r="F6" s="18"/>
      <c r="G6" s="18"/>
      <c r="H6" s="18"/>
      <c r="I6" s="471"/>
      <c r="J6" s="471"/>
      <c r="K6" s="471"/>
      <c r="L6" s="471"/>
    </row>
    <row r="8" spans="1:16" s="14" customFormat="1" ht="38.25">
      <c r="C8" s="12" t="s">
        <v>348</v>
      </c>
      <c r="D8" s="13" t="s">
        <v>339</v>
      </c>
      <c r="E8" s="13" t="s">
        <v>340</v>
      </c>
      <c r="F8" s="12" t="s">
        <v>341</v>
      </c>
      <c r="G8" s="12" t="s">
        <v>1087</v>
      </c>
      <c r="H8" s="13" t="s">
        <v>342</v>
      </c>
      <c r="I8" s="13" t="s">
        <v>343</v>
      </c>
      <c r="J8" s="13" t="s">
        <v>346</v>
      </c>
      <c r="K8" s="13" t="s">
        <v>1143</v>
      </c>
      <c r="L8" s="13" t="s">
        <v>347</v>
      </c>
      <c r="N8" s="548" t="s">
        <v>426</v>
      </c>
      <c r="O8" s="9"/>
      <c r="P8" s="9"/>
    </row>
    <row r="9" spans="1:16" s="16" customFormat="1">
      <c r="C9" s="471" t="s">
        <v>351</v>
      </c>
      <c r="D9" s="473"/>
      <c r="E9" s="473" t="s">
        <v>78</v>
      </c>
      <c r="F9" s="474" t="s">
        <v>81</v>
      </c>
      <c r="G9" s="474" t="s">
        <v>527</v>
      </c>
      <c r="H9" s="473">
        <v>4</v>
      </c>
      <c r="I9" s="473">
        <v>25</v>
      </c>
      <c r="J9" s="473">
        <v>27</v>
      </c>
      <c r="K9" s="473" t="s">
        <v>1093</v>
      </c>
      <c r="L9" s="473">
        <v>28</v>
      </c>
      <c r="M9" s="470"/>
      <c r="N9" s="473"/>
      <c r="O9" s="9"/>
      <c r="P9" s="9"/>
    </row>
    <row r="10" spans="1:16" s="14" customFormat="1">
      <c r="A10" s="9"/>
      <c r="B10" s="539"/>
      <c r="C10" s="512">
        <v>45992</v>
      </c>
      <c r="D10" s="475">
        <v>8859829081.3572254</v>
      </c>
      <c r="E10" s="475">
        <v>8504062825.1574049</v>
      </c>
      <c r="F10" s="475">
        <v>570501983.01036763</v>
      </c>
      <c r="G10" s="475">
        <v>0</v>
      </c>
      <c r="H10" s="475">
        <f t="shared" ref="H10:H22" si="0">D10-E10-I10</f>
        <v>341921134.19982052</v>
      </c>
      <c r="I10" s="475">
        <v>13845122</v>
      </c>
      <c r="J10" s="475">
        <v>31859015.079999994</v>
      </c>
      <c r="K10" s="475">
        <v>0</v>
      </c>
      <c r="L10" s="475">
        <v>21585346.100199997</v>
      </c>
      <c r="N10" s="475">
        <f t="shared" ref="N10:N22" si="1">J10*$L$4</f>
        <v>28195659.428083982</v>
      </c>
      <c r="O10" s="9"/>
      <c r="P10" s="9"/>
    </row>
    <row r="11" spans="1:16">
      <c r="B11" s="539"/>
      <c r="C11" s="512">
        <v>46023</v>
      </c>
      <c r="D11" s="475">
        <v>8922414085.5602474</v>
      </c>
      <c r="E11" s="475">
        <v>8561353453.3604231</v>
      </c>
      <c r="F11" s="475">
        <v>607677973.79238439</v>
      </c>
      <c r="G11" s="475">
        <v>0</v>
      </c>
      <c r="H11" s="475">
        <f t="shared" si="0"/>
        <v>347215510.19982433</v>
      </c>
      <c r="I11" s="475">
        <v>13845122</v>
      </c>
      <c r="J11" s="475">
        <v>31859015.079999994</v>
      </c>
      <c r="K11" s="475">
        <v>0</v>
      </c>
      <c r="L11" s="475">
        <v>21852098.24625786</v>
      </c>
      <c r="M11" s="468"/>
      <c r="N11" s="475">
        <f t="shared" si="1"/>
        <v>28195659.428083982</v>
      </c>
    </row>
    <row r="12" spans="1:16">
      <c r="B12" s="539"/>
      <c r="C12" s="513">
        <v>46054</v>
      </c>
      <c r="D12" s="475">
        <v>8980622982.5638504</v>
      </c>
      <c r="E12" s="475">
        <v>8612040527.8043976</v>
      </c>
      <c r="F12" s="475">
        <v>617657179.63440204</v>
      </c>
      <c r="G12" s="475">
        <v>0</v>
      </c>
      <c r="H12" s="475">
        <f t="shared" si="0"/>
        <v>354737332.75945282</v>
      </c>
      <c r="I12" s="475">
        <v>13845122</v>
      </c>
      <c r="J12" s="475">
        <v>31859015.079999994</v>
      </c>
      <c r="K12" s="475">
        <v>0</v>
      </c>
      <c r="L12" s="475">
        <v>26215060.56373091</v>
      </c>
      <c r="M12" s="468"/>
      <c r="N12" s="475">
        <f t="shared" si="1"/>
        <v>28195659.428083982</v>
      </c>
    </row>
    <row r="13" spans="1:16">
      <c r="B13" s="539"/>
      <c r="C13" s="513">
        <v>46082</v>
      </c>
      <c r="D13" s="475">
        <v>9055556427.5318832</v>
      </c>
      <c r="E13" s="475">
        <v>8657429959.1587887</v>
      </c>
      <c r="F13" s="475">
        <v>646059153.24641812</v>
      </c>
      <c r="G13" s="475">
        <v>0</v>
      </c>
      <c r="H13" s="475">
        <f t="shared" si="0"/>
        <v>384281346.37309456</v>
      </c>
      <c r="I13" s="475">
        <v>13845122</v>
      </c>
      <c r="J13" s="475">
        <v>33148015.079999994</v>
      </c>
      <c r="K13" s="475">
        <v>0</v>
      </c>
      <c r="L13" s="475">
        <v>24834376.031537607</v>
      </c>
      <c r="M13" s="468"/>
      <c r="N13" s="475">
        <f t="shared" si="1"/>
        <v>29336441.869460076</v>
      </c>
    </row>
    <row r="14" spans="1:16">
      <c r="B14" s="539"/>
      <c r="C14" s="513">
        <v>46113</v>
      </c>
      <c r="D14" s="475">
        <v>9067650670.1205578</v>
      </c>
      <c r="E14" s="475">
        <v>8667468646.6471424</v>
      </c>
      <c r="F14" s="475">
        <v>692205030.5884335</v>
      </c>
      <c r="G14" s="475">
        <v>0</v>
      </c>
      <c r="H14" s="475">
        <f t="shared" si="0"/>
        <v>386336901.47341537</v>
      </c>
      <c r="I14" s="475">
        <v>13845122</v>
      </c>
      <c r="J14" s="475">
        <v>33148015.079999994</v>
      </c>
      <c r="K14" s="475">
        <v>0</v>
      </c>
      <c r="L14" s="475">
        <v>24160530.286831204</v>
      </c>
      <c r="M14" s="468"/>
      <c r="N14" s="475">
        <f t="shared" si="1"/>
        <v>29336441.869460076</v>
      </c>
    </row>
    <row r="15" spans="1:16">
      <c r="B15" s="539"/>
      <c r="C15" s="513">
        <v>46143</v>
      </c>
      <c r="D15" s="475">
        <v>9091305005.4645824</v>
      </c>
      <c r="E15" s="475">
        <v>8690148192.9911575</v>
      </c>
      <c r="F15" s="475">
        <v>713465611.06045055</v>
      </c>
      <c r="G15" s="475">
        <v>0</v>
      </c>
      <c r="H15" s="475">
        <f t="shared" si="0"/>
        <v>387311690.47342491</v>
      </c>
      <c r="I15" s="475">
        <v>13845122</v>
      </c>
      <c r="J15" s="475">
        <v>33148015.079999994</v>
      </c>
      <c r="K15" s="475">
        <v>0</v>
      </c>
      <c r="L15" s="475">
        <v>26435234.63801153</v>
      </c>
      <c r="M15" s="468"/>
      <c r="N15" s="475">
        <f t="shared" si="1"/>
        <v>29336441.869460076</v>
      </c>
    </row>
    <row r="16" spans="1:16">
      <c r="B16" s="539"/>
      <c r="C16" s="513">
        <v>46174</v>
      </c>
      <c r="D16" s="475">
        <v>9179109309.1116657</v>
      </c>
      <c r="E16" s="475">
        <v>8761385888.5857677</v>
      </c>
      <c r="F16" s="475">
        <v>712266636.94246614</v>
      </c>
      <c r="G16" s="475">
        <v>0</v>
      </c>
      <c r="H16" s="475">
        <f t="shared" si="0"/>
        <v>403878298.52589798</v>
      </c>
      <c r="I16" s="475">
        <v>13845122</v>
      </c>
      <c r="J16" s="475">
        <v>34412015.079999998</v>
      </c>
      <c r="K16" s="475">
        <v>0</v>
      </c>
      <c r="L16" s="475">
        <v>29498159.260798354</v>
      </c>
      <c r="M16" s="468"/>
      <c r="N16" s="475">
        <f t="shared" si="1"/>
        <v>30455098.972562786</v>
      </c>
    </row>
    <row r="17" spans="1:30">
      <c r="B17" s="539"/>
      <c r="C17" s="513">
        <v>46204</v>
      </c>
      <c r="D17" s="475">
        <v>9258671163.2688065</v>
      </c>
      <c r="E17" s="475">
        <v>8838740020.342907</v>
      </c>
      <c r="F17" s="475">
        <v>696763544.24448442</v>
      </c>
      <c r="G17" s="475">
        <v>0</v>
      </c>
      <c r="H17" s="475">
        <f t="shared" si="0"/>
        <v>406086020.92589951</v>
      </c>
      <c r="I17" s="475">
        <v>13845122</v>
      </c>
      <c r="J17" s="475">
        <v>34412015.079999998</v>
      </c>
      <c r="K17" s="475">
        <v>0</v>
      </c>
      <c r="L17" s="475">
        <v>27329475.310799852</v>
      </c>
      <c r="M17" s="468"/>
      <c r="N17" s="475">
        <f t="shared" si="1"/>
        <v>30455098.972562786</v>
      </c>
    </row>
    <row r="18" spans="1:30">
      <c r="B18" s="539"/>
      <c r="C18" s="513">
        <v>46235</v>
      </c>
      <c r="D18" s="475">
        <v>9279918351.8143044</v>
      </c>
      <c r="E18" s="475">
        <v>8855270077.3739223</v>
      </c>
      <c r="F18" s="475">
        <v>744139551.0265013</v>
      </c>
      <c r="G18" s="475">
        <v>0</v>
      </c>
      <c r="H18" s="475">
        <f t="shared" si="0"/>
        <v>410803152.440382</v>
      </c>
      <c r="I18" s="475">
        <v>13845122</v>
      </c>
      <c r="J18" s="475">
        <v>34412015.079999998</v>
      </c>
      <c r="K18" s="475">
        <v>0</v>
      </c>
      <c r="L18" s="475">
        <v>25731830.091981739</v>
      </c>
      <c r="M18" s="468"/>
      <c r="N18" s="475">
        <f t="shared" si="1"/>
        <v>30455098.972562786</v>
      </c>
    </row>
    <row r="19" spans="1:30">
      <c r="B19" s="539"/>
      <c r="C19" s="513">
        <v>46266</v>
      </c>
      <c r="D19" s="475">
        <v>9326301057.1214409</v>
      </c>
      <c r="E19" s="475">
        <v>8881119446.0738029</v>
      </c>
      <c r="F19" s="475">
        <v>793435041.67851782</v>
      </c>
      <c r="G19" s="475">
        <v>0</v>
      </c>
      <c r="H19" s="475">
        <f t="shared" si="0"/>
        <v>431336489.04763794</v>
      </c>
      <c r="I19" s="475">
        <v>13845122</v>
      </c>
      <c r="J19" s="475">
        <v>36097015.079999998</v>
      </c>
      <c r="K19" s="475">
        <v>0</v>
      </c>
      <c r="L19" s="475">
        <v>24766487.540334724</v>
      </c>
      <c r="M19" s="468"/>
      <c r="N19" s="475">
        <f t="shared" si="1"/>
        <v>31946346.772189412</v>
      </c>
    </row>
    <row r="20" spans="1:30">
      <c r="B20" s="539"/>
      <c r="C20" s="513">
        <v>46296</v>
      </c>
      <c r="D20" s="475">
        <v>9405565311.3535614</v>
      </c>
      <c r="E20" s="475">
        <v>8957174096.575264</v>
      </c>
      <c r="F20" s="475">
        <v>818421907.23053336</v>
      </c>
      <c r="G20" s="475">
        <v>0</v>
      </c>
      <c r="H20" s="475">
        <f t="shared" si="0"/>
        <v>434546092.77829742</v>
      </c>
      <c r="I20" s="475">
        <v>13845122</v>
      </c>
      <c r="J20" s="475">
        <v>36097015.079999998</v>
      </c>
      <c r="K20" s="475">
        <v>0</v>
      </c>
      <c r="L20" s="475">
        <v>23420223.57098376</v>
      </c>
      <c r="M20" s="468"/>
      <c r="N20" s="475">
        <f t="shared" si="1"/>
        <v>31946346.772189412</v>
      </c>
    </row>
    <row r="21" spans="1:30">
      <c r="B21" s="539"/>
      <c r="C21" s="513">
        <v>46327</v>
      </c>
      <c r="D21" s="475">
        <v>9431490266.4154434</v>
      </c>
      <c r="E21" s="475">
        <v>8982312351.4114189</v>
      </c>
      <c r="F21" s="475">
        <v>844096404.70255065</v>
      </c>
      <c r="G21" s="475">
        <v>0</v>
      </c>
      <c r="H21" s="475">
        <f t="shared" si="0"/>
        <v>435332793.00402451</v>
      </c>
      <c r="I21" s="475">
        <v>13845122</v>
      </c>
      <c r="J21" s="475">
        <v>36097015.079999998</v>
      </c>
      <c r="K21" s="475">
        <v>0</v>
      </c>
      <c r="L21" s="475">
        <v>24607984.458483595</v>
      </c>
      <c r="M21" s="468"/>
      <c r="N21" s="475">
        <f t="shared" si="1"/>
        <v>31946346.772189412</v>
      </c>
    </row>
    <row r="22" spans="1:30">
      <c r="B22" s="539"/>
      <c r="C22" s="512">
        <v>46357</v>
      </c>
      <c r="D22" s="475">
        <v>9197409677.1856785</v>
      </c>
      <c r="E22" s="475">
        <v>8727840446.0490875</v>
      </c>
      <c r="F22" s="475">
        <v>1183433446.7634544</v>
      </c>
      <c r="G22" s="475">
        <v>0</v>
      </c>
      <c r="H22" s="475">
        <f t="shared" si="0"/>
        <v>455724109.13659096</v>
      </c>
      <c r="I22" s="475">
        <v>13845122</v>
      </c>
      <c r="J22" s="475">
        <v>37522115.079999998</v>
      </c>
      <c r="K22" s="475">
        <v>0</v>
      </c>
      <c r="L22" s="475">
        <v>23605969.412264869</v>
      </c>
      <c r="M22" s="468"/>
      <c r="N22" s="475">
        <f t="shared" si="1"/>
        <v>33207579.555125855</v>
      </c>
    </row>
    <row r="23" spans="1:30" ht="15.75" thickBot="1">
      <c r="C23" s="469" t="s">
        <v>352</v>
      </c>
      <c r="D23" s="517">
        <f t="shared" ref="D23:L23" si="2">SUM(D10:D22)/13</f>
        <v>9158141799.1437874</v>
      </c>
      <c r="E23" s="517">
        <f t="shared" si="2"/>
        <v>8745872763.9639606</v>
      </c>
      <c r="F23" s="517">
        <f t="shared" si="2"/>
        <v>741547958.76315117</v>
      </c>
      <c r="G23" s="517">
        <f t="shared" si="2"/>
        <v>0</v>
      </c>
      <c r="H23" s="476">
        <f t="shared" si="2"/>
        <v>398423913.17982793</v>
      </c>
      <c r="I23" s="476">
        <f t="shared" si="2"/>
        <v>13845122</v>
      </c>
      <c r="J23" s="476">
        <f t="shared" si="2"/>
        <v>34159253.541538447</v>
      </c>
      <c r="K23" s="476">
        <f t="shared" si="2"/>
        <v>0</v>
      </c>
      <c r="L23" s="476">
        <f t="shared" si="2"/>
        <v>24926367.347093541</v>
      </c>
      <c r="M23" s="17"/>
      <c r="N23" s="476">
        <f>SUM(N10:N22)/13</f>
        <v>30231401.590924203</v>
      </c>
    </row>
    <row r="24" spans="1:30" ht="15.75" thickTop="1">
      <c r="C24" s="468"/>
      <c r="D24" s="477"/>
      <c r="E24" s="17"/>
      <c r="F24" s="507"/>
      <c r="G24" s="17"/>
      <c r="H24" s="17"/>
      <c r="I24" s="477"/>
      <c r="J24" s="477"/>
      <c r="K24" s="477"/>
      <c r="L24" s="17"/>
    </row>
    <row r="25" spans="1:30" ht="15">
      <c r="C25" s="468"/>
      <c r="D25" s="477"/>
      <c r="E25" s="17"/>
      <c r="F25" s="477"/>
      <c r="G25" s="17"/>
      <c r="H25" s="17"/>
      <c r="I25" s="477"/>
      <c r="J25" s="477"/>
      <c r="K25" s="477"/>
      <c r="L25" s="17"/>
      <c r="M25" s="11"/>
      <c r="N25" s="17"/>
    </row>
    <row r="26" spans="1:30" ht="25.5" customHeight="1">
      <c r="C26" s="18"/>
      <c r="D26" s="19"/>
      <c r="E26" s="19"/>
      <c r="F26" s="19"/>
      <c r="G26" s="19"/>
      <c r="H26" s="17"/>
      <c r="I26" s="477"/>
      <c r="J26" s="477"/>
      <c r="K26" s="477"/>
      <c r="L26" s="17"/>
      <c r="M26" s="11"/>
      <c r="N26" s="17"/>
    </row>
    <row r="27" spans="1:30" ht="25.5" customHeight="1">
      <c r="C27" s="546"/>
      <c r="D27" s="546"/>
      <c r="E27" s="546"/>
      <c r="F27" s="546"/>
      <c r="G27" s="546"/>
      <c r="H27" s="546"/>
      <c r="I27" s="546"/>
      <c r="J27" s="477"/>
      <c r="K27" s="477"/>
      <c r="L27" s="477"/>
      <c r="M27" s="17"/>
      <c r="N27" s="11"/>
      <c r="O27" s="17"/>
    </row>
    <row r="28" spans="1:30" ht="25.5">
      <c r="A28"/>
      <c r="B28"/>
      <c r="C28" s="12" t="s">
        <v>348</v>
      </c>
      <c r="D28" s="13" t="s">
        <v>353</v>
      </c>
      <c r="E28" s="13" t="s">
        <v>340</v>
      </c>
      <c r="F28" s="12" t="s">
        <v>341</v>
      </c>
      <c r="G28" s="12" t="s">
        <v>1144</v>
      </c>
      <c r="H28" s="13" t="s">
        <v>342</v>
      </c>
      <c r="I28" s="13" t="s">
        <v>1069</v>
      </c>
      <c r="J28" s="546"/>
      <c r="K28" s="477"/>
      <c r="L28" s="13"/>
      <c r="M28" s="468"/>
      <c r="N28" s="20"/>
      <c r="O28" s="20"/>
      <c r="P28" s="20"/>
      <c r="Q28" s="17"/>
      <c r="R28" s="17"/>
      <c r="S28" s="17"/>
      <c r="T28" s="17"/>
      <c r="U28" s="17"/>
      <c r="V28" s="17"/>
      <c r="W28" s="17"/>
      <c r="X28" s="17"/>
      <c r="Y28" s="17"/>
      <c r="Z28" s="17"/>
      <c r="AA28" s="17"/>
      <c r="AB28" s="17"/>
      <c r="AC28" s="17"/>
      <c r="AD28" s="17"/>
    </row>
    <row r="29" spans="1:30" ht="15">
      <c r="C29" s="472" t="s">
        <v>351</v>
      </c>
      <c r="D29" s="473"/>
      <c r="E29" s="473" t="s">
        <v>95</v>
      </c>
      <c r="F29" s="474" t="s">
        <v>97</v>
      </c>
      <c r="G29" s="474" t="s">
        <v>944</v>
      </c>
      <c r="H29" s="473">
        <v>10</v>
      </c>
      <c r="I29" s="473" t="s">
        <v>949</v>
      </c>
      <c r="J29" s="546"/>
      <c r="K29" s="477"/>
      <c r="L29" s="468"/>
      <c r="M29" s="468"/>
      <c r="N29" s="478"/>
      <c r="O29" s="478"/>
      <c r="P29" s="21"/>
      <c r="Q29" s="17"/>
      <c r="R29" s="17"/>
      <c r="S29" s="17"/>
      <c r="T29" s="17"/>
      <c r="U29" s="17"/>
      <c r="V29" s="17"/>
      <c r="W29" s="17"/>
      <c r="X29" s="17"/>
      <c r="Y29" s="17"/>
      <c r="Z29" s="17"/>
      <c r="AA29" s="17"/>
      <c r="AB29" s="17"/>
      <c r="AC29" s="17"/>
      <c r="AD29" s="17"/>
    </row>
    <row r="30" spans="1:30" ht="15">
      <c r="C30" s="512">
        <v>45992</v>
      </c>
      <c r="D30" s="475">
        <v>-2647411719.3953872</v>
      </c>
      <c r="E30" s="475">
        <v>-2552185500.8801532</v>
      </c>
      <c r="F30" s="475">
        <v>0</v>
      </c>
      <c r="G30" s="475"/>
      <c r="H30" s="475">
        <f t="shared" ref="H30:H42" si="3">D30-E30-I30</f>
        <v>-72646938.460233986</v>
      </c>
      <c r="I30" s="475">
        <v>-22579280.055</v>
      </c>
      <c r="J30" s="546"/>
      <c r="K30" s="477"/>
      <c r="L30" s="468"/>
      <c r="M30" s="468"/>
      <c r="N30" s="468"/>
      <c r="O30" s="17"/>
      <c r="Q30" s="17"/>
      <c r="R30" s="17"/>
      <c r="S30" s="17"/>
      <c r="T30" s="17"/>
      <c r="U30" s="17"/>
      <c r="V30" s="17"/>
      <c r="W30" s="17"/>
      <c r="X30" s="17"/>
      <c r="Y30" s="17"/>
      <c r="Z30" s="17"/>
      <c r="AA30" s="17"/>
      <c r="AB30" s="17"/>
      <c r="AC30" s="17"/>
      <c r="AD30" s="17"/>
    </row>
    <row r="31" spans="1:30" ht="15">
      <c r="C31" s="512">
        <v>46023</v>
      </c>
      <c r="D31" s="475">
        <v>-2665992728.6930718</v>
      </c>
      <c r="E31" s="475">
        <v>-2568614088.7077818</v>
      </c>
      <c r="F31" s="475">
        <v>0</v>
      </c>
      <c r="G31" s="475"/>
      <c r="H31" s="475">
        <f t="shared" si="3"/>
        <v>-74837434.242790043</v>
      </c>
      <c r="I31" s="475">
        <v>-22541205.7425</v>
      </c>
      <c r="J31" s="546"/>
      <c r="K31" s="477"/>
      <c r="L31" s="468"/>
      <c r="M31" s="468"/>
      <c r="N31" s="468"/>
      <c r="O31" s="17"/>
      <c r="Q31" s="17"/>
      <c r="R31" s="17"/>
      <c r="S31" s="17"/>
      <c r="T31" s="17"/>
      <c r="U31" s="17"/>
      <c r="V31" s="17"/>
      <c r="W31" s="17"/>
      <c r="X31" s="17"/>
      <c r="Y31" s="17"/>
      <c r="Z31" s="17"/>
      <c r="AA31" s="17"/>
      <c r="AB31" s="17"/>
      <c r="AC31" s="17"/>
      <c r="AD31" s="17"/>
    </row>
    <row r="32" spans="1:30" ht="15">
      <c r="C32" s="513">
        <v>46054</v>
      </c>
      <c r="D32" s="475">
        <v>-2686338491.0849791</v>
      </c>
      <c r="E32" s="475">
        <v>-2586480226.1298327</v>
      </c>
      <c r="F32" s="475">
        <v>0</v>
      </c>
      <c r="G32" s="475"/>
      <c r="H32" s="475">
        <f t="shared" si="3"/>
        <v>-77355133.525146306</v>
      </c>
      <c r="I32" s="475">
        <v>-22503131.43</v>
      </c>
      <c r="J32" s="546"/>
      <c r="K32" s="477"/>
      <c r="L32" s="468"/>
      <c r="M32" s="468"/>
      <c r="N32" s="468"/>
      <c r="O32" s="17"/>
      <c r="Q32" s="17"/>
      <c r="R32" s="17"/>
      <c r="S32" s="17"/>
      <c r="T32" s="17"/>
      <c r="U32" s="17"/>
      <c r="V32" s="17"/>
      <c r="W32" s="17"/>
      <c r="X32" s="17"/>
      <c r="Y32" s="17"/>
      <c r="Z32" s="17"/>
      <c r="AA32" s="17"/>
      <c r="AB32" s="17"/>
      <c r="AC32" s="17"/>
      <c r="AD32" s="17"/>
    </row>
    <row r="33" spans="3:30" ht="15">
      <c r="C33" s="513">
        <v>46082</v>
      </c>
      <c r="D33" s="475">
        <v>-2706780402.0963006</v>
      </c>
      <c r="E33" s="475">
        <v>-2603988026.1881123</v>
      </c>
      <c r="F33" s="475">
        <v>0</v>
      </c>
      <c r="G33" s="475"/>
      <c r="H33" s="475">
        <f t="shared" si="3"/>
        <v>-80327318.790688336</v>
      </c>
      <c r="I33" s="475">
        <v>-22465057.1175</v>
      </c>
      <c r="J33" s="546"/>
      <c r="K33" s="477"/>
      <c r="L33" s="468"/>
      <c r="M33" s="468"/>
      <c r="N33" s="468"/>
      <c r="O33" s="17"/>
      <c r="Q33" s="17"/>
      <c r="R33" s="17"/>
      <c r="S33" s="17"/>
      <c r="T33" s="17"/>
      <c r="U33" s="17"/>
      <c r="V33" s="17"/>
      <c r="W33" s="17"/>
      <c r="X33" s="17"/>
      <c r="Y33" s="17"/>
      <c r="Z33" s="17"/>
      <c r="AA33" s="17"/>
      <c r="AB33" s="17"/>
      <c r="AC33" s="17"/>
      <c r="AD33" s="17"/>
    </row>
    <row r="34" spans="3:30" ht="15">
      <c r="C34" s="513">
        <v>46113</v>
      </c>
      <c r="D34" s="475">
        <v>-2727818145.4420447</v>
      </c>
      <c r="E34" s="475">
        <v>-2622016714.4652371</v>
      </c>
      <c r="F34" s="475">
        <v>0</v>
      </c>
      <c r="G34" s="475"/>
      <c r="H34" s="475">
        <f t="shared" si="3"/>
        <v>-83374448.171807587</v>
      </c>
      <c r="I34" s="475">
        <v>-22426982.805</v>
      </c>
      <c r="J34" s="546"/>
      <c r="K34" s="477"/>
      <c r="L34" s="468"/>
      <c r="M34" s="468"/>
      <c r="N34" s="468"/>
      <c r="O34" s="17"/>
      <c r="Q34" s="17"/>
      <c r="R34" s="17"/>
      <c r="S34" s="17"/>
      <c r="T34" s="17"/>
      <c r="U34" s="17"/>
      <c r="V34" s="17"/>
      <c r="W34" s="17"/>
      <c r="X34" s="17"/>
      <c r="Y34" s="17"/>
      <c r="Z34" s="17"/>
      <c r="AA34" s="17"/>
      <c r="AB34" s="17"/>
      <c r="AC34" s="17"/>
      <c r="AD34" s="17"/>
    </row>
    <row r="35" spans="3:30" ht="15">
      <c r="C35" s="513">
        <v>46143</v>
      </c>
      <c r="D35" s="475">
        <v>-2749558760.4003992</v>
      </c>
      <c r="E35" s="475">
        <v>-2640438720.0541267</v>
      </c>
      <c r="F35" s="475">
        <v>0</v>
      </c>
      <c r="G35" s="475"/>
      <c r="H35" s="475">
        <f t="shared" si="3"/>
        <v>-86731131.853772461</v>
      </c>
      <c r="I35" s="475">
        <v>-22388908.4925</v>
      </c>
      <c r="J35" s="546"/>
      <c r="K35" s="477"/>
      <c r="L35" s="468"/>
      <c r="M35" s="468"/>
      <c r="N35" s="468"/>
      <c r="O35" s="17"/>
      <c r="Q35" s="17"/>
      <c r="R35" s="17"/>
      <c r="S35" s="17"/>
      <c r="T35" s="17"/>
      <c r="U35" s="17"/>
      <c r="V35" s="17"/>
      <c r="W35" s="17"/>
      <c r="X35" s="17"/>
      <c r="Y35" s="17"/>
      <c r="Z35" s="17"/>
      <c r="AA35" s="17"/>
      <c r="AB35" s="17"/>
      <c r="AC35" s="17"/>
      <c r="AD35" s="17"/>
    </row>
    <row r="36" spans="3:30" ht="15">
      <c r="C36" s="513">
        <v>46174</v>
      </c>
      <c r="D36" s="475">
        <v>-2766208913.8086576</v>
      </c>
      <c r="E36" s="475">
        <v>-2657873789.7518687</v>
      </c>
      <c r="F36" s="475">
        <v>0</v>
      </c>
      <c r="G36" s="475"/>
      <c r="H36" s="475">
        <f t="shared" si="3"/>
        <v>-85984289.876788914</v>
      </c>
      <c r="I36" s="475">
        <v>-22350834.18</v>
      </c>
      <c r="J36" s="546"/>
      <c r="K36" s="477"/>
      <c r="L36" s="468"/>
      <c r="M36" s="468"/>
      <c r="N36" s="468"/>
      <c r="O36" s="17"/>
      <c r="Q36" s="17"/>
      <c r="R36" s="17"/>
      <c r="S36" s="17"/>
      <c r="T36" s="17"/>
      <c r="U36" s="17"/>
      <c r="V36" s="17"/>
      <c r="W36" s="17"/>
      <c r="X36" s="17"/>
      <c r="Y36" s="17"/>
      <c r="Z36" s="17"/>
      <c r="AA36" s="17"/>
      <c r="AB36" s="17"/>
      <c r="AC36" s="17"/>
      <c r="AD36" s="17"/>
    </row>
    <row r="37" spans="3:30" ht="15">
      <c r="C37" s="513">
        <v>46204</v>
      </c>
      <c r="D37" s="475">
        <v>-2787593975.3254466</v>
      </c>
      <c r="E37" s="475">
        <v>-2675687139.852252</v>
      </c>
      <c r="F37" s="475">
        <v>0</v>
      </c>
      <c r="G37" s="475"/>
      <c r="H37" s="475">
        <f t="shared" si="3"/>
        <v>-89594075.605694592</v>
      </c>
      <c r="I37" s="475">
        <v>-22312759.8675</v>
      </c>
      <c r="J37" s="546"/>
      <c r="K37" s="477"/>
      <c r="L37" s="468"/>
      <c r="M37" s="468"/>
      <c r="N37" s="468"/>
      <c r="O37" s="17"/>
      <c r="Q37" s="17"/>
      <c r="R37" s="17"/>
      <c r="S37" s="17"/>
      <c r="T37" s="17"/>
      <c r="U37" s="17"/>
      <c r="V37" s="17"/>
      <c r="W37" s="17"/>
      <c r="X37" s="17"/>
      <c r="Y37" s="17"/>
      <c r="Z37" s="17"/>
      <c r="AA37" s="17"/>
      <c r="AB37" s="17"/>
      <c r="AC37" s="17"/>
      <c r="AD37" s="17"/>
    </row>
    <row r="38" spans="3:30" ht="15">
      <c r="C38" s="513">
        <v>46235</v>
      </c>
      <c r="D38" s="475">
        <v>-2809197829.3437276</v>
      </c>
      <c r="E38" s="475">
        <v>-2693467272.7354469</v>
      </c>
      <c r="F38" s="475">
        <v>0</v>
      </c>
      <c r="G38" s="475"/>
      <c r="H38" s="475">
        <f t="shared" si="3"/>
        <v>-93455871.053280652</v>
      </c>
      <c r="I38" s="475">
        <v>-22274685.555</v>
      </c>
      <c r="J38" s="546"/>
      <c r="K38" s="477"/>
      <c r="L38" s="468"/>
      <c r="M38" s="468"/>
      <c r="N38" s="468"/>
      <c r="O38" s="17"/>
      <c r="Q38" s="17"/>
      <c r="R38" s="17"/>
      <c r="S38" s="17"/>
      <c r="T38" s="17"/>
      <c r="U38" s="17"/>
      <c r="V38" s="17"/>
      <c r="W38" s="17"/>
      <c r="X38" s="17"/>
      <c r="Y38" s="17"/>
      <c r="Z38" s="17"/>
      <c r="AA38" s="17"/>
      <c r="AB38" s="17"/>
      <c r="AC38" s="17"/>
      <c r="AD38" s="17"/>
    </row>
    <row r="39" spans="3:30" ht="15">
      <c r="C39" s="513">
        <v>46266</v>
      </c>
      <c r="D39" s="475">
        <v>-2830334692.4491129</v>
      </c>
      <c r="E39" s="475">
        <v>-2711175786.965363</v>
      </c>
      <c r="F39" s="475">
        <v>0</v>
      </c>
      <c r="G39" s="475"/>
      <c r="H39" s="475">
        <f t="shared" si="3"/>
        <v>-96922294.241249859</v>
      </c>
      <c r="I39" s="475">
        <v>-22236611.2425</v>
      </c>
      <c r="J39" s="546"/>
      <c r="K39" s="477"/>
      <c r="L39" s="468"/>
      <c r="M39" s="468"/>
      <c r="N39" s="468"/>
      <c r="O39" s="17"/>
      <c r="Q39" s="17"/>
      <c r="R39" s="17"/>
      <c r="S39" s="17"/>
      <c r="T39" s="17"/>
      <c r="U39" s="17"/>
      <c r="V39" s="17"/>
      <c r="W39" s="17"/>
      <c r="X39" s="17"/>
      <c r="Y39" s="17"/>
      <c r="Z39" s="17"/>
      <c r="AA39" s="17"/>
      <c r="AB39" s="17"/>
      <c r="AC39" s="17"/>
      <c r="AD39" s="17"/>
    </row>
    <row r="40" spans="3:30" ht="15">
      <c r="C40" s="513">
        <v>46296</v>
      </c>
      <c r="D40" s="475">
        <v>-2851094850.8466144</v>
      </c>
      <c r="E40" s="475">
        <v>-2728057118.0383773</v>
      </c>
      <c r="F40" s="475">
        <v>0</v>
      </c>
      <c r="G40" s="475"/>
      <c r="H40" s="475">
        <f t="shared" si="3"/>
        <v>-100839195.87823707</v>
      </c>
      <c r="I40" s="475">
        <v>-22198536.93</v>
      </c>
      <c r="J40" s="546"/>
      <c r="K40" s="477"/>
      <c r="L40" s="468"/>
      <c r="M40" s="468"/>
      <c r="N40" s="468"/>
      <c r="O40" s="17"/>
      <c r="Q40" s="17"/>
      <c r="R40" s="17"/>
      <c r="S40" s="17"/>
      <c r="T40" s="17"/>
      <c r="U40" s="17"/>
      <c r="V40" s="17"/>
      <c r="W40" s="17"/>
      <c r="X40" s="17"/>
      <c r="Y40" s="17"/>
      <c r="Z40" s="17"/>
      <c r="AA40" s="17"/>
      <c r="AB40" s="17"/>
      <c r="AC40" s="17"/>
      <c r="AD40" s="17"/>
    </row>
    <row r="41" spans="3:30" ht="15">
      <c r="C41" s="513">
        <v>46327</v>
      </c>
      <c r="D41" s="475">
        <v>-2873644326.0399594</v>
      </c>
      <c r="E41" s="475">
        <v>-2746500124.6730361</v>
      </c>
      <c r="F41" s="475">
        <v>0</v>
      </c>
      <c r="G41" s="475"/>
      <c r="H41" s="475">
        <f t="shared" si="3"/>
        <v>-104983738.74942333</v>
      </c>
      <c r="I41" s="475">
        <v>-22160462.6175</v>
      </c>
      <c r="J41" s="546"/>
      <c r="K41" s="477"/>
      <c r="L41" s="468"/>
      <c r="M41" s="468"/>
      <c r="N41" s="468"/>
      <c r="O41" s="17"/>
      <c r="Q41" s="17"/>
      <c r="R41" s="17"/>
      <c r="S41" s="17"/>
      <c r="T41" s="17"/>
      <c r="U41" s="17"/>
      <c r="V41" s="17"/>
      <c r="W41" s="17"/>
      <c r="X41" s="17"/>
      <c r="Y41" s="17"/>
      <c r="Z41" s="17"/>
      <c r="AA41" s="17"/>
      <c r="AB41" s="17"/>
      <c r="AC41" s="17"/>
      <c r="AD41" s="17"/>
    </row>
    <row r="42" spans="3:30" ht="15">
      <c r="C42" s="512">
        <v>46357</v>
      </c>
      <c r="D42" s="475">
        <v>-2893717329.4030628</v>
      </c>
      <c r="E42" s="475">
        <v>-2764124111.5025043</v>
      </c>
      <c r="F42" s="475">
        <v>0</v>
      </c>
      <c r="G42" s="475"/>
      <c r="H42" s="475">
        <f t="shared" si="3"/>
        <v>-107470829.59555846</v>
      </c>
      <c r="I42" s="475">
        <v>-22122388.305</v>
      </c>
      <c r="J42" s="546"/>
      <c r="K42" s="477"/>
      <c r="L42" s="468"/>
      <c r="M42" s="468"/>
      <c r="N42" s="468"/>
      <c r="O42" s="17"/>
      <c r="Q42" s="17"/>
      <c r="R42" s="17"/>
      <c r="S42" s="17"/>
      <c r="T42" s="17"/>
      <c r="U42" s="17"/>
      <c r="V42" s="17"/>
      <c r="W42" s="17"/>
      <c r="X42" s="17"/>
      <c r="Y42" s="17"/>
      <c r="Z42" s="17"/>
      <c r="AA42" s="17"/>
      <c r="AB42" s="17"/>
      <c r="AC42" s="17"/>
      <c r="AD42" s="17"/>
    </row>
    <row r="43" spans="3:30" ht="15.75" thickBot="1">
      <c r="C43" s="469" t="s">
        <v>352</v>
      </c>
      <c r="D43" s="476">
        <f>SUM(D30:D42)/13</f>
        <v>-2768899397.2560587</v>
      </c>
      <c r="E43" s="476">
        <f>SUM(E30:E42)/13</f>
        <v>-2657739124.611084</v>
      </c>
      <c r="F43" s="476">
        <f>SUM(F30:F42)/13</f>
        <v>0</v>
      </c>
      <c r="G43" s="476"/>
      <c r="H43" s="518">
        <f>SUM(H30:H42)/13</f>
        <v>-88809438.464974716</v>
      </c>
      <c r="I43" s="476">
        <f>SUM(I30:I42)/13</f>
        <v>-22350834.180000003</v>
      </c>
      <c r="J43" s="546"/>
      <c r="K43" s="477"/>
      <c r="L43" s="468"/>
      <c r="M43" s="468"/>
      <c r="N43" s="468"/>
      <c r="O43" s="17"/>
      <c r="Q43" s="17"/>
      <c r="R43" s="17"/>
      <c r="S43" s="17"/>
      <c r="T43" s="17"/>
      <c r="U43" s="17"/>
      <c r="V43" s="17"/>
      <c r="W43" s="17"/>
      <c r="X43" s="17"/>
      <c r="Y43" s="17"/>
      <c r="Z43" s="17"/>
      <c r="AA43" s="17"/>
      <c r="AB43" s="17"/>
      <c r="AC43" s="17"/>
      <c r="AD43" s="17"/>
    </row>
    <row r="44" spans="3:30" ht="15.75" thickTop="1">
      <c r="C44" s="468"/>
      <c r="D44" s="468"/>
      <c r="E44" s="17"/>
      <c r="F44" s="507"/>
      <c r="G44" s="17"/>
      <c r="H44" s="17"/>
      <c r="I44" s="17"/>
      <c r="J44" s="17"/>
      <c r="K44" s="17"/>
      <c r="L44" s="17"/>
      <c r="M44" s="17"/>
      <c r="N44" s="17"/>
      <c r="O44" s="17"/>
      <c r="P44" s="17"/>
      <c r="Q44" s="17"/>
      <c r="R44" s="17"/>
      <c r="S44" s="17"/>
      <c r="T44" s="17"/>
      <c r="U44" s="17"/>
      <c r="V44" s="17"/>
      <c r="W44" s="17"/>
      <c r="X44" s="17"/>
      <c r="Y44" s="17"/>
      <c r="Z44" s="17"/>
      <c r="AA44" s="17"/>
    </row>
    <row r="45" spans="3:30" ht="15">
      <c r="C45" s="8"/>
      <c r="D45" s="468"/>
      <c r="E45" s="17"/>
      <c r="F45" s="17"/>
      <c r="G45" s="17"/>
      <c r="H45" s="17"/>
      <c r="I45" s="17"/>
      <c r="J45" s="17"/>
      <c r="K45" s="17"/>
      <c r="L45" s="17"/>
      <c r="M45" s="17"/>
      <c r="N45" s="17"/>
      <c r="O45" s="17"/>
      <c r="P45" s="17"/>
      <c r="Q45" s="17"/>
      <c r="R45" s="17"/>
      <c r="S45" s="17"/>
      <c r="T45" s="17"/>
      <c r="U45" s="17"/>
      <c r="V45" s="17"/>
      <c r="W45" s="17"/>
      <c r="X45" s="17"/>
      <c r="Y45" s="17"/>
      <c r="Z45" s="17"/>
      <c r="AA45" s="17"/>
    </row>
    <row r="46" spans="3:30" ht="24.95" customHeight="1">
      <c r="C46" s="18" t="s">
        <v>354</v>
      </c>
      <c r="D46" s="19"/>
      <c r="E46" s="19"/>
      <c r="F46" s="19"/>
      <c r="G46" s="19"/>
      <c r="H46" s="1"/>
      <c r="I46" s="17"/>
      <c r="J46" s="17"/>
      <c r="K46" s="17"/>
      <c r="L46" s="17"/>
      <c r="M46" s="17"/>
      <c r="N46" s="17"/>
      <c r="O46" s="17"/>
      <c r="P46" s="17"/>
      <c r="Q46" s="17"/>
      <c r="R46" s="17"/>
      <c r="S46" s="17"/>
      <c r="T46" s="17"/>
      <c r="U46" s="17"/>
      <c r="V46" s="17"/>
      <c r="W46" s="17"/>
      <c r="X46" s="17"/>
      <c r="Y46" s="17"/>
      <c r="Z46" s="17"/>
      <c r="AA46" s="17"/>
    </row>
    <row r="47" spans="3:30" ht="38.25">
      <c r="C47" s="12" t="s">
        <v>348</v>
      </c>
      <c r="D47" s="13" t="s">
        <v>339</v>
      </c>
      <c r="E47" s="13" t="s">
        <v>340</v>
      </c>
      <c r="F47" s="12" t="s">
        <v>341</v>
      </c>
      <c r="G47" s="13" t="s">
        <v>342</v>
      </c>
      <c r="H47" s="479"/>
      <c r="I47" s="17"/>
      <c r="J47" s="17"/>
      <c r="K47" s="17"/>
      <c r="L47" s="17"/>
      <c r="M47" s="17"/>
      <c r="N47" s="17"/>
      <c r="O47" s="17"/>
      <c r="P47" s="17"/>
      <c r="Q47" s="17"/>
      <c r="R47" s="17"/>
      <c r="S47" s="17"/>
      <c r="T47" s="17"/>
      <c r="U47" s="17"/>
      <c r="V47" s="17"/>
      <c r="W47" s="17"/>
      <c r="X47" s="17"/>
      <c r="Y47" s="17"/>
      <c r="Z47" s="17"/>
      <c r="AA47" s="17"/>
    </row>
    <row r="48" spans="3:30" ht="15">
      <c r="C48" s="474" t="s">
        <v>351</v>
      </c>
      <c r="D48" s="473"/>
      <c r="E48" s="473" t="s">
        <v>95</v>
      </c>
      <c r="F48" s="474" t="s">
        <v>97</v>
      </c>
      <c r="G48" s="473">
        <v>10</v>
      </c>
      <c r="H48" s="479"/>
      <c r="I48" s="17"/>
      <c r="J48" s="17"/>
      <c r="K48" s="17"/>
      <c r="L48" s="17"/>
      <c r="M48" s="17"/>
      <c r="N48" s="17"/>
    </row>
    <row r="49" spans="3:14" ht="15.75" thickBot="1">
      <c r="C49" s="469" t="s">
        <v>352</v>
      </c>
      <c r="D49" s="476">
        <f>+D23+D43</f>
        <v>6389242401.8877287</v>
      </c>
      <c r="E49" s="476">
        <f>+E23+H43+K43</f>
        <v>8657063325.4989853</v>
      </c>
      <c r="F49" s="476">
        <f>+F23+I43</f>
        <v>719197124.58315122</v>
      </c>
      <c r="G49" s="476">
        <f>+H23+J43</f>
        <v>398423913.17982793</v>
      </c>
      <c r="H49" s="479"/>
      <c r="I49" s="17"/>
      <c r="J49" s="17"/>
      <c r="K49" s="17"/>
      <c r="L49" s="17"/>
      <c r="M49" s="17"/>
      <c r="N49" s="17"/>
    </row>
    <row r="50" spans="3:14" ht="15.75" thickTop="1">
      <c r="C50" s="468"/>
      <c r="D50" s="475"/>
      <c r="E50" s="479"/>
      <c r="F50" s="506"/>
      <c r="G50" s="479"/>
      <c r="H50" s="479"/>
      <c r="I50" s="17"/>
      <c r="J50" s="17"/>
      <c r="K50" s="17"/>
      <c r="L50" s="17"/>
      <c r="M50" s="17"/>
      <c r="N50" s="17"/>
    </row>
    <row r="51" spans="3:14" ht="15">
      <c r="C51" s="468"/>
      <c r="D51" s="475"/>
      <c r="E51" s="479"/>
      <c r="F51" s="475"/>
      <c r="G51" s="479"/>
      <c r="H51" s="479"/>
      <c r="I51" s="17"/>
      <c r="J51" s="17"/>
      <c r="K51" s="17"/>
      <c r="L51" s="468"/>
      <c r="M51" s="17"/>
    </row>
  </sheetData>
  <pageMargins left="0.7" right="0.7" top="0.75" bottom="0.75" header="0.3" footer="0.3"/>
  <pageSetup scale="62" orientation="landscape" r:id="rId1"/>
  <headerFooter>
    <oddFooter>&amp;R&amp;A</oddFooter>
  </headerFooter>
  <colBreaks count="1" manualBreakCount="1">
    <brk id="1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88EB4-F4CA-4924-984D-008736535D7B}">
  <sheetPr codeName="Sheet32"/>
  <dimension ref="A1:I45"/>
  <sheetViews>
    <sheetView zoomScaleNormal="100" zoomScaleSheetLayoutView="100" workbookViewId="0">
      <pane xSplit="1" ySplit="5" topLeftCell="B6" activePane="bottomRight" state="frozen"/>
      <selection activeCell="B3" sqref="B3"/>
      <selection pane="topRight" activeCell="B3" sqref="B3"/>
      <selection pane="bottomLeft" activeCell="B3" sqref="B3"/>
      <selection pane="bottomRight" activeCell="E37" sqref="E37"/>
    </sheetView>
  </sheetViews>
  <sheetFormatPr defaultColWidth="9.140625" defaultRowHeight="15" outlineLevelRow="1"/>
  <cols>
    <col min="1" max="1" width="9.140625" style="391"/>
    <col min="2" max="2" width="34.140625" style="397" customWidth="1"/>
    <col min="3" max="5" width="15.5703125" style="397" customWidth="1"/>
    <col min="6" max="7" width="9.140625" style="397"/>
    <col min="8" max="8" width="15.28515625" style="397" bestFit="1" customWidth="1"/>
    <col min="9" max="16384" width="9.140625" style="397"/>
  </cols>
  <sheetData>
    <row r="1" spans="1:9">
      <c r="A1" s="395"/>
    </row>
    <row r="2" spans="1:9">
      <c r="B2" s="396" t="s">
        <v>1257</v>
      </c>
      <c r="C2" s="394"/>
      <c r="D2" s="394"/>
      <c r="E2" s="391"/>
    </row>
    <row r="3" spans="1:9">
      <c r="B3" s="386" t="s">
        <v>1249</v>
      </c>
      <c r="C3" s="394"/>
      <c r="D3" s="394"/>
      <c r="E3" s="391"/>
    </row>
    <row r="4" spans="1:9">
      <c r="B4" s="394" t="s">
        <v>799</v>
      </c>
      <c r="C4" s="394"/>
      <c r="D4" s="394"/>
      <c r="E4" s="391"/>
    </row>
    <row r="5" spans="1:9" ht="30">
      <c r="B5" s="398" t="str">
        <f>IF($E$32&lt;0,"Applicable Annual Quarter","Month")</f>
        <v>Month</v>
      </c>
      <c r="C5" s="398" t="str">
        <f>IF($E$32&lt;0,"","Debt Amount")</f>
        <v>Debt Amount</v>
      </c>
      <c r="D5" s="398" t="str">
        <f>IF($E$32&lt;0,"Annual Rate","Monthly Effective Rate")</f>
        <v>Monthly Effective Rate</v>
      </c>
      <c r="E5" s="398" t="str">
        <f>IF($E$32&lt;0,"Monthly Rate","Weighted Effective Rate")</f>
        <v>Weighted Effective Rate</v>
      </c>
    </row>
    <row r="6" spans="1:9">
      <c r="B6" s="391"/>
      <c r="C6" s="391"/>
      <c r="D6" s="399"/>
      <c r="E6" s="391"/>
    </row>
    <row r="7" spans="1:9">
      <c r="B7" s="400" t="s">
        <v>1258</v>
      </c>
      <c r="C7" s="401">
        <v>206614032.25806451</v>
      </c>
      <c r="D7" s="402">
        <v>5.5574999999999999E-2</v>
      </c>
      <c r="E7" s="403">
        <f t="shared" ref="E7:E13" si="0">IF($E$32&lt;0,ROUND(D7/12,4),$C7/SUM($C$7:$C$27)*$D7)</f>
        <v>2.2265301640943592E-3</v>
      </c>
      <c r="H7" s="416"/>
      <c r="I7" s="454"/>
    </row>
    <row r="8" spans="1:9">
      <c r="B8" s="400" t="s">
        <v>1259</v>
      </c>
      <c r="C8" s="401">
        <v>253677103.44827586</v>
      </c>
      <c r="D8" s="402">
        <v>5.5566999999999998E-2</v>
      </c>
      <c r="E8" s="403">
        <f t="shared" si="0"/>
        <v>2.7333013688014126E-3</v>
      </c>
      <c r="H8" s="416"/>
      <c r="I8" s="454"/>
    </row>
    <row r="9" spans="1:9">
      <c r="B9" s="400" t="s">
        <v>1260</v>
      </c>
      <c r="C9" s="401">
        <v>280921838.7096774</v>
      </c>
      <c r="D9" s="402">
        <v>5.5572000000000003E-2</v>
      </c>
      <c r="E9" s="403">
        <f>IF($E$32&lt;0,ROUND(D9/12,4),$C9/SUM($C$7:$C$27)*$D9)</f>
        <v>3.0271282964219686E-3</v>
      </c>
      <c r="H9" s="416"/>
      <c r="I9" s="454"/>
    </row>
    <row r="10" spans="1:9">
      <c r="B10" s="400" t="s">
        <v>1261</v>
      </c>
      <c r="C10" s="401">
        <v>264113399.99999997</v>
      </c>
      <c r="D10" s="402">
        <v>5.5572999999999997E-2</v>
      </c>
      <c r="E10" s="403">
        <f t="shared" si="0"/>
        <v>2.8460568858251867E-3</v>
      </c>
      <c r="H10" s="416"/>
      <c r="I10" s="454"/>
    </row>
    <row r="11" spans="1:9">
      <c r="B11" s="400" t="s">
        <v>1262</v>
      </c>
      <c r="C11" s="401">
        <v>201829741.93548372</v>
      </c>
      <c r="D11" s="402">
        <v>5.5562E-2</v>
      </c>
      <c r="E11" s="403">
        <f t="shared" si="0"/>
        <v>2.174464557852274E-3</v>
      </c>
      <c r="H11" s="416"/>
      <c r="I11" s="454"/>
    </row>
    <row r="12" spans="1:9">
      <c r="B12" s="400" t="s">
        <v>1263</v>
      </c>
      <c r="C12" s="401">
        <v>230908366.66666657</v>
      </c>
      <c r="D12" s="402">
        <v>5.5577000000000001E-2</v>
      </c>
      <c r="E12" s="403">
        <f t="shared" si="0"/>
        <v>2.4884222040020281E-3</v>
      </c>
      <c r="H12" s="416"/>
      <c r="I12" s="454"/>
    </row>
    <row r="13" spans="1:9">
      <c r="B13" s="400" t="s">
        <v>1264</v>
      </c>
      <c r="C13" s="401">
        <v>161029225.80645153</v>
      </c>
      <c r="D13" s="402">
        <v>5.5573999999999998E-2</v>
      </c>
      <c r="E13" s="403">
        <f t="shared" si="0"/>
        <v>1.735264411825094E-3</v>
      </c>
      <c r="H13" s="416"/>
      <c r="I13" s="454"/>
    </row>
    <row r="14" spans="1:9" outlineLevel="1">
      <c r="B14" s="400" t="s">
        <v>1265</v>
      </c>
      <c r="C14" s="401">
        <v>137213870.96774188</v>
      </c>
      <c r="D14" s="402">
        <v>5.5544999999999997E-2</v>
      </c>
      <c r="E14" s="403">
        <f t="shared" ref="E14:E27" si="1">IF($E$32&lt;0,"",$C14/SUM($C$7:$C$27)*$D14)</f>
        <v>1.477856567542144E-3</v>
      </c>
      <c r="H14" s="416"/>
      <c r="I14" s="454"/>
    </row>
    <row r="15" spans="1:9" outlineLevel="1">
      <c r="B15" s="400" t="s">
        <v>1266</v>
      </c>
      <c r="C15" s="401">
        <v>131467066.66666673</v>
      </c>
      <c r="D15" s="402">
        <v>5.4132E-2</v>
      </c>
      <c r="E15" s="403">
        <f t="shared" si="1"/>
        <v>1.3799404473659796E-3</v>
      </c>
      <c r="H15" s="416"/>
      <c r="I15" s="454"/>
    </row>
    <row r="16" spans="1:9" s="391" customFormat="1" outlineLevel="1">
      <c r="B16" s="400" t="s">
        <v>1267</v>
      </c>
      <c r="C16" s="401">
        <v>133598774.19354823</v>
      </c>
      <c r="D16" s="402">
        <v>5.1330000000000001E-2</v>
      </c>
      <c r="E16" s="403">
        <f t="shared" si="1"/>
        <v>1.3297286804000031E-3</v>
      </c>
      <c r="H16" s="453"/>
      <c r="I16" s="454"/>
    </row>
    <row r="17" spans="2:9" s="391" customFormat="1" outlineLevel="1">
      <c r="B17" s="400" t="s">
        <v>1268</v>
      </c>
      <c r="C17" s="401">
        <v>221132099.99999991</v>
      </c>
      <c r="D17" s="402">
        <v>4.9223000000000003E-2</v>
      </c>
      <c r="E17" s="403">
        <f t="shared" si="1"/>
        <v>2.1106157165843827E-3</v>
      </c>
      <c r="H17" s="453"/>
      <c r="I17" s="454"/>
    </row>
    <row r="18" spans="2:9" s="391" customFormat="1" outlineLevel="1">
      <c r="B18" s="400" t="s">
        <v>1269</v>
      </c>
      <c r="C18" s="401">
        <v>219313999.99999991</v>
      </c>
      <c r="D18" s="402">
        <v>4.7584000000000001E-2</v>
      </c>
      <c r="E18" s="403">
        <f t="shared" si="1"/>
        <v>2.023562399850977E-3</v>
      </c>
      <c r="H18" s="453"/>
      <c r="I18" s="454"/>
    </row>
    <row r="19" spans="2:9" s="391" customFormat="1" outlineLevel="1">
      <c r="B19" s="400" t="s">
        <v>1270</v>
      </c>
      <c r="C19" s="401">
        <v>228202161.29032251</v>
      </c>
      <c r="D19" s="402">
        <v>4.6174E-2</v>
      </c>
      <c r="E19" s="403">
        <f t="shared" si="1"/>
        <v>2.0431796304634518E-3</v>
      </c>
      <c r="H19" s="453"/>
      <c r="I19" s="454"/>
    </row>
    <row r="20" spans="2:9" s="391" customFormat="1" outlineLevel="1">
      <c r="B20" s="400" t="s">
        <v>1271</v>
      </c>
      <c r="C20" s="401">
        <v>277863071.42857152</v>
      </c>
      <c r="D20" s="402">
        <v>4.6071000000000001E-2</v>
      </c>
      <c r="E20" s="403">
        <f t="shared" si="1"/>
        <v>2.4822628598249134E-3</v>
      </c>
      <c r="H20" s="453"/>
      <c r="I20" s="454"/>
    </row>
    <row r="21" spans="2:9" s="391" customFormat="1" outlineLevel="1">
      <c r="B21" s="400" t="s">
        <v>1272</v>
      </c>
      <c r="C21" s="401">
        <v>301520354.83870959</v>
      </c>
      <c r="D21" s="402">
        <v>4.6161000000000001E-2</v>
      </c>
      <c r="E21" s="403">
        <f t="shared" si="1"/>
        <v>2.6988648827722954E-3</v>
      </c>
      <c r="H21" s="453"/>
      <c r="I21" s="454"/>
    </row>
    <row r="22" spans="2:9" s="391" customFormat="1" outlineLevel="1">
      <c r="B22" s="400" t="s">
        <v>1273</v>
      </c>
      <c r="C22" s="401">
        <v>310360533.33333343</v>
      </c>
      <c r="D22" s="402">
        <v>4.7511999999999999E-2</v>
      </c>
      <c r="E22" s="403">
        <f t="shared" si="1"/>
        <v>2.8592958907078039E-3</v>
      </c>
      <c r="H22" s="453"/>
      <c r="I22" s="454"/>
    </row>
    <row r="23" spans="2:9" s="391" customFormat="1" outlineLevel="1">
      <c r="B23" s="400" t="s">
        <v>1274</v>
      </c>
      <c r="C23" s="401">
        <v>289535838.7096774</v>
      </c>
      <c r="D23" s="402">
        <v>4.8599000000000003E-2</v>
      </c>
      <c r="E23" s="403">
        <f t="shared" si="1"/>
        <v>2.7284685972097013E-3</v>
      </c>
      <c r="H23" s="453"/>
      <c r="I23" s="454"/>
    </row>
    <row r="24" spans="2:9" s="391" customFormat="1" outlineLevel="1">
      <c r="B24" s="400" t="s">
        <v>1275</v>
      </c>
      <c r="C24" s="401">
        <v>307250033.33333331</v>
      </c>
      <c r="D24" s="402">
        <v>4.8578000000000003E-2</v>
      </c>
      <c r="E24" s="403">
        <f t="shared" si="1"/>
        <v>2.8941488756349981E-3</v>
      </c>
      <c r="H24" s="453"/>
      <c r="I24" s="454"/>
    </row>
    <row r="25" spans="2:9" s="391" customFormat="1" outlineLevel="1">
      <c r="B25" s="400" t="s">
        <v>1276</v>
      </c>
      <c r="C25" s="401">
        <v>330029806.45161313</v>
      </c>
      <c r="D25" s="402">
        <v>4.8573999999999999E-2</v>
      </c>
      <c r="E25" s="403">
        <f t="shared" si="1"/>
        <v>3.1084675034572782E-3</v>
      </c>
      <c r="H25" s="453"/>
      <c r="I25" s="454"/>
    </row>
    <row r="26" spans="2:9" s="391" customFormat="1" outlineLevel="1">
      <c r="B26" s="400" t="s">
        <v>1277</v>
      </c>
      <c r="C26" s="401">
        <v>342671354.83870977</v>
      </c>
      <c r="D26" s="402">
        <v>4.8555000000000001E-2</v>
      </c>
      <c r="E26" s="403">
        <f t="shared" si="1"/>
        <v>3.2262725901975125E-3</v>
      </c>
      <c r="H26" s="453"/>
      <c r="I26" s="454"/>
    </row>
    <row r="27" spans="2:9" s="391" customFormat="1">
      <c r="B27" s="400" t="s">
        <v>1278</v>
      </c>
      <c r="C27" s="401">
        <v>327908466.66666663</v>
      </c>
      <c r="D27" s="402">
        <v>4.7924000000000001E-2</v>
      </c>
      <c r="E27" s="403">
        <f t="shared" si="1"/>
        <v>3.0471581021472597E-3</v>
      </c>
      <c r="H27" s="453"/>
      <c r="I27" s="454"/>
    </row>
    <row r="28" spans="2:9" s="391" customFormat="1">
      <c r="B28" s="400"/>
      <c r="C28" s="401"/>
      <c r="D28" s="404"/>
    </row>
    <row r="29" spans="2:9" s="391" customFormat="1">
      <c r="B29" s="393"/>
      <c r="C29" s="405" t="str">
        <f>IF($E$32&lt;0,"Average FERC Rate","Average ST Debt Rate")</f>
        <v>Average ST Debt Rate</v>
      </c>
      <c r="D29" s="406"/>
      <c r="E29" s="415">
        <f>IF(E32&lt;0,AVERAGE(E7:E28)*12,SUM(E7:E28))</f>
        <v>5.0640990632981026E-2</v>
      </c>
      <c r="H29" s="452"/>
    </row>
    <row r="30" spans="2:9" s="391" customFormat="1">
      <c r="B30" s="393"/>
      <c r="C30" s="405"/>
      <c r="D30" s="406"/>
      <c r="E30" s="406"/>
    </row>
    <row r="31" spans="2:9" s="391" customFormat="1">
      <c r="B31" s="393"/>
      <c r="C31" s="405"/>
      <c r="D31" s="406"/>
      <c r="E31" s="406"/>
    </row>
    <row r="32" spans="2:9" s="391" customFormat="1">
      <c r="D32" s="405" t="str">
        <f>IF(E32&lt;0,"Over Collected Amount","Under Collected Amount")</f>
        <v>Under Collected Amount</v>
      </c>
      <c r="E32" s="407">
        <f>'MM True-up Template'!AM65</f>
        <v>4930321.7513411092</v>
      </c>
    </row>
    <row r="33" spans="4:5" s="391" customFormat="1">
      <c r="D33" s="405"/>
      <c r="E33" s="407"/>
    </row>
    <row r="34" spans="4:5" s="391" customFormat="1">
      <c r="D34" s="405" t="s">
        <v>798</v>
      </c>
      <c r="E34" s="391">
        <v>2</v>
      </c>
    </row>
    <row r="35" spans="4:5" s="391" customFormat="1">
      <c r="D35" s="405" t="s">
        <v>797</v>
      </c>
      <c r="E35" s="408">
        <f>ROUND(IF(E32&lt;0,-FV(E29/4,E34*4,0,E32)-E32,FV(E29/4,E34*4,0,-E32)-E32),2)</f>
        <v>522048.73</v>
      </c>
    </row>
    <row r="36" spans="4:5" s="391" customFormat="1"/>
    <row r="37" spans="4:5" s="391" customFormat="1" ht="15.75" thickBot="1">
      <c r="E37" s="410">
        <f>E32+E35</f>
        <v>5452370.4813411087</v>
      </c>
    </row>
    <row r="38" spans="4:5" s="391" customFormat="1" ht="15.75" thickTop="1"/>
    <row r="39" spans="4:5" s="391" customFormat="1"/>
    <row r="40" spans="4:5" s="391" customFormat="1"/>
    <row r="41" spans="4:5" s="391" customFormat="1"/>
    <row r="42" spans="4:5" s="391" customFormat="1"/>
    <row r="43" spans="4:5" s="391" customFormat="1"/>
    <row r="44" spans="4:5" s="391" customFormat="1"/>
    <row r="45" spans="4:5" s="391" customFormat="1"/>
  </sheetData>
  <pageMargins left="0.7" right="0.7" top="0.75" bottom="0.75" header="0.3" footer="0.3"/>
  <pageSetup orientation="portrait" verticalDpi="597"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54C18-8814-417C-8666-7FDADB6127F3}">
  <sheetPr codeName="Sheet19">
    <pageSetUpPr fitToPage="1"/>
  </sheetPr>
  <dimension ref="B1:G39"/>
  <sheetViews>
    <sheetView zoomScaleNormal="100" zoomScaleSheetLayoutView="100" workbookViewId="0">
      <pane ySplit="3" topLeftCell="A4" activePane="bottomLeft" state="frozen"/>
      <selection activeCell="D121" sqref="D121"/>
      <selection pane="bottomLeft" activeCell="B3" sqref="B3"/>
    </sheetView>
  </sheetViews>
  <sheetFormatPr defaultColWidth="9.140625" defaultRowHeight="12.75"/>
  <cols>
    <col min="1" max="1" width="9.140625" style="82"/>
    <col min="2" max="2" width="12.28515625" style="82" customWidth="1"/>
    <col min="3" max="3" width="16.140625" style="82" bestFit="1" customWidth="1"/>
    <col min="4" max="4" width="41.28515625" style="82" customWidth="1"/>
    <col min="5" max="5" width="70.28515625" style="82" customWidth="1"/>
    <col min="6" max="6" width="10.7109375" style="82" customWidth="1"/>
    <col min="7" max="7" width="9.42578125" style="82" customWidth="1"/>
    <col min="8" max="16384" width="9.140625" style="82"/>
  </cols>
  <sheetData>
    <row r="1" spans="2:7">
      <c r="B1" s="148" t="s">
        <v>649</v>
      </c>
      <c r="G1" s="147"/>
    </row>
    <row r="3" spans="2:7" ht="25.5">
      <c r="B3" s="145" t="s">
        <v>557</v>
      </c>
      <c r="C3" s="146" t="s">
        <v>582</v>
      </c>
      <c r="D3" s="146" t="s">
        <v>581</v>
      </c>
      <c r="E3" s="145" t="s">
        <v>580</v>
      </c>
    </row>
    <row r="4" spans="2:7">
      <c r="B4" s="141">
        <v>2844</v>
      </c>
      <c r="C4" s="142">
        <v>41469</v>
      </c>
      <c r="D4" s="143">
        <v>4998</v>
      </c>
      <c r="E4" s="144" t="s">
        <v>589</v>
      </c>
    </row>
    <row r="5" spans="2:7" ht="25.5">
      <c r="B5" s="141">
        <v>3127</v>
      </c>
      <c r="C5" s="142">
        <v>43371</v>
      </c>
      <c r="D5" s="143" t="s">
        <v>855</v>
      </c>
      <c r="E5" s="144" t="s">
        <v>648</v>
      </c>
    </row>
    <row r="6" spans="2:7" ht="38.25">
      <c r="B6" s="213">
        <v>23408</v>
      </c>
      <c r="C6" s="142">
        <v>44799</v>
      </c>
      <c r="D6" s="143" t="s">
        <v>1034</v>
      </c>
      <c r="E6" s="139" t="s">
        <v>1035</v>
      </c>
    </row>
    <row r="7" spans="2:7" ht="38.25">
      <c r="B7" s="213">
        <v>23372</v>
      </c>
      <c r="C7" s="142">
        <v>44799</v>
      </c>
      <c r="D7" s="143" t="s">
        <v>1036</v>
      </c>
      <c r="E7" s="144" t="s">
        <v>1037</v>
      </c>
    </row>
    <row r="8" spans="2:7" ht="38.25">
      <c r="B8" s="213">
        <v>50559</v>
      </c>
      <c r="C8" s="142">
        <v>45622</v>
      </c>
      <c r="D8" s="143">
        <v>50950</v>
      </c>
      <c r="E8" s="144" t="s">
        <v>1187</v>
      </c>
    </row>
    <row r="9" spans="2:7" ht="76.5">
      <c r="B9" s="213">
        <v>50562</v>
      </c>
      <c r="C9" s="142">
        <v>45622</v>
      </c>
      <c r="D9" s="143" t="s">
        <v>1188</v>
      </c>
      <c r="E9" s="144" t="s">
        <v>1189</v>
      </c>
    </row>
    <row r="10" spans="2:7" ht="38.25">
      <c r="B10" s="213">
        <v>50563</v>
      </c>
      <c r="C10" s="142">
        <v>45622</v>
      </c>
      <c r="D10" s="143" t="s">
        <v>1190</v>
      </c>
      <c r="E10" s="144" t="s">
        <v>1191</v>
      </c>
    </row>
    <row r="11" spans="2:7">
      <c r="B11" s="213"/>
      <c r="C11" s="142"/>
      <c r="D11" s="143"/>
      <c r="E11" s="144"/>
    </row>
    <row r="12" spans="2:7">
      <c r="B12" s="213"/>
      <c r="C12" s="142"/>
      <c r="D12" s="143"/>
      <c r="E12" s="144"/>
    </row>
    <row r="13" spans="2:7">
      <c r="B13" s="213"/>
      <c r="C13" s="142"/>
      <c r="D13" s="143"/>
      <c r="E13" s="144"/>
    </row>
    <row r="14" spans="2:7">
      <c r="B14" s="213"/>
      <c r="C14" s="142"/>
      <c r="D14" s="143"/>
      <c r="E14" s="144"/>
    </row>
    <row r="15" spans="2:7">
      <c r="B15" s="213"/>
      <c r="C15" s="142"/>
      <c r="D15" s="143"/>
      <c r="E15" s="144"/>
    </row>
    <row r="16" spans="2:7">
      <c r="B16" s="213"/>
      <c r="C16" s="213"/>
      <c r="D16" s="140"/>
      <c r="E16" s="139"/>
    </row>
    <row r="17" spans="2:5">
      <c r="B17" s="213"/>
      <c r="C17" s="213"/>
      <c r="D17" s="140"/>
      <c r="E17" s="139"/>
    </row>
    <row r="18" spans="2:5">
      <c r="B18" s="213"/>
      <c r="C18" s="213"/>
      <c r="D18" s="140"/>
      <c r="E18" s="139"/>
    </row>
    <row r="19" spans="2:5">
      <c r="B19" s="213"/>
      <c r="C19" s="213"/>
      <c r="D19" s="140"/>
      <c r="E19" s="139"/>
    </row>
    <row r="20" spans="2:5">
      <c r="B20" s="213"/>
      <c r="C20" s="213"/>
      <c r="D20" s="140"/>
      <c r="E20" s="139"/>
    </row>
    <row r="21" spans="2:5">
      <c r="B21" s="213"/>
      <c r="C21" s="213"/>
      <c r="D21" s="140"/>
      <c r="E21" s="139"/>
    </row>
    <row r="22" spans="2:5">
      <c r="B22" s="213"/>
      <c r="C22" s="213"/>
      <c r="D22" s="140"/>
      <c r="E22" s="139"/>
    </row>
    <row r="23" spans="2:5">
      <c r="B23" s="213"/>
      <c r="C23" s="213"/>
      <c r="D23" s="140"/>
      <c r="E23" s="139"/>
    </row>
    <row r="24" spans="2:5">
      <c r="B24" s="213"/>
      <c r="C24" s="213"/>
      <c r="D24" s="140"/>
      <c r="E24" s="139"/>
    </row>
    <row r="25" spans="2:5">
      <c r="B25" s="213"/>
      <c r="C25" s="213"/>
      <c r="D25" s="140"/>
      <c r="E25" s="139"/>
    </row>
    <row r="26" spans="2:5">
      <c r="B26" s="213"/>
      <c r="C26" s="213"/>
      <c r="D26" s="140"/>
      <c r="E26" s="139"/>
    </row>
    <row r="27" spans="2:5">
      <c r="B27" s="213"/>
      <c r="C27" s="213"/>
      <c r="D27" s="140"/>
      <c r="E27" s="139"/>
    </row>
    <row r="28" spans="2:5">
      <c r="B28" s="213"/>
      <c r="C28" s="213"/>
      <c r="D28" s="140"/>
      <c r="E28" s="139"/>
    </row>
    <row r="29" spans="2:5">
      <c r="B29" s="213"/>
      <c r="C29" s="213"/>
      <c r="D29" s="140"/>
      <c r="E29" s="139"/>
    </row>
    <row r="30" spans="2:5">
      <c r="B30" s="213"/>
      <c r="C30" s="213"/>
      <c r="D30" s="140"/>
      <c r="E30" s="139"/>
    </row>
    <row r="31" spans="2:5">
      <c r="B31" s="213"/>
      <c r="C31" s="213"/>
      <c r="D31" s="140"/>
      <c r="E31" s="139"/>
    </row>
    <row r="32" spans="2:5">
      <c r="B32" s="213"/>
      <c r="C32" s="213"/>
      <c r="D32" s="140"/>
      <c r="E32" s="139"/>
    </row>
    <row r="33" spans="2:5">
      <c r="B33" s="213"/>
      <c r="C33" s="213"/>
      <c r="D33" s="140"/>
      <c r="E33" s="139"/>
    </row>
    <row r="34" spans="2:5">
      <c r="B34" s="213"/>
      <c r="C34" s="213"/>
      <c r="D34" s="140"/>
      <c r="E34" s="139"/>
    </row>
    <row r="35" spans="2:5">
      <c r="B35" s="213"/>
      <c r="C35" s="213"/>
      <c r="D35" s="140"/>
      <c r="E35" s="139"/>
    </row>
    <row r="36" spans="2:5">
      <c r="B36" s="213"/>
      <c r="C36" s="213"/>
      <c r="D36" s="140"/>
      <c r="E36" s="139"/>
    </row>
    <row r="37" spans="2:5">
      <c r="B37" s="213"/>
      <c r="C37" s="213"/>
      <c r="D37" s="140"/>
      <c r="E37" s="139"/>
    </row>
    <row r="38" spans="2:5">
      <c r="B38" s="213"/>
      <c r="C38" s="213"/>
      <c r="D38" s="140"/>
      <c r="E38" s="139"/>
    </row>
    <row r="39" spans="2:5">
      <c r="B39" s="213"/>
      <c r="C39" s="213"/>
      <c r="D39" s="140"/>
      <c r="E39" s="139"/>
    </row>
  </sheetData>
  <pageMargins left="0.7" right="0.7" top="0.75" bottom="0.75" header="0.3" footer="0.3"/>
  <pageSetup scale="75" orientation="landscape" r:id="rId1"/>
  <colBreaks count="1" manualBreakCount="1">
    <brk id="5"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C8EE3-C64B-4A2A-BD4F-0FE5F45A5FCB}">
  <sheetPr>
    <tabColor rgb="FF00FFFF"/>
  </sheetPr>
  <dimension ref="A1:X46"/>
  <sheetViews>
    <sheetView view="pageBreakPreview" topLeftCell="E1" zoomScale="60" zoomScaleNormal="90" workbookViewId="0">
      <selection activeCell="W36" sqref="W36"/>
    </sheetView>
  </sheetViews>
  <sheetFormatPr defaultColWidth="9.140625" defaultRowHeight="15"/>
  <cols>
    <col min="1" max="1" width="12.42578125" style="936" customWidth="1"/>
    <col min="2" max="2" width="12.140625" style="936" customWidth="1"/>
    <col min="3" max="3" width="42.28515625" style="936" customWidth="1"/>
    <col min="4" max="4" width="40.42578125" style="936" customWidth="1"/>
    <col min="5" max="5" width="22.42578125" style="936" customWidth="1"/>
    <col min="6" max="6" width="2.42578125" style="936" customWidth="1"/>
    <col min="7" max="7" width="20.85546875" style="936" customWidth="1"/>
    <col min="8" max="8" width="19.140625" style="936" customWidth="1"/>
    <col min="9" max="9" width="14.42578125" style="936" customWidth="1"/>
    <col min="10" max="10" width="18.7109375" style="936" customWidth="1"/>
    <col min="11" max="11" width="2.42578125" style="936" customWidth="1"/>
    <col min="12" max="12" width="16.42578125" style="936" customWidth="1"/>
    <col min="13" max="13" width="17.5703125" style="936" customWidth="1"/>
    <col min="14" max="14" width="15.140625" style="936" customWidth="1"/>
    <col min="15" max="15" width="18.7109375" style="936" customWidth="1"/>
    <col min="16" max="16" width="2.42578125" style="936" customWidth="1"/>
    <col min="17" max="19" width="18.28515625" style="936" customWidth="1"/>
    <col min="20" max="20" width="20.7109375" style="936" customWidth="1"/>
    <col min="21" max="21" width="2.42578125" style="936" customWidth="1"/>
    <col min="22" max="22" width="18" style="936" customWidth="1"/>
    <col min="23" max="23" width="17" style="936" customWidth="1"/>
    <col min="24" max="16384" width="9.140625" style="936"/>
  </cols>
  <sheetData>
    <row r="1" spans="1:20" ht="21">
      <c r="A1" s="1012" t="s">
        <v>842</v>
      </c>
      <c r="B1" s="1012"/>
      <c r="C1" s="1012"/>
      <c r="D1" s="1012"/>
      <c r="E1" s="1012"/>
      <c r="F1" s="1012"/>
      <c r="G1" s="1012"/>
      <c r="H1" s="1012"/>
      <c r="I1" s="1012"/>
      <c r="J1" s="1012"/>
      <c r="K1" s="1012"/>
      <c r="L1" s="1012"/>
      <c r="M1" s="1012"/>
      <c r="N1" s="1012"/>
      <c r="O1" s="1012"/>
      <c r="P1" s="1012"/>
      <c r="Q1" s="1012"/>
      <c r="R1" s="1012"/>
      <c r="S1" s="1012"/>
      <c r="T1" s="1012"/>
    </row>
    <row r="2" spans="1:20" ht="5.45" hidden="1" customHeight="1"/>
    <row r="3" spans="1:20">
      <c r="C3" s="973" t="s">
        <v>841</v>
      </c>
      <c r="D3" s="973"/>
    </row>
    <row r="4" spans="1:20" ht="31.35" customHeight="1">
      <c r="C4" s="1009" t="s">
        <v>840</v>
      </c>
      <c r="D4" s="1009"/>
      <c r="E4" s="1009"/>
      <c r="F4" s="1009"/>
      <c r="G4" s="1009"/>
      <c r="H4" s="1009"/>
      <c r="I4" s="1009"/>
      <c r="J4" s="1009"/>
      <c r="K4" s="1009"/>
      <c r="L4" s="1009"/>
      <c r="M4" s="1009"/>
      <c r="N4" s="1009"/>
    </row>
    <row r="5" spans="1:20" ht="7.9" customHeight="1">
      <c r="C5" s="974"/>
      <c r="D5" s="974"/>
      <c r="E5" s="939"/>
      <c r="F5" s="939"/>
      <c r="G5" s="939"/>
      <c r="H5" s="939"/>
      <c r="I5" s="939"/>
      <c r="J5" s="939"/>
      <c r="K5" s="939"/>
      <c r="L5" s="939"/>
      <c r="M5" s="939"/>
      <c r="N5" s="939"/>
    </row>
    <row r="6" spans="1:20" ht="31.35" customHeight="1">
      <c r="C6" s="1017" t="s">
        <v>1232</v>
      </c>
      <c r="D6" s="1017"/>
      <c r="E6" s="1017"/>
      <c r="F6" s="1017"/>
      <c r="G6" s="1017"/>
      <c r="H6" s="1017"/>
      <c r="I6" s="1017"/>
      <c r="J6" s="1017"/>
      <c r="K6" s="1017"/>
      <c r="L6" s="1017"/>
      <c r="M6" s="1017"/>
      <c r="N6" s="1017"/>
    </row>
    <row r="7" spans="1:20" ht="14.45" customHeight="1">
      <c r="C7" s="973"/>
      <c r="D7" s="973"/>
    </row>
    <row r="8" spans="1:20">
      <c r="C8" s="973" t="s">
        <v>839</v>
      </c>
      <c r="D8" s="973"/>
    </row>
    <row r="9" spans="1:20" ht="15" customHeight="1">
      <c r="C9" s="972" t="s">
        <v>1231</v>
      </c>
      <c r="D9" s="972"/>
      <c r="E9" s="939"/>
      <c r="F9" s="939"/>
      <c r="G9" s="939"/>
      <c r="H9" s="939"/>
      <c r="I9" s="939"/>
      <c r="J9" s="939"/>
      <c r="K9" s="939"/>
      <c r="L9" s="939"/>
      <c r="M9" s="939"/>
      <c r="N9" s="939"/>
    </row>
    <row r="10" spans="1:20" ht="15" customHeight="1">
      <c r="C10" s="1011" t="s">
        <v>1230</v>
      </c>
      <c r="D10" s="1011"/>
      <c r="E10" s="1011"/>
      <c r="F10" s="1011"/>
      <c r="G10" s="1011"/>
      <c r="H10" s="1011"/>
      <c r="I10" s="1011"/>
      <c r="J10" s="1011"/>
      <c r="K10" s="1011"/>
      <c r="L10" s="1011"/>
      <c r="M10" s="1011"/>
      <c r="N10" s="1011"/>
    </row>
    <row r="11" spans="1:20" ht="15" customHeight="1">
      <c r="C11" s="1011" t="s">
        <v>838</v>
      </c>
      <c r="D11" s="1011"/>
      <c r="E11" s="1011"/>
      <c r="F11" s="1011"/>
      <c r="G11" s="1011"/>
      <c r="H11" s="1011"/>
      <c r="I11" s="1011"/>
      <c r="J11" s="1011"/>
      <c r="K11" s="1011"/>
      <c r="L11" s="1011"/>
      <c r="M11" s="1011"/>
      <c r="N11" s="971"/>
    </row>
    <row r="12" spans="1:20" ht="15" customHeight="1">
      <c r="C12" s="970" t="s">
        <v>837</v>
      </c>
      <c r="D12" s="970"/>
      <c r="E12" s="939"/>
      <c r="F12" s="939"/>
      <c r="G12" s="939"/>
      <c r="H12" s="939"/>
      <c r="I12" s="939"/>
      <c r="J12" s="939"/>
      <c r="K12" s="939"/>
      <c r="L12" s="939"/>
      <c r="M12" s="939"/>
      <c r="N12" s="939"/>
    </row>
    <row r="13" spans="1:20" ht="15" customHeight="1">
      <c r="C13" s="1009" t="s">
        <v>1229</v>
      </c>
      <c r="D13" s="1009"/>
      <c r="E13" s="1009"/>
      <c r="F13" s="1009"/>
      <c r="G13" s="1009"/>
      <c r="H13" s="1009"/>
      <c r="I13" s="1009"/>
      <c r="J13" s="1009"/>
      <c r="K13" s="1009"/>
      <c r="L13" s="1009"/>
      <c r="M13" s="1009"/>
      <c r="N13" s="939"/>
    </row>
    <row r="14" spans="1:20">
      <c r="C14" s="1009" t="s">
        <v>836</v>
      </c>
      <c r="D14" s="1009"/>
      <c r="E14" s="1009"/>
      <c r="F14" s="1009"/>
      <c r="G14" s="1009"/>
      <c r="H14" s="1009"/>
      <c r="I14" s="1009"/>
      <c r="J14" s="1009"/>
      <c r="K14" s="1009"/>
      <c r="L14" s="1009"/>
      <c r="M14" s="1009"/>
      <c r="N14" s="1009"/>
    </row>
    <row r="15" spans="1:20" ht="15" customHeight="1">
      <c r="C15" s="1009" t="s">
        <v>1228</v>
      </c>
      <c r="D15" s="1009"/>
      <c r="E15" s="1009"/>
      <c r="F15" s="1009"/>
      <c r="G15" s="1009"/>
      <c r="H15" s="1009"/>
      <c r="I15" s="1009"/>
      <c r="J15" s="1009"/>
      <c r="K15" s="1009"/>
      <c r="L15" s="1009"/>
      <c r="M15" s="1009"/>
      <c r="N15" s="939"/>
    </row>
    <row r="16" spans="1:20" ht="15" customHeight="1">
      <c r="C16" s="1015" t="s">
        <v>1227</v>
      </c>
      <c r="D16" s="1015"/>
      <c r="E16" s="1015"/>
      <c r="F16" s="1015"/>
      <c r="G16" s="1015"/>
      <c r="H16" s="1015"/>
      <c r="I16" s="1015"/>
      <c r="J16" s="1015"/>
      <c r="K16" s="1015"/>
      <c r="L16" s="1015"/>
      <c r="M16" s="1015"/>
      <c r="N16" s="1015"/>
      <c r="O16" s="1015"/>
      <c r="P16" s="1015"/>
      <c r="Q16" s="1015"/>
      <c r="R16" s="969"/>
      <c r="S16" s="969"/>
    </row>
    <row r="17" spans="1:24" ht="15" customHeight="1">
      <c r="C17" s="1009" t="s">
        <v>1226</v>
      </c>
      <c r="D17" s="1009"/>
      <c r="E17" s="1009"/>
      <c r="F17" s="1009"/>
      <c r="G17" s="1009"/>
      <c r="H17" s="1009"/>
      <c r="I17" s="1009"/>
      <c r="J17" s="1009"/>
      <c r="K17" s="1009"/>
      <c r="L17" s="1009"/>
      <c r="M17" s="1009"/>
      <c r="N17" s="939"/>
    </row>
    <row r="18" spans="1:24" ht="15" customHeight="1">
      <c r="C18" s="1009" t="s">
        <v>835</v>
      </c>
      <c r="D18" s="1009"/>
      <c r="E18" s="1009"/>
      <c r="F18" s="1009"/>
      <c r="G18" s="1009"/>
      <c r="H18" s="1009"/>
      <c r="I18" s="1009"/>
      <c r="J18" s="1009"/>
      <c r="K18" s="1009"/>
      <c r="L18" s="1009"/>
      <c r="M18" s="1009"/>
      <c r="N18" s="939"/>
      <c r="O18" s="941"/>
    </row>
    <row r="19" spans="1:24" ht="15" customHeight="1">
      <c r="C19" s="1009" t="s">
        <v>1225</v>
      </c>
      <c r="D19" s="1009"/>
      <c r="E19" s="1009"/>
      <c r="F19" s="1009"/>
      <c r="G19" s="1009"/>
      <c r="H19" s="1009"/>
      <c r="I19" s="1009"/>
      <c r="J19" s="1009"/>
      <c r="K19" s="1009"/>
      <c r="L19" s="1009"/>
      <c r="M19" s="1009"/>
      <c r="N19" s="939"/>
    </row>
    <row r="20" spans="1:24" ht="15" customHeight="1">
      <c r="C20" s="1010" t="s">
        <v>1224</v>
      </c>
      <c r="D20" s="1010"/>
      <c r="E20" s="1010"/>
      <c r="F20" s="1010"/>
      <c r="G20" s="1010"/>
      <c r="H20" s="1010"/>
      <c r="I20" s="1010"/>
      <c r="J20" s="1010"/>
      <c r="K20" s="1010"/>
      <c r="L20" s="1010"/>
      <c r="M20" s="1010"/>
      <c r="N20" s="939"/>
    </row>
    <row r="21" spans="1:24" ht="15" customHeight="1">
      <c r="C21" s="1010" t="s">
        <v>1223</v>
      </c>
      <c r="D21" s="1010"/>
      <c r="E21" s="1010"/>
      <c r="F21" s="1010"/>
      <c r="G21" s="1010"/>
      <c r="H21" s="1010"/>
      <c r="I21" s="1010"/>
      <c r="J21" s="1010"/>
      <c r="K21" s="1010"/>
      <c r="L21" s="1010"/>
      <c r="M21" s="1010"/>
      <c r="N21" s="939"/>
    </row>
    <row r="22" spans="1:24" ht="15" customHeight="1">
      <c r="C22" s="1010" t="s">
        <v>1222</v>
      </c>
      <c r="D22" s="1010"/>
      <c r="E22" s="1010"/>
      <c r="F22" s="1010"/>
      <c r="G22" s="1010"/>
      <c r="H22" s="1010"/>
      <c r="I22" s="1010"/>
      <c r="J22" s="1010"/>
      <c r="K22" s="1010"/>
      <c r="L22" s="1010"/>
      <c r="M22" s="1010"/>
      <c r="N22" s="939"/>
    </row>
    <row r="23" spans="1:24" ht="30.6" customHeight="1">
      <c r="C23" s="1010" t="s">
        <v>1221</v>
      </c>
      <c r="D23" s="1010"/>
      <c r="E23" s="1010"/>
      <c r="F23" s="1010"/>
      <c r="G23" s="1010"/>
      <c r="H23" s="1010"/>
      <c r="I23" s="1010"/>
      <c r="J23" s="1010"/>
      <c r="K23" s="1010"/>
      <c r="L23" s="1010"/>
      <c r="M23" s="1010"/>
      <c r="N23" s="939"/>
    </row>
    <row r="24" spans="1:24">
      <c r="C24" s="968"/>
      <c r="D24" s="968"/>
      <c r="E24" s="968"/>
      <c r="F24" s="968"/>
      <c r="G24" s="968"/>
      <c r="H24" s="968"/>
      <c r="I24" s="968"/>
      <c r="J24" s="968"/>
      <c r="K24" s="968"/>
      <c r="L24" s="968"/>
    </row>
    <row r="25" spans="1:24">
      <c r="G25" s="1016" t="s">
        <v>1220</v>
      </c>
      <c r="H25" s="1016"/>
      <c r="I25" s="1016"/>
      <c r="J25" s="1016"/>
      <c r="K25" s="942"/>
      <c r="L25" s="1016" t="s">
        <v>834</v>
      </c>
      <c r="M25" s="1016"/>
      <c r="N25" s="1016"/>
      <c r="O25" s="1016"/>
    </row>
    <row r="26" spans="1:24" ht="75.75" thickBot="1">
      <c r="A26" s="967" t="s">
        <v>1219</v>
      </c>
      <c r="B26" s="966" t="s">
        <v>1218</v>
      </c>
      <c r="C26" s="965" t="s">
        <v>1217</v>
      </c>
      <c r="D26" s="965" t="s">
        <v>1216</v>
      </c>
      <c r="E26" s="964" t="s">
        <v>1215</v>
      </c>
      <c r="F26" s="965"/>
      <c r="G26" s="965" t="s">
        <v>1214</v>
      </c>
      <c r="H26" s="965" t="s">
        <v>833</v>
      </c>
      <c r="I26" s="965" t="s">
        <v>832</v>
      </c>
      <c r="J26" s="965" t="s">
        <v>831</v>
      </c>
      <c r="K26" s="965"/>
      <c r="L26" s="965" t="s">
        <v>830</v>
      </c>
      <c r="M26" s="965" t="s">
        <v>829</v>
      </c>
      <c r="N26" s="965" t="s">
        <v>828</v>
      </c>
      <c r="O26" s="965" t="s">
        <v>827</v>
      </c>
      <c r="P26" s="962"/>
      <c r="Q26" s="962" t="s">
        <v>826</v>
      </c>
      <c r="R26" s="964" t="s">
        <v>1213</v>
      </c>
      <c r="S26" s="964" t="s">
        <v>1212</v>
      </c>
      <c r="T26" s="965" t="s">
        <v>825</v>
      </c>
      <c r="U26" s="939"/>
      <c r="V26" s="965" t="s">
        <v>1211</v>
      </c>
      <c r="W26" s="964" t="s">
        <v>1210</v>
      </c>
    </row>
    <row r="27" spans="1:24" ht="15.75" thickBot="1">
      <c r="A27" s="1013" t="s">
        <v>1209</v>
      </c>
      <c r="B27" s="1014"/>
      <c r="C27" s="962" t="s">
        <v>824</v>
      </c>
      <c r="D27" s="962" t="s">
        <v>823</v>
      </c>
      <c r="E27" s="961" t="s">
        <v>822</v>
      </c>
      <c r="F27" s="962"/>
      <c r="G27" s="961" t="s">
        <v>821</v>
      </c>
      <c r="H27" s="961" t="s">
        <v>820</v>
      </c>
      <c r="I27" s="961" t="s">
        <v>819</v>
      </c>
      <c r="J27" s="963" t="s">
        <v>818</v>
      </c>
      <c r="K27" s="962"/>
      <c r="L27" s="961" t="s">
        <v>817</v>
      </c>
      <c r="M27" s="961" t="s">
        <v>816</v>
      </c>
      <c r="N27" s="961" t="s">
        <v>815</v>
      </c>
      <c r="O27" s="963" t="s">
        <v>814</v>
      </c>
      <c r="P27" s="962"/>
      <c r="Q27" s="961" t="s">
        <v>813</v>
      </c>
      <c r="R27" s="960" t="s">
        <v>1208</v>
      </c>
      <c r="S27" s="960" t="s">
        <v>812</v>
      </c>
      <c r="T27" s="960" t="s">
        <v>1207</v>
      </c>
      <c r="V27" s="959" t="s">
        <v>1206</v>
      </c>
      <c r="W27" s="959" t="s">
        <v>1205</v>
      </c>
    </row>
    <row r="28" spans="1:24">
      <c r="A28" s="958"/>
      <c r="B28" s="957"/>
      <c r="C28" s="956" t="s">
        <v>1204</v>
      </c>
      <c r="D28" s="956" t="s">
        <v>1203</v>
      </c>
    </row>
    <row r="29" spans="1:24">
      <c r="A29" s="952" t="s">
        <v>450</v>
      </c>
      <c r="B29" s="951" t="s">
        <v>555</v>
      </c>
      <c r="C29" s="955" t="s">
        <v>5</v>
      </c>
      <c r="D29" s="949" t="s">
        <v>349</v>
      </c>
      <c r="E29" s="943">
        <f>'ATC Attach O ER22-1602'!I87+'ATC Attach O ER22-1602'!I88</f>
        <v>9487420723</v>
      </c>
      <c r="F29" s="941"/>
      <c r="G29" s="943">
        <f>'ATC Att GG ER21-2601'!E127</f>
        <v>911343830.70000017</v>
      </c>
      <c r="H29" s="943">
        <f>-'GG Support Data'!BE89</f>
        <v>0</v>
      </c>
      <c r="I29" s="943">
        <v>0</v>
      </c>
      <c r="J29" s="954">
        <f t="shared" ref="J29:J35" si="0">SUM(G29:I29)</f>
        <v>911343830.70000017</v>
      </c>
      <c r="K29" s="941"/>
      <c r="L29" s="943">
        <f>'ATC Attach MM ER24-224'!E99</f>
        <v>673063562.27297676</v>
      </c>
      <c r="M29" s="943">
        <f>-'MM Support Data'!Q86</f>
        <v>-81759177.84615384</v>
      </c>
      <c r="N29" s="943">
        <v>0</v>
      </c>
      <c r="O29" s="954">
        <f t="shared" ref="O29:O35" si="1">SUM(L29:N29)</f>
        <v>591304384.4268229</v>
      </c>
      <c r="P29" s="941"/>
      <c r="Q29" s="943">
        <v>0</v>
      </c>
      <c r="R29" s="943">
        <v>0</v>
      </c>
      <c r="S29" s="943">
        <v>0</v>
      </c>
      <c r="T29" s="953">
        <f t="shared" ref="T29:T35" si="2">E29-J29-O29-Q29-R29-S29</f>
        <v>7984772507.8731775</v>
      </c>
      <c r="U29" s="941"/>
      <c r="V29" s="943">
        <f>'ATC Attach O ER22-1602'!I30</f>
        <v>9813545.3723276481</v>
      </c>
      <c r="W29" s="941" t="str">
        <f t="shared" ref="W29:W35" si="3">IF($C$29="American Transmission Company LLC","",ROUND((T29/$T$36)*$W$36,0))</f>
        <v/>
      </c>
      <c r="X29" s="936" t="str">
        <f t="shared" ref="X29:X35" si="4">_xlfn.IFNA(IF(AND(A30="13A",B30="MPPA"),CONCATENATE("MISO NOTE: Exclude this RR allocation to METC pricing zone from zonal rate calculation in TRT.  MPPA receives a MW offset for its transmission ownership in the METC Zone,"," therefore the transmission assets and associated revenue requirement is not included in the METC zonal rates.  See Docket ER02-2458"),""),"")</f>
        <v/>
      </c>
    </row>
    <row r="30" spans="1:24" ht="17.25" customHeight="1">
      <c r="A30" s="952" t="s">
        <v>1233</v>
      </c>
      <c r="B30" s="951" t="str">
        <f t="shared" ref="B30:B35" si="5">IF(A30="2A","MGE",IF(A30="2B","WPS",IF(A30="2C","ALTE",IF(A30="2D","WEC",IF(A30="2E","UPPC",IF(D30=0,"",IF(D30&lt;&gt;"",B29,"")))))))</f>
        <v>MGE</v>
      </c>
      <c r="C30" s="950"/>
      <c r="D30" s="949" t="s">
        <v>1234</v>
      </c>
      <c r="E30" s="943"/>
      <c r="F30" s="941"/>
      <c r="G30" s="943"/>
      <c r="H30" s="943"/>
      <c r="I30" s="943"/>
      <c r="J30" s="954">
        <f t="shared" si="0"/>
        <v>0</v>
      </c>
      <c r="K30" s="941"/>
      <c r="L30" s="943"/>
      <c r="M30" s="943"/>
      <c r="N30" s="943"/>
      <c r="O30" s="954">
        <f t="shared" si="1"/>
        <v>0</v>
      </c>
      <c r="P30" s="941"/>
      <c r="Q30" s="943"/>
      <c r="R30" s="943"/>
      <c r="S30" s="943"/>
      <c r="T30" s="953">
        <f t="shared" si="2"/>
        <v>0</v>
      </c>
      <c r="U30" s="941"/>
      <c r="V30" s="943"/>
      <c r="W30" s="941" t="str">
        <f t="shared" si="3"/>
        <v/>
      </c>
      <c r="X30" s="936" t="str">
        <f t="shared" si="4"/>
        <v/>
      </c>
    </row>
    <row r="31" spans="1:24" ht="16.5" customHeight="1">
      <c r="A31" s="952" t="s">
        <v>1235</v>
      </c>
      <c r="B31" s="951" t="str">
        <f t="shared" si="5"/>
        <v>WPS</v>
      </c>
      <c r="C31" s="950"/>
      <c r="D31" s="949" t="s">
        <v>1236</v>
      </c>
      <c r="E31" s="943"/>
      <c r="F31" s="941"/>
      <c r="G31" s="943"/>
      <c r="H31" s="943"/>
      <c r="I31" s="943"/>
      <c r="J31" s="954">
        <f t="shared" si="0"/>
        <v>0</v>
      </c>
      <c r="K31" s="941"/>
      <c r="L31" s="943"/>
      <c r="M31" s="943"/>
      <c r="N31" s="943"/>
      <c r="O31" s="954">
        <f t="shared" si="1"/>
        <v>0</v>
      </c>
      <c r="P31" s="941"/>
      <c r="Q31" s="943"/>
      <c r="R31" s="943"/>
      <c r="S31" s="943"/>
      <c r="T31" s="953">
        <f t="shared" si="2"/>
        <v>0</v>
      </c>
      <c r="U31" s="941"/>
      <c r="V31" s="943"/>
      <c r="W31" s="941" t="str">
        <f t="shared" si="3"/>
        <v/>
      </c>
      <c r="X31" s="936" t="str">
        <f t="shared" si="4"/>
        <v/>
      </c>
    </row>
    <row r="32" spans="1:24">
      <c r="A32" s="952" t="s">
        <v>1237</v>
      </c>
      <c r="B32" s="951" t="str">
        <f t="shared" si="5"/>
        <v>ALTE</v>
      </c>
      <c r="C32" s="950"/>
      <c r="D32" s="949" t="s">
        <v>1238</v>
      </c>
      <c r="E32" s="943"/>
      <c r="F32" s="941"/>
      <c r="G32" s="943"/>
      <c r="H32" s="943"/>
      <c r="I32" s="943"/>
      <c r="J32" s="954">
        <f t="shared" si="0"/>
        <v>0</v>
      </c>
      <c r="K32" s="941"/>
      <c r="L32" s="943"/>
      <c r="M32" s="943"/>
      <c r="N32" s="943"/>
      <c r="O32" s="954">
        <f t="shared" si="1"/>
        <v>0</v>
      </c>
      <c r="P32" s="941"/>
      <c r="Q32" s="943"/>
      <c r="R32" s="943"/>
      <c r="S32" s="943"/>
      <c r="T32" s="953">
        <f t="shared" si="2"/>
        <v>0</v>
      </c>
      <c r="U32" s="941"/>
      <c r="V32" s="943"/>
      <c r="W32" s="941" t="str">
        <f t="shared" si="3"/>
        <v/>
      </c>
      <c r="X32" s="936" t="str">
        <f t="shared" si="4"/>
        <v/>
      </c>
    </row>
    <row r="33" spans="1:24">
      <c r="A33" s="952" t="s">
        <v>1239</v>
      </c>
      <c r="B33" s="951" t="str">
        <f t="shared" si="5"/>
        <v>WEC</v>
      </c>
      <c r="C33" s="950"/>
      <c r="D33" s="949" t="s">
        <v>1240</v>
      </c>
      <c r="E33" s="943"/>
      <c r="F33" s="941"/>
      <c r="G33" s="943"/>
      <c r="H33" s="943"/>
      <c r="I33" s="943"/>
      <c r="J33" s="954">
        <f t="shared" si="0"/>
        <v>0</v>
      </c>
      <c r="K33" s="941"/>
      <c r="L33" s="943"/>
      <c r="M33" s="943"/>
      <c r="N33" s="943"/>
      <c r="O33" s="954">
        <f t="shared" si="1"/>
        <v>0</v>
      </c>
      <c r="P33" s="941"/>
      <c r="Q33" s="943"/>
      <c r="R33" s="943"/>
      <c r="S33" s="943"/>
      <c r="T33" s="953">
        <f t="shared" si="2"/>
        <v>0</v>
      </c>
      <c r="U33" s="941"/>
      <c r="V33" s="943"/>
      <c r="W33" s="941" t="str">
        <f t="shared" si="3"/>
        <v/>
      </c>
      <c r="X33" s="936" t="str">
        <f t="shared" si="4"/>
        <v/>
      </c>
    </row>
    <row r="34" spans="1:24">
      <c r="A34" s="952" t="s">
        <v>1241</v>
      </c>
      <c r="B34" s="951" t="str">
        <f t="shared" si="5"/>
        <v>UPPC</v>
      </c>
      <c r="C34" s="950"/>
      <c r="D34" s="949" t="s">
        <v>1242</v>
      </c>
      <c r="E34" s="943"/>
      <c r="F34" s="941"/>
      <c r="G34" s="943"/>
      <c r="H34" s="943"/>
      <c r="I34" s="943"/>
      <c r="J34" s="954">
        <f t="shared" si="0"/>
        <v>0</v>
      </c>
      <c r="K34" s="941"/>
      <c r="L34" s="943"/>
      <c r="M34" s="943"/>
      <c r="N34" s="943"/>
      <c r="O34" s="954">
        <f t="shared" si="1"/>
        <v>0</v>
      </c>
      <c r="P34" s="941"/>
      <c r="Q34" s="943"/>
      <c r="R34" s="943"/>
      <c r="S34" s="943"/>
      <c r="T34" s="953">
        <f t="shared" si="2"/>
        <v>0</v>
      </c>
      <c r="U34" s="941"/>
      <c r="V34" s="943"/>
      <c r="W34" s="941" t="str">
        <f t="shared" si="3"/>
        <v/>
      </c>
      <c r="X34" s="936" t="str">
        <f t="shared" si="4"/>
        <v/>
      </c>
    </row>
    <row r="35" spans="1:24">
      <c r="A35" s="952" t="s">
        <v>588</v>
      </c>
      <c r="B35" s="951" t="str">
        <f t="shared" si="5"/>
        <v/>
      </c>
      <c r="C35" s="950"/>
      <c r="D35" s="949" t="s">
        <v>588</v>
      </c>
      <c r="E35" s="945"/>
      <c r="F35" s="948"/>
      <c r="G35" s="945"/>
      <c r="H35" s="945"/>
      <c r="I35" s="945"/>
      <c r="J35" s="947">
        <f t="shared" si="0"/>
        <v>0</v>
      </c>
      <c r="K35" s="941"/>
      <c r="L35" s="945"/>
      <c r="M35" s="945"/>
      <c r="N35" s="945"/>
      <c r="O35" s="947">
        <f t="shared" si="1"/>
        <v>0</v>
      </c>
      <c r="P35" s="941"/>
      <c r="Q35" s="945"/>
      <c r="R35" s="945"/>
      <c r="S35" s="945"/>
      <c r="T35" s="946">
        <f t="shared" si="2"/>
        <v>0</v>
      </c>
      <c r="U35" s="941"/>
      <c r="V35" s="945"/>
      <c r="W35" s="941" t="str">
        <f t="shared" si="3"/>
        <v/>
      </c>
      <c r="X35" s="936" t="str">
        <f t="shared" si="4"/>
        <v/>
      </c>
    </row>
    <row r="36" spans="1:24">
      <c r="C36" s="942"/>
      <c r="D36" s="942"/>
      <c r="E36" s="941">
        <f>SUM(E29:E35)</f>
        <v>9487420723</v>
      </c>
      <c r="F36" s="941"/>
      <c r="G36" s="941">
        <f>SUM(G29:G35)</f>
        <v>911343830.70000017</v>
      </c>
      <c r="H36" s="941">
        <f>SUM(H29:H35)</f>
        <v>0</v>
      </c>
      <c r="I36" s="941">
        <f>SUM(I29:I35)</f>
        <v>0</v>
      </c>
      <c r="J36" s="941">
        <f>SUM(J29:J35)</f>
        <v>911343830.70000017</v>
      </c>
      <c r="K36" s="941"/>
      <c r="L36" s="941">
        <f>SUM(L29:L35)</f>
        <v>673063562.27297676</v>
      </c>
      <c r="M36" s="941">
        <f>SUM(M29:M35)</f>
        <v>-81759177.84615384</v>
      </c>
      <c r="N36" s="941">
        <f>SUM(N29:N35)</f>
        <v>0</v>
      </c>
      <c r="O36" s="941">
        <f>SUM(O29:O35)</f>
        <v>591304384.4268229</v>
      </c>
      <c r="P36" s="941"/>
      <c r="Q36" s="941">
        <f>SUM(Q29:Q35)</f>
        <v>0</v>
      </c>
      <c r="R36" s="944">
        <f>SUM(R29:R35)</f>
        <v>0</v>
      </c>
      <c r="S36" s="944">
        <f>SUM(S29:S35)</f>
        <v>0</v>
      </c>
      <c r="T36" s="941">
        <f>SUM(T29:T35)</f>
        <v>7984772507.8731775</v>
      </c>
      <c r="U36" s="941"/>
      <c r="V36" s="941">
        <f>SUM(V29:V35)</f>
        <v>9813545.3723276481</v>
      </c>
      <c r="W36" s="943">
        <f>'ATC Attach O ER22-1602'!I20</f>
        <v>866532027.42945457</v>
      </c>
    </row>
    <row r="37" spans="1:24">
      <c r="C37" s="942"/>
      <c r="D37" s="942"/>
      <c r="E37" s="941"/>
      <c r="F37" s="941"/>
      <c r="G37" s="941"/>
      <c r="H37" s="941"/>
      <c r="I37" s="941"/>
      <c r="J37" s="941"/>
      <c r="K37" s="941"/>
      <c r="L37" s="941"/>
      <c r="M37" s="941"/>
      <c r="N37" s="941"/>
      <c r="O37" s="941"/>
      <c r="P37" s="941"/>
      <c r="Q37" s="941"/>
      <c r="R37" s="941"/>
      <c r="S37" s="941"/>
      <c r="T37" s="941"/>
      <c r="U37" s="941"/>
      <c r="V37" s="941"/>
      <c r="W37" s="940"/>
    </row>
    <row r="39" spans="1:24" ht="17.25">
      <c r="C39" s="936" t="s">
        <v>811</v>
      </c>
    </row>
    <row r="40" spans="1:24">
      <c r="C40" s="936" t="s">
        <v>810</v>
      </c>
    </row>
    <row r="41" spans="1:24">
      <c r="C41" s="936" t="s">
        <v>809</v>
      </c>
    </row>
    <row r="42" spans="1:24">
      <c r="C42" s="936" t="s">
        <v>808</v>
      </c>
    </row>
    <row r="43" spans="1:24" ht="17.25">
      <c r="C43" s="939" t="s">
        <v>1202</v>
      </c>
      <c r="D43" s="939"/>
      <c r="E43" s="938"/>
      <c r="F43" s="938"/>
      <c r="G43" s="938"/>
      <c r="H43" s="938"/>
      <c r="I43" s="938"/>
      <c r="J43" s="938"/>
      <c r="K43" s="938"/>
      <c r="L43" s="938"/>
      <c r="M43" s="938"/>
      <c r="N43" s="938"/>
    </row>
    <row r="44" spans="1:24" ht="17.25">
      <c r="C44" s="936" t="s">
        <v>1201</v>
      </c>
    </row>
    <row r="45" spans="1:24" ht="17.25">
      <c r="C45" s="936" t="s">
        <v>1200</v>
      </c>
    </row>
    <row r="46" spans="1:24" ht="17.25">
      <c r="C46" s="937" t="s">
        <v>1199</v>
      </c>
      <c r="D46" s="937"/>
      <c r="E46" s="937"/>
    </row>
  </sheetData>
  <sheetProtection formatCells="0" formatColumns="0" formatRows="0"/>
  <protectedRanges>
    <protectedRange algorithmName="SHA-512" hashValue="61r+hzObltNp7nuk0R4UDhn2nxGd6y7irlHPGKASTw3cFV/fH3grsJt4htbZ2KaxCmXcLJ/BPGUQpmmm7HqO9Q==" saltValue="P2FZhAHiFfAvzvbboTvTJg==" spinCount="100000" sqref="D29:D35" name="Range1"/>
  </protectedRanges>
  <mergeCells count="19">
    <mergeCell ref="A1:T1"/>
    <mergeCell ref="A27:B27"/>
    <mergeCell ref="C16:Q16"/>
    <mergeCell ref="G25:J25"/>
    <mergeCell ref="L25:O25"/>
    <mergeCell ref="C4:N4"/>
    <mergeCell ref="C6:N6"/>
    <mergeCell ref="C20:M20"/>
    <mergeCell ref="C21:M21"/>
    <mergeCell ref="C22:M22"/>
    <mergeCell ref="C13:M13"/>
    <mergeCell ref="C14:N14"/>
    <mergeCell ref="C15:M15"/>
    <mergeCell ref="C17:M17"/>
    <mergeCell ref="C18:M18"/>
    <mergeCell ref="C19:M19"/>
    <mergeCell ref="C23:M23"/>
    <mergeCell ref="C10:N10"/>
    <mergeCell ref="C11:M11"/>
  </mergeCells>
  <pageMargins left="0.45" right="0.2" top="0.5" bottom="0.5" header="0.3" footer="0.3"/>
  <pageSetup scale="3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EBFE8-18A0-4BC0-9A72-EC37B3CA0FC0}">
  <sheetPr codeName="Sheet20">
    <tabColor rgb="FF00FFFF"/>
    <pageSetUpPr fitToPage="1"/>
  </sheetPr>
  <dimension ref="A1:K63"/>
  <sheetViews>
    <sheetView showGridLines="0" zoomScaleNormal="100" zoomScaleSheetLayoutView="100" workbookViewId="0">
      <pane xSplit="2" ySplit="2" topLeftCell="C22" activePane="bottomRight" state="frozen"/>
      <selection activeCell="I156" sqref="I156"/>
      <selection pane="topRight" activeCell="I156" sqref="I156"/>
      <selection pane="bottomLeft" activeCell="I156" sqref="I156"/>
      <selection pane="bottomRight" activeCell="I33" sqref="I33"/>
    </sheetView>
  </sheetViews>
  <sheetFormatPr defaultColWidth="9.140625" defaultRowHeight="12.75" outlineLevelRow="2" outlineLevelCol="1"/>
  <cols>
    <col min="1" max="1" width="0" style="82" hidden="1" customWidth="1" outlineLevel="1"/>
    <col min="2" max="2" width="20" style="265" customWidth="1" collapsed="1"/>
    <col min="3" max="3" width="14" style="82" customWidth="1"/>
    <col min="4" max="4" width="15" style="82" bestFit="1" customWidth="1"/>
    <col min="5" max="5" width="16.28515625" style="82" bestFit="1" customWidth="1"/>
    <col min="6" max="6" width="16.5703125" style="82" bestFit="1" customWidth="1"/>
    <col min="7" max="7" width="16.7109375" style="82" customWidth="1"/>
    <col min="8" max="8" width="13.7109375" style="82" customWidth="1"/>
    <col min="9" max="9" width="15.28515625" style="82" customWidth="1"/>
    <col min="10" max="10" width="9.140625" style="82" customWidth="1"/>
    <col min="11" max="11" width="9.140625" style="82"/>
    <col min="12" max="12" width="14" style="82" bestFit="1" customWidth="1"/>
    <col min="13" max="16384" width="9.140625" style="82"/>
  </cols>
  <sheetData>
    <row r="1" spans="1:11" ht="15.75">
      <c r="B1" s="981" t="s">
        <v>663</v>
      </c>
      <c r="C1" s="234"/>
      <c r="D1" s="234"/>
      <c r="E1" s="234"/>
      <c r="F1" s="234"/>
      <c r="G1" s="223"/>
      <c r="H1" s="233" t="s">
        <v>662</v>
      </c>
      <c r="I1" s="409">
        <f ca="1">TODAY()</f>
        <v>45930</v>
      </c>
      <c r="J1" s="232"/>
      <c r="K1" s="231"/>
    </row>
    <row r="2" spans="1:11" ht="13.5" thickBot="1">
      <c r="C2" s="230" t="s">
        <v>661</v>
      </c>
      <c r="D2" s="230" t="s">
        <v>660</v>
      </c>
      <c r="E2" s="230" t="s">
        <v>659</v>
      </c>
      <c r="F2" s="230" t="s">
        <v>658</v>
      </c>
      <c r="G2" s="230" t="s">
        <v>657</v>
      </c>
      <c r="I2" s="229"/>
    </row>
    <row r="4" spans="1:11">
      <c r="H4" s="223" t="s">
        <v>656</v>
      </c>
      <c r="I4" s="225">
        <v>639995600.16679668</v>
      </c>
    </row>
    <row r="5" spans="1:11" ht="13.5" thickBot="1">
      <c r="H5" s="226" t="s">
        <v>951</v>
      </c>
      <c r="I5" s="228">
        <v>-6643917.3380917162</v>
      </c>
    </row>
    <row r="6" spans="1:11">
      <c r="B6" s="982" t="s">
        <v>1084</v>
      </c>
      <c r="C6" s="224"/>
      <c r="D6" s="223"/>
      <c r="E6" s="223"/>
      <c r="F6" s="223"/>
      <c r="G6" s="222"/>
      <c r="H6" s="1018" t="s">
        <v>655</v>
      </c>
      <c r="I6" s="1019"/>
    </row>
    <row r="7" spans="1:11">
      <c r="A7" s="389"/>
      <c r="B7" s="265" t="s">
        <v>654</v>
      </c>
      <c r="C7" s="221">
        <v>520721.82676482905</v>
      </c>
      <c r="D7" s="221">
        <v>2486626.0234650583</v>
      </c>
      <c r="E7" s="221">
        <v>2066739.7161499998</v>
      </c>
      <c r="F7" s="221">
        <v>4519077.2673373297</v>
      </c>
      <c r="G7" s="221">
        <v>161070.08624999999</v>
      </c>
      <c r="H7" s="218" t="s">
        <v>653</v>
      </c>
      <c r="I7" s="220">
        <f>SUM(I4:I5)</f>
        <v>633351682.82870495</v>
      </c>
    </row>
    <row r="8" spans="1:11" ht="13.5" thickBot="1">
      <c r="B8" s="265" t="s">
        <v>650</v>
      </c>
      <c r="C8" s="219">
        <v>5.4109120126224601</v>
      </c>
      <c r="D8" s="219">
        <v>5.4109120126224601</v>
      </c>
      <c r="E8" s="219">
        <v>5.4109120126224601</v>
      </c>
      <c r="F8" s="219">
        <v>5.4109120126224601</v>
      </c>
      <c r="G8" s="219">
        <v>5.4109120126224601</v>
      </c>
      <c r="H8" s="218" t="s">
        <v>652</v>
      </c>
      <c r="I8" s="217">
        <f>SUM(C7:G7)</f>
        <v>9754234.9199672155</v>
      </c>
    </row>
    <row r="9" spans="1:11" ht="13.5" thickBot="1">
      <c r="B9" s="265" t="s">
        <v>651</v>
      </c>
      <c r="C9" s="216">
        <f>C7*C8*12</f>
        <v>33810959.852118298</v>
      </c>
      <c r="D9" s="216">
        <f>D7*D8*12</f>
        <v>161458975.45520043</v>
      </c>
      <c r="E9" s="216">
        <f>E7*E8*12</f>
        <v>134195361.0849596</v>
      </c>
      <c r="F9" s="216">
        <f>F7*F8*12</f>
        <v>293427953.66165566</v>
      </c>
      <c r="G9" s="216">
        <f>G7*G8*12</f>
        <v>10458432.774771128</v>
      </c>
      <c r="H9" s="215" t="s">
        <v>650</v>
      </c>
      <c r="I9" s="214">
        <f>I7/I8/12</f>
        <v>5.4109120126224601</v>
      </c>
    </row>
    <row r="12" spans="1:11">
      <c r="H12" s="223" t="s">
        <v>656</v>
      </c>
      <c r="I12" s="228">
        <v>695846766</v>
      </c>
    </row>
    <row r="13" spans="1:11" ht="13.5" thickBot="1">
      <c r="H13" s="226" t="str">
        <f>A15-2&amp;" True-Up"</f>
        <v>-2 True-Up</v>
      </c>
      <c r="I13" s="228">
        <v>-3053478</v>
      </c>
    </row>
    <row r="14" spans="1:11">
      <c r="B14" s="982" t="s">
        <v>1085</v>
      </c>
      <c r="C14" s="224"/>
      <c r="D14" s="223"/>
      <c r="E14" s="223"/>
      <c r="F14" s="223"/>
      <c r="G14" s="222"/>
      <c r="H14" s="1018" t="s">
        <v>655</v>
      </c>
      <c r="I14" s="1019"/>
    </row>
    <row r="15" spans="1:11">
      <c r="A15" s="389"/>
      <c r="B15" s="265" t="s">
        <v>654</v>
      </c>
      <c r="C15" s="221">
        <v>510048</v>
      </c>
      <c r="D15" s="221">
        <v>2482638</v>
      </c>
      <c r="E15" s="221">
        <v>2078795</v>
      </c>
      <c r="F15" s="221">
        <v>4496676</v>
      </c>
      <c r="G15" s="221">
        <v>153479</v>
      </c>
      <c r="H15" s="218" t="s">
        <v>653</v>
      </c>
      <c r="I15" s="220">
        <f>SUM(I12:I13)</f>
        <v>692793288</v>
      </c>
    </row>
    <row r="16" spans="1:11" ht="13.5" thickBot="1">
      <c r="B16" s="265" t="s">
        <v>650</v>
      </c>
      <c r="C16" s="609">
        <v>5.94</v>
      </c>
      <c r="D16" s="609">
        <v>5.94</v>
      </c>
      <c r="E16" s="609">
        <v>5.94</v>
      </c>
      <c r="F16" s="609">
        <v>5.94</v>
      </c>
      <c r="G16" s="609">
        <v>5.94</v>
      </c>
      <c r="H16" s="218" t="s">
        <v>652</v>
      </c>
      <c r="I16" s="217">
        <f>SUM(C15:G15)</f>
        <v>9721636</v>
      </c>
    </row>
    <row r="17" spans="1:9" ht="13.5" thickBot="1">
      <c r="B17" s="265" t="s">
        <v>651</v>
      </c>
      <c r="C17" s="216">
        <f>C15*C16*12</f>
        <v>36356221.439999998</v>
      </c>
      <c r="D17" s="216">
        <f>D15*D16*12</f>
        <v>176962436.64000002</v>
      </c>
      <c r="E17" s="216">
        <f>E15*E16*12</f>
        <v>148176507.60000002</v>
      </c>
      <c r="F17" s="216">
        <f>F15*F16*12</f>
        <v>320523065.28000003</v>
      </c>
      <c r="G17" s="216">
        <f>G15*G16*12</f>
        <v>10939983.120000001</v>
      </c>
      <c r="H17" s="215" t="s">
        <v>650</v>
      </c>
      <c r="I17" s="214">
        <f>I15/I16/12</f>
        <v>5.9385862626413903</v>
      </c>
    </row>
    <row r="20" spans="1:9">
      <c r="H20" s="223" t="s">
        <v>656</v>
      </c>
      <c r="I20" s="228">
        <v>782175411</v>
      </c>
    </row>
    <row r="21" spans="1:9" ht="13.5" thickBot="1">
      <c r="H21" s="226" t="str">
        <f>LEFT(B22,4)-2&amp;" True-Up"</f>
        <v>2023 True-Up</v>
      </c>
      <c r="I21" s="228">
        <v>-5008667</v>
      </c>
    </row>
    <row r="22" spans="1:9">
      <c r="B22" s="982" t="s">
        <v>1086</v>
      </c>
      <c r="C22" s="224"/>
      <c r="D22" s="223"/>
      <c r="E22" s="223"/>
      <c r="F22" s="223"/>
      <c r="G22" s="222"/>
      <c r="H22" s="1018" t="s">
        <v>655</v>
      </c>
      <c r="I22" s="1019"/>
    </row>
    <row r="23" spans="1:9">
      <c r="A23" s="389"/>
      <c r="B23" s="265" t="s">
        <v>654</v>
      </c>
      <c r="C23" s="221">
        <v>511287</v>
      </c>
      <c r="D23" s="221">
        <v>2439126</v>
      </c>
      <c r="E23" s="221">
        <v>2081882</v>
      </c>
      <c r="F23" s="221">
        <v>4561247</v>
      </c>
      <c r="G23" s="221">
        <v>155929</v>
      </c>
      <c r="H23" s="218" t="s">
        <v>653</v>
      </c>
      <c r="I23" s="220">
        <f>SUM(I20:I21)</f>
        <v>777166744</v>
      </c>
    </row>
    <row r="24" spans="1:9" ht="13.5" thickBot="1">
      <c r="B24" s="265" t="s">
        <v>650</v>
      </c>
      <c r="C24" s="609">
        <v>6.64</v>
      </c>
      <c r="D24" s="609">
        <v>6.64</v>
      </c>
      <c r="E24" s="609">
        <v>6.64</v>
      </c>
      <c r="F24" s="609">
        <v>6.64</v>
      </c>
      <c r="G24" s="609">
        <v>6.64</v>
      </c>
      <c r="H24" s="218" t="s">
        <v>652</v>
      </c>
      <c r="I24" s="217">
        <f>SUM(C23:G23)</f>
        <v>9749471</v>
      </c>
    </row>
    <row r="25" spans="1:9" ht="13.5" thickBot="1">
      <c r="B25" s="265" t="s">
        <v>651</v>
      </c>
      <c r="C25" s="216">
        <f>C23*C24*12</f>
        <v>40739348.159999996</v>
      </c>
      <c r="D25" s="216">
        <f>D23*D24*12</f>
        <v>194349559.67999998</v>
      </c>
      <c r="E25" s="216">
        <f>E23*E24*12</f>
        <v>165884357.75999999</v>
      </c>
      <c r="F25" s="216">
        <f>F23*F24*12</f>
        <v>363440160.95999998</v>
      </c>
      <c r="G25" s="216">
        <f>G23*G24*12</f>
        <v>12424422.719999999</v>
      </c>
      <c r="H25" s="215" t="s">
        <v>650</v>
      </c>
      <c r="I25" s="214">
        <f>I23/I24/12</f>
        <v>6.6428112185095314</v>
      </c>
    </row>
    <row r="28" spans="1:9">
      <c r="H28" s="223" t="s">
        <v>656</v>
      </c>
      <c r="I28" s="225">
        <v>866532029.65489757</v>
      </c>
    </row>
    <row r="29" spans="1:9" ht="13.5" thickBot="1">
      <c r="H29" s="226" t="str">
        <f>LEFT(B30,4)-2&amp;" True-Up"</f>
        <v>2024 True-Up</v>
      </c>
      <c r="I29" s="228">
        <f>'Sch 9 TU Interest'!E23</f>
        <v>-6198892.3392607803</v>
      </c>
    </row>
    <row r="30" spans="1:9">
      <c r="B30" s="982" t="str">
        <f>LEFT(B22,4)+1&amp;" Rates:"</f>
        <v>2026 Rates:</v>
      </c>
      <c r="C30" s="224"/>
      <c r="D30" s="223"/>
      <c r="E30" s="223"/>
      <c r="F30" s="223"/>
      <c r="G30" s="222"/>
      <c r="H30" s="1018" t="s">
        <v>655</v>
      </c>
      <c r="I30" s="1019"/>
    </row>
    <row r="31" spans="1:9">
      <c r="A31" s="389">
        <v>2026</v>
      </c>
      <c r="B31" s="265" t="s">
        <v>654</v>
      </c>
      <c r="C31" s="221">
        <v>511309.20251282258</v>
      </c>
      <c r="D31" s="221">
        <v>2478096.1946398253</v>
      </c>
      <c r="E31" s="221">
        <v>2124303.3916666666</v>
      </c>
      <c r="F31" s="221">
        <v>4545608.1668416671</v>
      </c>
      <c r="G31" s="221">
        <v>154228.41666666669</v>
      </c>
      <c r="H31" s="218" t="s">
        <v>653</v>
      </c>
      <c r="I31" s="220">
        <f>SUM(I28:I29)</f>
        <v>860333137.31563675</v>
      </c>
    </row>
    <row r="32" spans="1:9" ht="13.5" thickBot="1">
      <c r="B32" s="265" t="s">
        <v>650</v>
      </c>
      <c r="C32" s="219">
        <f>I33</f>
        <v>7.3056602267108479</v>
      </c>
      <c r="D32" s="219">
        <f>+C32</f>
        <v>7.3056602267108479</v>
      </c>
      <c r="E32" s="219">
        <f>+D32</f>
        <v>7.3056602267108479</v>
      </c>
      <c r="F32" s="219">
        <f>+E32</f>
        <v>7.3056602267108479</v>
      </c>
      <c r="G32" s="219">
        <f>+F32</f>
        <v>7.3056602267108479</v>
      </c>
      <c r="H32" s="218" t="s">
        <v>652</v>
      </c>
      <c r="I32" s="217">
        <f>SUM(C31:G31)</f>
        <v>9813545.3723276481</v>
      </c>
    </row>
    <row r="33" spans="1:9" ht="13.5" thickBot="1">
      <c r="B33" s="265" t="s">
        <v>651</v>
      </c>
      <c r="C33" s="216">
        <f>C31*C32*12</f>
        <v>44825415.652190045</v>
      </c>
      <c r="D33" s="216">
        <f>D31*D32*12</f>
        <v>217249545.68572414</v>
      </c>
      <c r="E33" s="216">
        <f>E31*E32*12</f>
        <v>186233265.57559347</v>
      </c>
      <c r="F33" s="216">
        <f>F31*F32*12</f>
        <v>398504025.48848611</v>
      </c>
      <c r="G33" s="216">
        <f>G31*G32*12</f>
        <v>13520884.913643062</v>
      </c>
      <c r="H33" s="215" t="s">
        <v>650</v>
      </c>
      <c r="I33" s="214">
        <f>I31/I32/12</f>
        <v>7.3056602267108479</v>
      </c>
    </row>
    <row r="35" spans="1:9" ht="13.5" thickBot="1"/>
    <row r="36" spans="1:9" hidden="1" outlineLevel="2">
      <c r="H36" s="223" t="s">
        <v>656</v>
      </c>
      <c r="I36" s="225">
        <v>938724286.17324269</v>
      </c>
    </row>
    <row r="37" spans="1:9" ht="13.5" hidden="1" outlineLevel="2" thickBot="1">
      <c r="H37" s="226" t="str">
        <f>LEFT(B38,4)-2&amp;" True-Up"</f>
        <v>2025 True-Up</v>
      </c>
      <c r="I37" s="225">
        <v>0</v>
      </c>
    </row>
    <row r="38" spans="1:9" collapsed="1">
      <c r="B38" s="982" t="str">
        <f>LEFT(B30,4)+1&amp;" Rates:"</f>
        <v>2027 Rates:</v>
      </c>
      <c r="C38" s="224" t="s">
        <v>1245</v>
      </c>
      <c r="D38" s="223"/>
      <c r="E38" s="223"/>
      <c r="F38" s="223"/>
      <c r="G38" s="222"/>
      <c r="H38" s="1018" t="s">
        <v>655</v>
      </c>
      <c r="I38" s="1019"/>
    </row>
    <row r="39" spans="1:9">
      <c r="A39" s="389">
        <f>A31+1</f>
        <v>2027</v>
      </c>
      <c r="B39" s="265" t="s">
        <v>654</v>
      </c>
      <c r="C39" s="221">
        <v>522046.69576559181</v>
      </c>
      <c r="D39" s="221">
        <v>2530136.2147272616</v>
      </c>
      <c r="E39" s="221">
        <v>2168913.7628916665</v>
      </c>
      <c r="F39" s="221">
        <v>4641065.9383453419</v>
      </c>
      <c r="G39" s="221">
        <v>157467.21341666667</v>
      </c>
      <c r="H39" s="218" t="s">
        <v>653</v>
      </c>
      <c r="I39" s="220">
        <f>SUM(I36:I37)</f>
        <v>938724286.17324269</v>
      </c>
    </row>
    <row r="40" spans="1:9" ht="13.5" thickBot="1">
      <c r="B40" s="265" t="s">
        <v>650</v>
      </c>
      <c r="C40" s="219">
        <f>I41</f>
        <v>7.807376640945539</v>
      </c>
      <c r="D40" s="219">
        <f>+C40</f>
        <v>7.807376640945539</v>
      </c>
      <c r="E40" s="219">
        <f>+D40</f>
        <v>7.807376640945539</v>
      </c>
      <c r="F40" s="219">
        <f>+E40</f>
        <v>7.807376640945539</v>
      </c>
      <c r="G40" s="219">
        <f>+F40</f>
        <v>7.807376640945539</v>
      </c>
      <c r="H40" s="218" t="s">
        <v>652</v>
      </c>
      <c r="I40" s="217">
        <f>SUM(C39:G39)</f>
        <v>10019629.825146526</v>
      </c>
    </row>
    <row r="41" spans="1:9" ht="13.5" thickBot="1">
      <c r="B41" s="265" t="s">
        <v>651</v>
      </c>
      <c r="C41" s="216">
        <f>C39*C40*12</f>
        <v>48909782.136037007</v>
      </c>
      <c r="D41" s="216">
        <f>D39*D40*12</f>
        <v>237044716.57526386</v>
      </c>
      <c r="E41" s="216">
        <f>E39*E40*12</f>
        <v>203202319.78350824</v>
      </c>
      <c r="F41" s="216">
        <f>F39*F40*12</f>
        <v>434814597.55350494</v>
      </c>
      <c r="G41" s="216">
        <f>G39*G40*12</f>
        <v>14752870.124928832</v>
      </c>
      <c r="H41" s="215" t="s">
        <v>650</v>
      </c>
      <c r="I41" s="214">
        <f>I39/I40/12</f>
        <v>7.807376640945539</v>
      </c>
    </row>
    <row r="43" spans="1:9" ht="13.5" thickBot="1"/>
    <row r="44" spans="1:9" hidden="1" outlineLevel="2">
      <c r="H44" s="223" t="s">
        <v>656</v>
      </c>
      <c r="I44" s="225">
        <v>1030864599.0092286</v>
      </c>
    </row>
    <row r="45" spans="1:9" ht="13.5" hidden="1" outlineLevel="2" thickBot="1">
      <c r="H45" s="226" t="str">
        <f>LEFT(B46,4)-2&amp;" True-Up"</f>
        <v>2026 True-Up</v>
      </c>
      <c r="I45" s="225">
        <v>0</v>
      </c>
    </row>
    <row r="46" spans="1:9" collapsed="1">
      <c r="B46" s="982" t="str">
        <f>LEFT(B38,4)+1&amp;" Rates:"</f>
        <v>2028 Rates:</v>
      </c>
      <c r="C46" s="224" t="s">
        <v>1245</v>
      </c>
      <c r="D46" s="223"/>
      <c r="E46" s="223"/>
      <c r="F46" s="223"/>
      <c r="G46" s="222"/>
      <c r="H46" s="1018" t="s">
        <v>655</v>
      </c>
      <c r="I46" s="1019"/>
    </row>
    <row r="47" spans="1:9">
      <c r="A47" s="389">
        <f>A39+1</f>
        <v>2028</v>
      </c>
      <c r="B47" s="265" t="s">
        <v>654</v>
      </c>
      <c r="C47" s="221">
        <v>533009.6763766692</v>
      </c>
      <c r="D47" s="221">
        <v>2583269.0752365338</v>
      </c>
      <c r="E47" s="221">
        <v>2214460.9519123915</v>
      </c>
      <c r="F47" s="221">
        <v>4738528.323050594</v>
      </c>
      <c r="G47" s="221">
        <v>160774.02489841665</v>
      </c>
      <c r="H47" s="218" t="s">
        <v>653</v>
      </c>
      <c r="I47" s="220">
        <f>SUM(I44:I45)</f>
        <v>1030864599.0092286</v>
      </c>
    </row>
    <row r="48" spans="1:9" ht="13.5" thickBot="1">
      <c r="B48" s="265" t="s">
        <v>650</v>
      </c>
      <c r="C48" s="219">
        <f>I49</f>
        <v>8.3973636489975387</v>
      </c>
      <c r="D48" s="219">
        <f>+C48</f>
        <v>8.3973636489975387</v>
      </c>
      <c r="E48" s="219">
        <f>+D48</f>
        <v>8.3973636489975387</v>
      </c>
      <c r="F48" s="219">
        <f>+E48</f>
        <v>8.3973636489975387</v>
      </c>
      <c r="G48" s="219">
        <f>+F48</f>
        <v>8.3973636489975387</v>
      </c>
      <c r="H48" s="218" t="s">
        <v>652</v>
      </c>
      <c r="I48" s="217">
        <f>SUM(C47:G47)</f>
        <v>10230042.051474605</v>
      </c>
    </row>
    <row r="49" spans="1:9" ht="13.5" thickBot="1">
      <c r="B49" s="265" t="s">
        <v>651</v>
      </c>
      <c r="C49" s="216">
        <f>C47*C48*12</f>
        <v>53710512.971632607</v>
      </c>
      <c r="D49" s="216">
        <f>D47*D48*12</f>
        <v>260311797.9356491</v>
      </c>
      <c r="E49" s="216">
        <f>E47*E48*12</f>
        <v>223147606.79656321</v>
      </c>
      <c r="F49" s="216">
        <f>F47*F48*12</f>
        <v>477493745.87676382</v>
      </c>
      <c r="G49" s="216">
        <f>G47*G48*12</f>
        <v>16200935.428619871</v>
      </c>
      <c r="H49" s="215" t="s">
        <v>650</v>
      </c>
      <c r="I49" s="214">
        <f>I47/I48/12</f>
        <v>8.3973636489975387</v>
      </c>
    </row>
    <row r="50" spans="1:9" ht="13.5" thickBot="1"/>
    <row r="51" spans="1:9" hidden="1" outlineLevel="1">
      <c r="H51" s="223" t="s">
        <v>656</v>
      </c>
      <c r="I51" s="225">
        <v>1115423832.2127802</v>
      </c>
    </row>
    <row r="52" spans="1:9" ht="13.5" hidden="1" outlineLevel="1" thickBot="1">
      <c r="H52" s="226" t="str">
        <f>LEFT(B53,4)-2&amp;" True-Up"</f>
        <v>2027 True-Up</v>
      </c>
      <c r="I52" s="225">
        <v>0</v>
      </c>
    </row>
    <row r="53" spans="1:9" collapsed="1">
      <c r="B53" s="982" t="str">
        <f>LEFT(B46,4)+1&amp;" Rates:"</f>
        <v>2029 Rates:</v>
      </c>
      <c r="C53" s="224" t="s">
        <v>1245</v>
      </c>
      <c r="D53" s="223"/>
      <c r="E53" s="223"/>
      <c r="F53" s="223"/>
      <c r="G53" s="222"/>
      <c r="H53" s="1018" t="s">
        <v>655</v>
      </c>
      <c r="I53" s="1019"/>
    </row>
    <row r="54" spans="1:9">
      <c r="A54" s="389">
        <f>A47+1</f>
        <v>2029</v>
      </c>
      <c r="B54" s="265" t="s">
        <v>654</v>
      </c>
      <c r="C54" s="221">
        <v>544202.87958057923</v>
      </c>
      <c r="D54" s="221">
        <v>2637517.7258165008</v>
      </c>
      <c r="E54" s="221">
        <v>2260964.6319025513</v>
      </c>
      <c r="F54" s="221">
        <v>4838037.4178346563</v>
      </c>
      <c r="G54" s="221">
        <v>164150.2794212834</v>
      </c>
      <c r="H54" s="218" t="s">
        <v>653</v>
      </c>
      <c r="I54" s="220">
        <f>SUM(I51:I52)</f>
        <v>1115423832.2127802</v>
      </c>
    </row>
    <row r="55" spans="1:9" ht="13.5" thickBot="1">
      <c r="B55" s="265" t="s">
        <v>650</v>
      </c>
      <c r="C55" s="219">
        <f>I56</f>
        <v>8.8992931364642587</v>
      </c>
      <c r="D55" s="219">
        <f>+C55</f>
        <v>8.8992931364642587</v>
      </c>
      <c r="E55" s="219">
        <f>+D55</f>
        <v>8.8992931364642587</v>
      </c>
      <c r="F55" s="219">
        <f>+E55</f>
        <v>8.8992931364642587</v>
      </c>
      <c r="G55" s="219">
        <f>+F55</f>
        <v>8.8992931364642587</v>
      </c>
      <c r="H55" s="218" t="s">
        <v>652</v>
      </c>
      <c r="I55" s="217">
        <f>SUM(C54:G54)</f>
        <v>10444872.93455557</v>
      </c>
    </row>
    <row r="56" spans="1:9" ht="13.5" thickBot="1">
      <c r="B56" s="265" t="s">
        <v>651</v>
      </c>
      <c r="C56" s="216">
        <f>C54*C55*12</f>
        <v>58116251.413146414</v>
      </c>
      <c r="D56" s="216">
        <f>D54*D55*12</f>
        <v>281664520.73593926</v>
      </c>
      <c r="E56" s="216">
        <f>E54*E55*12</f>
        <v>241451844.36574575</v>
      </c>
      <c r="F56" s="216">
        <f>F54*F55*12</f>
        <v>516661358.23791873</v>
      </c>
      <c r="G56" s="216">
        <f>G54*G55*12</f>
        <v>17529857.460030213</v>
      </c>
      <c r="H56" s="215" t="s">
        <v>650</v>
      </c>
      <c r="I56" s="214">
        <f>I54/I55/12</f>
        <v>8.8992931364642587</v>
      </c>
    </row>
    <row r="57" spans="1:9" ht="13.5" thickBot="1"/>
    <row r="58" spans="1:9" hidden="1" outlineLevel="1">
      <c r="H58" s="223" t="s">
        <v>656</v>
      </c>
      <c r="I58" s="225">
        <v>1243480809.739969</v>
      </c>
    </row>
    <row r="59" spans="1:9" ht="13.5" hidden="1" outlineLevel="1" thickBot="1">
      <c r="H59" s="226" t="str">
        <f>LEFT(B60,4)-2&amp;" True-Up"</f>
        <v>2028 True-Up</v>
      </c>
      <c r="I59" s="225">
        <v>0</v>
      </c>
    </row>
    <row r="60" spans="1:9" collapsed="1">
      <c r="B60" s="982" t="str">
        <f>LEFT(B53,4)+1&amp;" Rates:"</f>
        <v>2030 Rates:</v>
      </c>
      <c r="C60" s="224" t="s">
        <v>1245</v>
      </c>
      <c r="D60" s="223"/>
      <c r="E60" s="223"/>
      <c r="F60" s="223"/>
      <c r="G60" s="222"/>
      <c r="H60" s="1018" t="s">
        <v>655</v>
      </c>
      <c r="I60" s="1019"/>
    </row>
    <row r="61" spans="1:9">
      <c r="A61" s="389">
        <f>A54+1</f>
        <v>2030</v>
      </c>
      <c r="B61" s="265" t="s">
        <v>654</v>
      </c>
      <c r="C61" s="221">
        <v>555631.1400517713</v>
      </c>
      <c r="D61" s="221">
        <v>2692905.598058647</v>
      </c>
      <c r="E61" s="221">
        <v>2308444.8891725047</v>
      </c>
      <c r="F61" s="221">
        <v>4939636.2036091834</v>
      </c>
      <c r="G61" s="221">
        <v>167597.43528913034</v>
      </c>
      <c r="H61" s="218" t="s">
        <v>653</v>
      </c>
      <c r="I61" s="220">
        <f>SUM(I58:I59)</f>
        <v>1243480809.739969</v>
      </c>
    </row>
    <row r="62" spans="1:9" ht="13.5" thickBot="1">
      <c r="B62" s="265" t="s">
        <v>650</v>
      </c>
      <c r="C62" s="219">
        <f>I63</f>
        <v>9.716926958543171</v>
      </c>
      <c r="D62" s="219">
        <f>+C62</f>
        <v>9.716926958543171</v>
      </c>
      <c r="E62" s="219">
        <f>+D62</f>
        <v>9.716926958543171</v>
      </c>
      <c r="F62" s="219">
        <f>+E62</f>
        <v>9.716926958543171</v>
      </c>
      <c r="G62" s="219">
        <f>+F62</f>
        <v>9.716926958543171</v>
      </c>
      <c r="H62" s="218" t="s">
        <v>652</v>
      </c>
      <c r="I62" s="217">
        <f>SUM(C61:G61)</f>
        <v>10664215.266181236</v>
      </c>
    </row>
    <row r="63" spans="1:9" ht="13.5" thickBot="1">
      <c r="B63" s="265" t="s">
        <v>651</v>
      </c>
      <c r="C63" s="216">
        <f>C61*C62*12</f>
        <v>64788326.445301592</v>
      </c>
      <c r="D63" s="216">
        <f>D61*D62*12</f>
        <v>314001204.03105468</v>
      </c>
      <c r="E63" s="216">
        <f>E61*E62*12</f>
        <v>269171884.51093817</v>
      </c>
      <c r="F63" s="216">
        <f>F61*F62*12</f>
        <v>575977010.30695105</v>
      </c>
      <c r="G63" s="216">
        <f>G61*G62*12</f>
        <v>19542384.445723742</v>
      </c>
      <c r="H63" s="215" t="s">
        <v>650</v>
      </c>
      <c r="I63" s="214">
        <f>I61/I62/12</f>
        <v>9.716926958543171</v>
      </c>
    </row>
  </sheetData>
  <mergeCells count="8">
    <mergeCell ref="H6:I6"/>
    <mergeCell ref="H14:I14"/>
    <mergeCell ref="H30:I30"/>
    <mergeCell ref="H53:I53"/>
    <mergeCell ref="H60:I60"/>
    <mergeCell ref="H46:I46"/>
    <mergeCell ref="H38:I38"/>
    <mergeCell ref="H22:I22"/>
  </mergeCells>
  <pageMargins left="0.7" right="0.7" top="0.75" bottom="0.75" header="0.3" footer="0.3"/>
  <pageSetup scale="7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86498-B0BC-44C2-868E-626CE2DD0183}">
  <sheetPr codeName="Sheet21">
    <tabColor rgb="FF00FFFF"/>
    <pageSetUpPr fitToPage="1"/>
  </sheetPr>
  <dimension ref="A1:L156"/>
  <sheetViews>
    <sheetView showGridLines="0" topLeftCell="A76" zoomScaleNormal="100" zoomScaleSheetLayoutView="100" workbookViewId="0">
      <selection activeCell="G4" sqref="G4"/>
    </sheetView>
  </sheetViews>
  <sheetFormatPr defaultColWidth="9.140625" defaultRowHeight="12.75"/>
  <cols>
    <col min="1" max="5" width="9.140625" style="82"/>
    <col min="6" max="6" width="11.28515625" style="82" customWidth="1"/>
    <col min="7" max="7" width="19.42578125" style="82" bestFit="1" customWidth="1"/>
    <col min="8" max="8" width="12.85546875" style="82" bestFit="1" customWidth="1"/>
    <col min="9" max="9" width="15.28515625" style="82" customWidth="1"/>
    <col min="10" max="11" width="12.85546875" style="82" customWidth="1"/>
    <col min="12" max="12" width="13.5703125" style="82" bestFit="1" customWidth="1"/>
    <col min="13" max="16384" width="9.140625" style="82"/>
  </cols>
  <sheetData>
    <row r="1" spans="2:12">
      <c r="B1" s="1021" t="s">
        <v>681</v>
      </c>
      <c r="C1" s="1021"/>
      <c r="D1" s="1021"/>
      <c r="E1" s="1021"/>
      <c r="F1" s="1021"/>
      <c r="G1" s="1021"/>
      <c r="H1" s="1021"/>
      <c r="I1" s="246"/>
    </row>
    <row r="2" spans="2:12">
      <c r="E2" s="246" t="s">
        <v>1279</v>
      </c>
      <c r="F2" s="245"/>
      <c r="I2" s="244" t="s">
        <v>680</v>
      </c>
      <c r="J2" s="519"/>
      <c r="K2" s="519"/>
    </row>
    <row r="4" spans="2:12">
      <c r="B4" s="82" t="s">
        <v>679</v>
      </c>
      <c r="G4" s="242">
        <f>'Sch 9'!I31</f>
        <v>860333137.31563675</v>
      </c>
      <c r="J4" s="240"/>
      <c r="K4" s="511"/>
    </row>
    <row r="6" spans="2:12">
      <c r="B6" s="1020" t="s">
        <v>966</v>
      </c>
      <c r="C6" s="1020"/>
      <c r="D6" s="1020"/>
      <c r="E6" s="1020"/>
      <c r="F6" s="1020"/>
      <c r="G6" s="1020"/>
    </row>
    <row r="7" spans="2:12">
      <c r="B7" s="1020"/>
      <c r="C7" s="1020"/>
      <c r="D7" s="1020"/>
      <c r="E7" s="1020"/>
      <c r="F7" s="1020"/>
      <c r="G7" s="1020"/>
    </row>
    <row r="8" spans="2:12">
      <c r="B8" s="1020"/>
      <c r="C8" s="1020"/>
      <c r="D8" s="1020"/>
      <c r="E8" s="1020"/>
      <c r="F8" s="1020"/>
      <c r="G8" s="1020"/>
    </row>
    <row r="10" spans="2:12">
      <c r="B10" s="82" t="s">
        <v>673</v>
      </c>
      <c r="G10" s="243">
        <f>+G28+G50+G39+G61+G72</f>
        <v>117762544.46793178</v>
      </c>
      <c r="J10" s="520"/>
      <c r="K10" s="240"/>
      <c r="L10" s="520"/>
    </row>
    <row r="11" spans="2:12">
      <c r="J11" s="237"/>
      <c r="K11" s="237"/>
      <c r="L11" s="237"/>
    </row>
    <row r="12" spans="2:12">
      <c r="B12" s="82" t="s">
        <v>672</v>
      </c>
      <c r="G12" s="239">
        <f>(G4/G10)*1000</f>
        <v>7305.6602267108483</v>
      </c>
      <c r="J12" s="237"/>
      <c r="K12" s="237"/>
      <c r="L12" s="237"/>
    </row>
    <row r="13" spans="2:12">
      <c r="B13" s="82" t="s">
        <v>671</v>
      </c>
      <c r="G13" s="239">
        <f>(G4/G10)*1000/52*12</f>
        <v>1685.9215907794264</v>
      </c>
      <c r="J13" s="237"/>
      <c r="K13" s="237"/>
      <c r="L13" s="237"/>
    </row>
    <row r="14" spans="2:12">
      <c r="B14" s="82" t="s">
        <v>670</v>
      </c>
      <c r="G14" s="239">
        <f>G13/5</f>
        <v>337.18431815588531</v>
      </c>
      <c r="J14" s="237"/>
      <c r="K14" s="237"/>
      <c r="L14" s="237"/>
    </row>
    <row r="15" spans="2:12">
      <c r="B15" s="82" t="s">
        <v>669</v>
      </c>
      <c r="G15" s="239">
        <f>G4/((G10/12)/1000)/365</f>
        <v>240.18608964528815</v>
      </c>
      <c r="J15" s="237"/>
      <c r="K15" s="237"/>
      <c r="L15" s="237"/>
    </row>
    <row r="16" spans="2:12">
      <c r="B16" s="82" t="s">
        <v>668</v>
      </c>
      <c r="G16" s="239">
        <f>G14/16</f>
        <v>21.074019884742832</v>
      </c>
      <c r="J16" s="237"/>
      <c r="K16" s="237"/>
      <c r="L16" s="237"/>
    </row>
    <row r="17" spans="2:12">
      <c r="B17" s="82" t="s">
        <v>667</v>
      </c>
      <c r="G17" s="239">
        <f>G15/24</f>
        <v>10.007753735220339</v>
      </c>
      <c r="J17" s="237"/>
      <c r="K17" s="237"/>
      <c r="L17" s="237"/>
    </row>
    <row r="18" spans="2:12">
      <c r="J18" s="237"/>
      <c r="K18" s="237"/>
      <c r="L18" s="237"/>
    </row>
    <row r="19" spans="2:12">
      <c r="B19" s="1020" t="s">
        <v>964</v>
      </c>
      <c r="C19" s="1020"/>
      <c r="D19" s="1020"/>
      <c r="E19" s="1020"/>
      <c r="F19" s="1020"/>
      <c r="G19" s="1020"/>
      <c r="J19" s="237"/>
      <c r="K19" s="237"/>
      <c r="L19" s="237"/>
    </row>
    <row r="20" spans="2:12">
      <c r="B20" s="1020"/>
      <c r="C20" s="1020"/>
      <c r="D20" s="1020"/>
      <c r="E20" s="1020"/>
      <c r="F20" s="1020"/>
      <c r="G20" s="1020"/>
      <c r="J20" s="237"/>
      <c r="K20" s="237"/>
      <c r="L20" s="237"/>
    </row>
    <row r="21" spans="2:12">
      <c r="J21" s="237"/>
      <c r="K21" s="237"/>
      <c r="L21" s="237"/>
    </row>
    <row r="22" spans="2:12">
      <c r="B22" s="1020" t="s">
        <v>965</v>
      </c>
      <c r="C22" s="1020"/>
      <c r="D22" s="1020"/>
      <c r="E22" s="1020"/>
      <c r="F22" s="1020"/>
      <c r="G22" s="1020"/>
      <c r="J22" s="237"/>
      <c r="K22" s="237"/>
      <c r="L22" s="237"/>
    </row>
    <row r="23" spans="2:12">
      <c r="B23" s="1020"/>
      <c r="C23" s="1020"/>
      <c r="D23" s="1020"/>
      <c r="E23" s="1020"/>
      <c r="F23" s="1020"/>
      <c r="G23" s="1020"/>
      <c r="J23" s="237"/>
      <c r="K23" s="237"/>
      <c r="L23" s="237"/>
    </row>
    <row r="24" spans="2:12">
      <c r="J24" s="237"/>
      <c r="K24" s="237"/>
      <c r="L24" s="237"/>
    </row>
    <row r="25" spans="2:12">
      <c r="J25" s="519"/>
      <c r="K25" s="519"/>
      <c r="L25" s="237"/>
    </row>
    <row r="26" spans="2:12">
      <c r="B26" s="148" t="s">
        <v>678</v>
      </c>
      <c r="J26" s="237"/>
      <c r="K26" s="237"/>
      <c r="L26" s="237"/>
    </row>
    <row r="27" spans="2:12">
      <c r="B27" s="82" t="s">
        <v>674</v>
      </c>
      <c r="G27" s="242">
        <f>'Sch 9'!C33</f>
        <v>44825415.652190045</v>
      </c>
      <c r="J27" s="511"/>
      <c r="K27" s="511"/>
      <c r="L27" s="237"/>
    </row>
    <row r="28" spans="2:12">
      <c r="B28" s="82" t="s">
        <v>673</v>
      </c>
      <c r="G28" s="242">
        <f>'Sch 9'!C31*12</f>
        <v>6135710.430153871</v>
      </c>
      <c r="H28" s="241"/>
      <c r="J28" s="240"/>
      <c r="K28" s="511"/>
      <c r="L28" s="237"/>
    </row>
    <row r="29" spans="2:12">
      <c r="H29" s="241"/>
      <c r="J29" s="237"/>
      <c r="K29" s="237"/>
      <c r="L29" s="237"/>
    </row>
    <row r="30" spans="2:12">
      <c r="B30" s="82" t="s">
        <v>672</v>
      </c>
      <c r="G30" s="239">
        <f>(G27/G28)*1000</f>
        <v>7305.6602267108483</v>
      </c>
      <c r="H30" s="241"/>
      <c r="J30" s="237"/>
      <c r="K30" s="237"/>
      <c r="L30" s="237"/>
    </row>
    <row r="31" spans="2:12">
      <c r="B31" s="82" t="s">
        <v>671</v>
      </c>
      <c r="G31" s="239">
        <f>(G27/G28)*1000/52*12</f>
        <v>1685.9215907794264</v>
      </c>
      <c r="H31" s="241"/>
      <c r="J31" s="237"/>
      <c r="K31" s="237"/>
      <c r="L31" s="237"/>
    </row>
    <row r="32" spans="2:12">
      <c r="B32" s="82" t="s">
        <v>670</v>
      </c>
      <c r="G32" s="239">
        <f>G31/5</f>
        <v>337.18431815588531</v>
      </c>
      <c r="H32" s="241"/>
      <c r="J32" s="237"/>
      <c r="K32" s="237"/>
      <c r="L32" s="237"/>
    </row>
    <row r="33" spans="2:12">
      <c r="B33" s="82" t="s">
        <v>669</v>
      </c>
      <c r="G33" s="239">
        <f>G27/((G28/12)/1000)/365</f>
        <v>240.18608964528815</v>
      </c>
      <c r="H33" s="241"/>
      <c r="J33" s="237"/>
      <c r="K33" s="237"/>
      <c r="L33" s="237"/>
    </row>
    <row r="34" spans="2:12">
      <c r="B34" s="82" t="s">
        <v>668</v>
      </c>
      <c r="G34" s="239">
        <f>G32/16</f>
        <v>21.074019884742832</v>
      </c>
      <c r="H34" s="241"/>
      <c r="J34" s="237"/>
      <c r="K34" s="237"/>
      <c r="L34" s="237"/>
    </row>
    <row r="35" spans="2:12">
      <c r="B35" s="82" t="s">
        <v>667</v>
      </c>
      <c r="G35" s="239">
        <f>G33/24</f>
        <v>10.007753735220339</v>
      </c>
      <c r="H35" s="241"/>
      <c r="J35" s="237"/>
      <c r="K35" s="237"/>
      <c r="L35" s="237"/>
    </row>
    <row r="36" spans="2:12">
      <c r="H36" s="241"/>
      <c r="J36" s="237"/>
      <c r="K36" s="237"/>
      <c r="L36" s="237"/>
    </row>
    <row r="37" spans="2:12">
      <c r="B37" s="148" t="s">
        <v>676</v>
      </c>
      <c r="H37" s="241"/>
      <c r="J37" s="237"/>
      <c r="K37" s="237"/>
      <c r="L37" s="237"/>
    </row>
    <row r="38" spans="2:12">
      <c r="B38" s="82" t="s">
        <v>674</v>
      </c>
      <c r="G38" s="242">
        <f>'Sch 9'!D33</f>
        <v>217249545.68572414</v>
      </c>
      <c r="H38" s="241"/>
      <c r="J38" s="511"/>
      <c r="K38" s="511"/>
      <c r="L38" s="237"/>
    </row>
    <row r="39" spans="2:12">
      <c r="B39" s="82" t="s">
        <v>673</v>
      </c>
      <c r="G39" s="242">
        <f>'Sch 9'!D31*12</f>
        <v>29737154.335677903</v>
      </c>
      <c r="H39" s="241"/>
      <c r="J39" s="240"/>
      <c r="K39" s="511"/>
      <c r="L39" s="237"/>
    </row>
    <row r="40" spans="2:12">
      <c r="H40" s="241"/>
      <c r="J40" s="237"/>
      <c r="K40" s="237"/>
      <c r="L40" s="237"/>
    </row>
    <row r="41" spans="2:12">
      <c r="B41" s="82" t="s">
        <v>672</v>
      </c>
      <c r="G41" s="239">
        <f>(G38/G39)*1000</f>
        <v>7305.6602267108492</v>
      </c>
      <c r="H41" s="241"/>
      <c r="J41" s="237"/>
      <c r="K41" s="237"/>
      <c r="L41" s="237"/>
    </row>
    <row r="42" spans="2:12">
      <c r="B42" s="82" t="s">
        <v>671</v>
      </c>
      <c r="G42" s="239">
        <f>(G38/G39)*1000/52*12</f>
        <v>1685.9215907794269</v>
      </c>
      <c r="H42" s="241"/>
      <c r="J42" s="237"/>
      <c r="K42" s="237"/>
      <c r="L42" s="237"/>
    </row>
    <row r="43" spans="2:12">
      <c r="B43" s="82" t="s">
        <v>670</v>
      </c>
      <c r="G43" s="239">
        <f>G42/5</f>
        <v>337.18431815588536</v>
      </c>
      <c r="H43" s="241"/>
      <c r="J43" s="237"/>
      <c r="K43" s="237"/>
      <c r="L43" s="237"/>
    </row>
    <row r="44" spans="2:12">
      <c r="B44" s="82" t="s">
        <v>669</v>
      </c>
      <c r="G44" s="239">
        <f>G38/((G39/12)/1000)/365</f>
        <v>240.18608964528818</v>
      </c>
      <c r="H44" s="241"/>
      <c r="J44" s="237"/>
      <c r="K44" s="237"/>
      <c r="L44" s="237"/>
    </row>
    <row r="45" spans="2:12">
      <c r="B45" s="82" t="s">
        <v>668</v>
      </c>
      <c r="G45" s="239">
        <f>G43/16</f>
        <v>21.074019884742835</v>
      </c>
      <c r="H45" s="241"/>
      <c r="J45" s="237"/>
      <c r="K45" s="237"/>
      <c r="L45" s="237"/>
    </row>
    <row r="46" spans="2:12">
      <c r="B46" s="82" t="s">
        <v>667</v>
      </c>
      <c r="G46" s="239">
        <f>G44/24</f>
        <v>10.007753735220341</v>
      </c>
      <c r="H46" s="241"/>
      <c r="J46" s="237"/>
      <c r="K46" s="237"/>
      <c r="L46" s="237"/>
    </row>
    <row r="47" spans="2:12">
      <c r="H47" s="241"/>
      <c r="J47" s="237"/>
      <c r="K47" s="237"/>
      <c r="L47" s="237"/>
    </row>
    <row r="48" spans="2:12">
      <c r="B48" s="148" t="s">
        <v>677</v>
      </c>
      <c r="H48" s="241"/>
      <c r="J48" s="237"/>
      <c r="K48" s="237"/>
      <c r="L48" s="237"/>
    </row>
    <row r="49" spans="2:12">
      <c r="B49" s="82" t="s">
        <v>674</v>
      </c>
      <c r="G49" s="242">
        <f>'Sch 9'!E33</f>
        <v>186233265.57559347</v>
      </c>
      <c r="H49" s="241"/>
      <c r="J49" s="511"/>
      <c r="K49" s="511"/>
      <c r="L49" s="237"/>
    </row>
    <row r="50" spans="2:12">
      <c r="B50" s="82" t="s">
        <v>673</v>
      </c>
      <c r="G50" s="242">
        <f>'Sch 9'!E31*12</f>
        <v>25491640.699999999</v>
      </c>
      <c r="H50" s="241"/>
      <c r="J50" s="240"/>
      <c r="K50" s="511"/>
      <c r="L50" s="237"/>
    </row>
    <row r="51" spans="2:12">
      <c r="H51" s="241"/>
      <c r="J51" s="237"/>
      <c r="K51" s="237"/>
      <c r="L51" s="237"/>
    </row>
    <row r="52" spans="2:12">
      <c r="B52" s="82" t="s">
        <v>672</v>
      </c>
      <c r="G52" s="239">
        <f>(G49/G50)*1000</f>
        <v>7305.6602267108483</v>
      </c>
      <c r="H52" s="241"/>
      <c r="J52" s="237"/>
      <c r="K52" s="237"/>
      <c r="L52" s="237"/>
    </row>
    <row r="53" spans="2:12">
      <c r="B53" s="82" t="s">
        <v>671</v>
      </c>
      <c r="G53" s="239">
        <f>(G49/G50)*1000/52*12</f>
        <v>1685.9215907794264</v>
      </c>
      <c r="H53" s="241"/>
      <c r="J53" s="237"/>
      <c r="K53" s="237"/>
      <c r="L53" s="237"/>
    </row>
    <row r="54" spans="2:12">
      <c r="B54" s="82" t="s">
        <v>670</v>
      </c>
      <c r="G54" s="239">
        <f>G53/5</f>
        <v>337.18431815588531</v>
      </c>
      <c r="H54" s="241"/>
      <c r="J54" s="237"/>
      <c r="K54" s="237"/>
      <c r="L54" s="237"/>
    </row>
    <row r="55" spans="2:12">
      <c r="B55" s="82" t="s">
        <v>669</v>
      </c>
      <c r="G55" s="239">
        <f>G49/((G50/12)/1000)/365</f>
        <v>240.18608964528815</v>
      </c>
      <c r="H55" s="241"/>
      <c r="J55" s="237"/>
      <c r="K55" s="237"/>
      <c r="L55" s="237"/>
    </row>
    <row r="56" spans="2:12">
      <c r="B56" s="82" t="s">
        <v>668</v>
      </c>
      <c r="G56" s="239">
        <f>G54/16</f>
        <v>21.074019884742832</v>
      </c>
      <c r="H56" s="241"/>
      <c r="J56" s="237"/>
      <c r="K56" s="237"/>
      <c r="L56" s="237"/>
    </row>
    <row r="57" spans="2:12">
      <c r="B57" s="82" t="s">
        <v>667</v>
      </c>
      <c r="G57" s="239">
        <f>G55/24</f>
        <v>10.007753735220339</v>
      </c>
      <c r="H57" s="241"/>
      <c r="J57" s="237"/>
      <c r="K57" s="237"/>
      <c r="L57" s="237"/>
    </row>
    <row r="58" spans="2:12">
      <c r="H58" s="241"/>
      <c r="J58" s="237"/>
      <c r="K58" s="237"/>
      <c r="L58" s="237"/>
    </row>
    <row r="59" spans="2:12">
      <c r="B59" s="148" t="s">
        <v>675</v>
      </c>
      <c r="H59" s="241"/>
      <c r="J59" s="237"/>
      <c r="K59" s="237"/>
      <c r="L59" s="237"/>
    </row>
    <row r="60" spans="2:12">
      <c r="B60" s="82" t="s">
        <v>674</v>
      </c>
      <c r="G60" s="242">
        <f>'Sch 9'!F33</f>
        <v>398504025.48848611</v>
      </c>
      <c r="H60" s="241"/>
      <c r="J60" s="511"/>
      <c r="K60" s="511"/>
      <c r="L60" s="237"/>
    </row>
    <row r="61" spans="2:12">
      <c r="B61" s="82" t="s">
        <v>673</v>
      </c>
      <c r="G61" s="242">
        <f>'Sch 9'!F31*12</f>
        <v>54547298.002100006</v>
      </c>
      <c r="H61" s="241"/>
      <c r="J61" s="240"/>
      <c r="K61" s="511"/>
      <c r="L61" s="237"/>
    </row>
    <row r="62" spans="2:12">
      <c r="J62" s="237"/>
      <c r="K62" s="237"/>
      <c r="L62" s="237"/>
    </row>
    <row r="63" spans="2:12">
      <c r="B63" s="82" t="s">
        <v>672</v>
      </c>
      <c r="G63" s="239">
        <f>(G60/G61)*1000</f>
        <v>7305.6602267108483</v>
      </c>
      <c r="J63" s="237"/>
      <c r="K63" s="237"/>
      <c r="L63" s="237"/>
    </row>
    <row r="64" spans="2:12">
      <c r="B64" s="82" t="s">
        <v>671</v>
      </c>
      <c r="G64" s="239">
        <f>(G60/G61)*1000/52*12</f>
        <v>1685.9215907794264</v>
      </c>
      <c r="J64" s="237"/>
      <c r="K64" s="237"/>
      <c r="L64" s="237"/>
    </row>
    <row r="65" spans="2:12">
      <c r="B65" s="82" t="s">
        <v>670</v>
      </c>
      <c r="G65" s="239">
        <f>G64/5</f>
        <v>337.18431815588531</v>
      </c>
      <c r="J65" s="237"/>
      <c r="K65" s="237"/>
      <c r="L65" s="237"/>
    </row>
    <row r="66" spans="2:12">
      <c r="B66" s="82" t="s">
        <v>669</v>
      </c>
      <c r="G66" s="239">
        <f>G60/((G61/12)/1000)/365</f>
        <v>240.18608964528815</v>
      </c>
      <c r="J66" s="237"/>
      <c r="K66" s="237"/>
      <c r="L66" s="237"/>
    </row>
    <row r="67" spans="2:12">
      <c r="B67" s="82" t="s">
        <v>668</v>
      </c>
      <c r="G67" s="239">
        <f>G65/16</f>
        <v>21.074019884742832</v>
      </c>
      <c r="J67" s="237"/>
      <c r="K67" s="237"/>
      <c r="L67" s="237"/>
    </row>
    <row r="68" spans="2:12">
      <c r="B68" s="82" t="s">
        <v>667</v>
      </c>
      <c r="G68" s="239">
        <f>G66/24</f>
        <v>10.007753735220339</v>
      </c>
      <c r="J68" s="237"/>
      <c r="K68" s="237"/>
      <c r="L68" s="237"/>
    </row>
    <row r="69" spans="2:12">
      <c r="J69" s="237"/>
      <c r="K69" s="237"/>
      <c r="L69" s="237"/>
    </row>
    <row r="70" spans="2:12">
      <c r="B70" s="148" t="s">
        <v>657</v>
      </c>
      <c r="J70" s="237"/>
      <c r="K70" s="237"/>
      <c r="L70" s="237"/>
    </row>
    <row r="71" spans="2:12">
      <c r="B71" s="82" t="s">
        <v>674</v>
      </c>
      <c r="G71" s="242">
        <f>'Sch 9'!G33</f>
        <v>13520884.913643062</v>
      </c>
      <c r="J71" s="511"/>
      <c r="K71" s="511"/>
      <c r="L71" s="237"/>
    </row>
    <row r="72" spans="2:12">
      <c r="B72" s="82" t="s">
        <v>673</v>
      </c>
      <c r="G72" s="242">
        <f>'Sch 9'!G31*12</f>
        <v>1850741.0000000002</v>
      </c>
      <c r="H72" s="241"/>
      <c r="J72" s="240"/>
      <c r="K72" s="511"/>
      <c r="L72" s="237"/>
    </row>
    <row r="73" spans="2:12">
      <c r="J73" s="237"/>
      <c r="K73" s="237"/>
      <c r="L73" s="237"/>
    </row>
    <row r="74" spans="2:12">
      <c r="B74" s="82" t="s">
        <v>672</v>
      </c>
      <c r="G74" s="239">
        <f>(G71/G72)*1000</f>
        <v>7305.6602267108474</v>
      </c>
      <c r="J74" s="237"/>
      <c r="K74" s="237"/>
      <c r="L74" s="237"/>
    </row>
    <row r="75" spans="2:12">
      <c r="B75" s="82" t="s">
        <v>671</v>
      </c>
      <c r="G75" s="239">
        <f>(G71/G72)*1000/52*12</f>
        <v>1685.9215907794264</v>
      </c>
      <c r="J75" s="237"/>
      <c r="K75" s="237"/>
      <c r="L75" s="237"/>
    </row>
    <row r="76" spans="2:12">
      <c r="B76" s="82" t="s">
        <v>670</v>
      </c>
      <c r="G76" s="239">
        <f>G75/5</f>
        <v>337.18431815588531</v>
      </c>
      <c r="J76" s="237"/>
      <c r="K76" s="237"/>
      <c r="L76" s="237"/>
    </row>
    <row r="77" spans="2:12">
      <c r="B77" s="82" t="s">
        <v>669</v>
      </c>
      <c r="G77" s="239">
        <f>G71/((G72/12)/1000)/365</f>
        <v>240.18608964528815</v>
      </c>
      <c r="J77" s="237"/>
      <c r="K77" s="237"/>
      <c r="L77" s="237"/>
    </row>
    <row r="78" spans="2:12">
      <c r="B78" s="82" t="s">
        <v>668</v>
      </c>
      <c r="G78" s="239">
        <f>G76/16</f>
        <v>21.074019884742832</v>
      </c>
      <c r="J78" s="237"/>
      <c r="K78" s="237"/>
      <c r="L78" s="237"/>
    </row>
    <row r="79" spans="2:12">
      <c r="B79" s="82" t="s">
        <v>667</v>
      </c>
      <c r="G79" s="239">
        <f>G77/24</f>
        <v>10.007753735220339</v>
      </c>
      <c r="J79" s="237"/>
      <c r="K79" s="237"/>
      <c r="L79" s="237"/>
    </row>
    <row r="80" spans="2:12">
      <c r="J80" s="237"/>
      <c r="K80" s="237"/>
      <c r="L80" s="237"/>
    </row>
    <row r="81" spans="2:12">
      <c r="B81" s="264" t="s">
        <v>665</v>
      </c>
      <c r="C81" s="264"/>
      <c r="D81" s="264"/>
      <c r="E81" s="264"/>
      <c r="F81" s="264"/>
      <c r="G81" s="527">
        <f>+G27+G49+G38+G60+G71</f>
        <v>860333137.31563687</v>
      </c>
      <c r="H81" s="264"/>
      <c r="J81" s="237"/>
      <c r="K81" s="237"/>
      <c r="L81" s="237"/>
    </row>
    <row r="82" spans="2:12">
      <c r="B82" s="264" t="s">
        <v>665</v>
      </c>
      <c r="C82" s="264"/>
      <c r="D82" s="264"/>
      <c r="E82" s="264"/>
      <c r="F82" s="264"/>
      <c r="G82" s="528">
        <f>+G28+G50+G39+G61+G72</f>
        <v>117762544.46793178</v>
      </c>
      <c r="H82" s="264" t="s">
        <v>666</v>
      </c>
      <c r="J82" s="237"/>
      <c r="K82" s="237"/>
      <c r="L82" s="237"/>
    </row>
    <row r="83" spans="2:12">
      <c r="B83" s="264" t="s">
        <v>665</v>
      </c>
      <c r="C83" s="264"/>
      <c r="D83" s="264"/>
      <c r="E83" s="264"/>
      <c r="F83" s="264"/>
      <c r="G83" s="528">
        <f>+G82/12</f>
        <v>9813545.3723276481</v>
      </c>
      <c r="H83" s="264" t="s">
        <v>664</v>
      </c>
      <c r="J83" s="237"/>
      <c r="K83" s="237"/>
      <c r="L83" s="237"/>
    </row>
    <row r="84" spans="2:12">
      <c r="B84" s="264"/>
      <c r="C84" s="264"/>
      <c r="D84" s="264"/>
      <c r="E84" s="264"/>
      <c r="F84" s="264"/>
      <c r="G84" s="528"/>
      <c r="H84" s="264"/>
      <c r="J84" s="237"/>
      <c r="K84" s="237"/>
      <c r="L84" s="237"/>
    </row>
    <row r="85" spans="2:12">
      <c r="B85" s="1021" t="s">
        <v>683</v>
      </c>
      <c r="C85" s="1021"/>
      <c r="D85" s="1021"/>
      <c r="E85" s="1021"/>
      <c r="F85" s="1021"/>
      <c r="G85" s="1021"/>
      <c r="H85" s="1021"/>
      <c r="I85" s="148"/>
    </row>
    <row r="86" spans="2:12">
      <c r="E86" s="246" t="s">
        <v>1279</v>
      </c>
      <c r="F86" s="245"/>
      <c r="I86" s="244" t="s">
        <v>682</v>
      </c>
      <c r="J86" s="519"/>
    </row>
    <row r="88" spans="2:12">
      <c r="B88" s="82" t="s">
        <v>679</v>
      </c>
      <c r="G88" s="242">
        <f>+'Sch 7,8'!G4</f>
        <v>860333137.31563675</v>
      </c>
      <c r="J88" s="240"/>
      <c r="K88" s="240"/>
      <c r="L88" s="238"/>
    </row>
    <row r="90" spans="2:12">
      <c r="B90" s="1020" t="s">
        <v>966</v>
      </c>
      <c r="C90" s="1020"/>
      <c r="D90" s="1020"/>
      <c r="E90" s="1020"/>
      <c r="F90" s="1020"/>
      <c r="G90" s="1020"/>
    </row>
    <row r="91" spans="2:12">
      <c r="B91" s="1020"/>
      <c r="C91" s="1020"/>
      <c r="D91" s="1020"/>
      <c r="E91" s="1020"/>
      <c r="F91" s="1020"/>
      <c r="G91" s="1020"/>
    </row>
    <row r="92" spans="2:12">
      <c r="B92" s="1020"/>
      <c r="C92" s="1020"/>
      <c r="D92" s="1020"/>
      <c r="E92" s="1020"/>
      <c r="F92" s="1020"/>
      <c r="G92" s="1020"/>
    </row>
    <row r="93" spans="2:12">
      <c r="J93" s="237"/>
    </row>
    <row r="94" spans="2:12">
      <c r="B94" s="82" t="s">
        <v>673</v>
      </c>
      <c r="G94" s="243">
        <f>'Sch 7,8'!G10</f>
        <v>117762544.46793178</v>
      </c>
      <c r="J94" s="240"/>
      <c r="K94" s="240"/>
      <c r="L94" s="520"/>
    </row>
    <row r="95" spans="2:12">
      <c r="K95" s="237"/>
    </row>
    <row r="96" spans="2:12">
      <c r="B96" s="82" t="s">
        <v>672</v>
      </c>
      <c r="G96" s="239">
        <f>(G88/G94)*1000</f>
        <v>7305.6602267108483</v>
      </c>
      <c r="K96" s="237"/>
    </row>
    <row r="97" spans="2:12">
      <c r="B97" s="82" t="s">
        <v>671</v>
      </c>
      <c r="G97" s="239">
        <f>(G88/G94)*1000/52*12</f>
        <v>1685.9215907794264</v>
      </c>
      <c r="K97" s="237"/>
    </row>
    <row r="98" spans="2:12">
      <c r="B98" s="82" t="s">
        <v>670</v>
      </c>
      <c r="G98" s="239">
        <f>G97/5</f>
        <v>337.18431815588531</v>
      </c>
      <c r="K98" s="237"/>
    </row>
    <row r="99" spans="2:12">
      <c r="B99" s="82" t="s">
        <v>669</v>
      </c>
      <c r="G99" s="239">
        <f>G88/((G94/12)/1000)/365</f>
        <v>240.18608964528815</v>
      </c>
      <c r="K99" s="237"/>
    </row>
    <row r="100" spans="2:12">
      <c r="K100" s="237"/>
    </row>
    <row r="101" spans="2:12">
      <c r="B101" s="1020" t="s">
        <v>964</v>
      </c>
      <c r="C101" s="1020"/>
      <c r="D101" s="1020"/>
      <c r="E101" s="1020"/>
      <c r="F101" s="1020"/>
      <c r="G101" s="1020"/>
      <c r="K101" s="237"/>
    </row>
    <row r="102" spans="2:12">
      <c r="B102" s="1020"/>
      <c r="C102" s="1020"/>
      <c r="D102" s="1020"/>
      <c r="E102" s="1020"/>
      <c r="F102" s="1020"/>
      <c r="G102" s="1020"/>
      <c r="K102" s="237"/>
    </row>
    <row r="103" spans="2:12">
      <c r="J103" s="519"/>
      <c r="K103" s="519"/>
      <c r="L103" s="237"/>
    </row>
    <row r="104" spans="2:12">
      <c r="B104" s="148" t="s">
        <v>678</v>
      </c>
      <c r="J104" s="237"/>
      <c r="K104" s="237"/>
    </row>
    <row r="105" spans="2:12">
      <c r="B105" s="82" t="s">
        <v>674</v>
      </c>
      <c r="G105" s="242">
        <f>'Sch 7,8'!G27</f>
        <v>44825415.652190045</v>
      </c>
      <c r="J105" s="511"/>
      <c r="K105" s="511"/>
    </row>
    <row r="106" spans="2:12">
      <c r="B106" s="82" t="s">
        <v>673</v>
      </c>
      <c r="G106" s="243">
        <f>'Sch 7,8'!G28</f>
        <v>6135710.430153871</v>
      </c>
      <c r="I106" s="82" t="s">
        <v>3</v>
      </c>
      <c r="J106" s="240"/>
      <c r="K106" s="511"/>
    </row>
    <row r="107" spans="2:12">
      <c r="J107" s="237"/>
      <c r="K107" s="237"/>
    </row>
    <row r="108" spans="2:12">
      <c r="B108" s="82" t="s">
        <v>672</v>
      </c>
      <c r="G108" s="239">
        <f>(G105/G106)*1000</f>
        <v>7305.6602267108483</v>
      </c>
      <c r="J108" s="237"/>
      <c r="K108" s="237"/>
    </row>
    <row r="109" spans="2:12">
      <c r="B109" s="82" t="s">
        <v>671</v>
      </c>
      <c r="G109" s="239">
        <f>(G105/G106)*1000/52*12</f>
        <v>1685.9215907794264</v>
      </c>
      <c r="J109" s="237"/>
      <c r="K109" s="237"/>
    </row>
    <row r="110" spans="2:12">
      <c r="B110" s="82" t="s">
        <v>670</v>
      </c>
      <c r="G110" s="239">
        <f>G109/5</f>
        <v>337.18431815588531</v>
      </c>
      <c r="J110" s="237"/>
      <c r="K110" s="237"/>
    </row>
    <row r="111" spans="2:12">
      <c r="B111" s="82" t="s">
        <v>669</v>
      </c>
      <c r="G111" s="239">
        <f>G105/((G106/12)/1000)/365</f>
        <v>240.18608964528815</v>
      </c>
      <c r="J111" s="237"/>
      <c r="K111" s="237"/>
    </row>
    <row r="112" spans="2:12">
      <c r="J112" s="237"/>
      <c r="K112" s="237"/>
    </row>
    <row r="113" spans="2:11">
      <c r="B113" s="148" t="s">
        <v>676</v>
      </c>
      <c r="J113" s="237"/>
      <c r="K113" s="237"/>
    </row>
    <row r="114" spans="2:11">
      <c r="B114" s="82" t="s">
        <v>674</v>
      </c>
      <c r="G114" s="242">
        <f>'Sch 7,8'!G38</f>
        <v>217249545.68572414</v>
      </c>
      <c r="J114" s="511"/>
      <c r="K114" s="511"/>
    </row>
    <row r="115" spans="2:11">
      <c r="B115" s="82" t="s">
        <v>673</v>
      </c>
      <c r="G115" s="243">
        <f>'Sch 7,8'!G39</f>
        <v>29737154.335677903</v>
      </c>
      <c r="J115" s="240"/>
      <c r="K115" s="511"/>
    </row>
    <row r="116" spans="2:11">
      <c r="J116" s="237"/>
      <c r="K116" s="237"/>
    </row>
    <row r="117" spans="2:11">
      <c r="B117" s="82" t="s">
        <v>672</v>
      </c>
      <c r="G117" s="239">
        <f>(G114/G115)*1000</f>
        <v>7305.6602267108492</v>
      </c>
      <c r="J117" s="237"/>
      <c r="K117" s="237"/>
    </row>
    <row r="118" spans="2:11">
      <c r="B118" s="82" t="s">
        <v>671</v>
      </c>
      <c r="G118" s="239">
        <f>(G114/G115)*1000/52*12</f>
        <v>1685.9215907794269</v>
      </c>
      <c r="J118" s="237"/>
      <c r="K118" s="237"/>
    </row>
    <row r="119" spans="2:11">
      <c r="B119" s="82" t="s">
        <v>670</v>
      </c>
      <c r="G119" s="239">
        <f>G118/5</f>
        <v>337.18431815588536</v>
      </c>
      <c r="J119" s="237"/>
      <c r="K119" s="237"/>
    </row>
    <row r="120" spans="2:11">
      <c r="B120" s="82" t="s">
        <v>669</v>
      </c>
      <c r="G120" s="239">
        <f>G114/((G115/12)/1000)/365</f>
        <v>240.18608964528818</v>
      </c>
      <c r="J120" s="237"/>
      <c r="K120" s="237"/>
    </row>
    <row r="121" spans="2:11">
      <c r="J121" s="237"/>
      <c r="K121" s="237"/>
    </row>
    <row r="122" spans="2:11">
      <c r="B122" s="148" t="s">
        <v>677</v>
      </c>
      <c r="J122" s="237"/>
      <c r="K122" s="237"/>
    </row>
    <row r="123" spans="2:11">
      <c r="B123" s="82" t="s">
        <v>674</v>
      </c>
      <c r="G123" s="242">
        <f>'Sch 7,8'!G49</f>
        <v>186233265.57559347</v>
      </c>
      <c r="J123" s="511"/>
      <c r="K123" s="511"/>
    </row>
    <row r="124" spans="2:11">
      <c r="B124" s="82" t="s">
        <v>673</v>
      </c>
      <c r="G124" s="243">
        <f>'Sch 7,8'!G50</f>
        <v>25491640.699999999</v>
      </c>
      <c r="J124" s="240"/>
      <c r="K124" s="511"/>
    </row>
    <row r="125" spans="2:11">
      <c r="J125" s="237"/>
      <c r="K125" s="237"/>
    </row>
    <row r="126" spans="2:11">
      <c r="B126" s="82" t="s">
        <v>672</v>
      </c>
      <c r="G126" s="239">
        <f>(G123/G124)*1000</f>
        <v>7305.6602267108483</v>
      </c>
      <c r="J126" s="237"/>
      <c r="K126" s="237"/>
    </row>
    <row r="127" spans="2:11">
      <c r="B127" s="82" t="s">
        <v>671</v>
      </c>
      <c r="G127" s="239">
        <f>(G123/G124)*1000/52*12</f>
        <v>1685.9215907794264</v>
      </c>
      <c r="J127" s="237"/>
      <c r="K127" s="237"/>
    </row>
    <row r="128" spans="2:11">
      <c r="B128" s="82" t="s">
        <v>670</v>
      </c>
      <c r="G128" s="239">
        <f>G127/5</f>
        <v>337.18431815588531</v>
      </c>
      <c r="J128" s="237"/>
      <c r="K128" s="237"/>
    </row>
    <row r="129" spans="2:11">
      <c r="B129" s="82" t="s">
        <v>669</v>
      </c>
      <c r="G129" s="239">
        <f>G123/((G124/12)/1000)/365</f>
        <v>240.18608964528815</v>
      </c>
      <c r="J129" s="237"/>
      <c r="K129" s="237"/>
    </row>
    <row r="130" spans="2:11">
      <c r="J130" s="237"/>
      <c r="K130" s="237"/>
    </row>
    <row r="131" spans="2:11">
      <c r="B131" s="148" t="s">
        <v>675</v>
      </c>
      <c r="J131" s="237"/>
      <c r="K131" s="237"/>
    </row>
    <row r="132" spans="2:11">
      <c r="B132" s="82" t="s">
        <v>674</v>
      </c>
      <c r="G132" s="242">
        <f>'Sch 7,8'!G60</f>
        <v>398504025.48848611</v>
      </c>
      <c r="J132" s="511"/>
      <c r="K132" s="511"/>
    </row>
    <row r="133" spans="2:11">
      <c r="B133" s="82" t="s">
        <v>673</v>
      </c>
      <c r="G133" s="243">
        <f>'Sch 7,8'!G61</f>
        <v>54547298.002100006</v>
      </c>
      <c r="J133" s="240"/>
      <c r="K133" s="511"/>
    </row>
    <row r="134" spans="2:11">
      <c r="J134" s="237"/>
      <c r="K134" s="237"/>
    </row>
    <row r="135" spans="2:11">
      <c r="B135" s="82" t="s">
        <v>672</v>
      </c>
      <c r="G135" s="239">
        <f>(G132/G133)*1000</f>
        <v>7305.6602267108483</v>
      </c>
      <c r="J135" s="237"/>
      <c r="K135" s="237"/>
    </row>
    <row r="136" spans="2:11">
      <c r="B136" s="82" t="s">
        <v>671</v>
      </c>
      <c r="G136" s="239">
        <f>(G132/G133)*1000/52*12</f>
        <v>1685.9215907794264</v>
      </c>
      <c r="J136" s="237"/>
      <c r="K136" s="237"/>
    </row>
    <row r="137" spans="2:11">
      <c r="B137" s="82" t="s">
        <v>670</v>
      </c>
      <c r="G137" s="239">
        <f>G136/5</f>
        <v>337.18431815588531</v>
      </c>
      <c r="J137" s="237"/>
      <c r="K137" s="237"/>
    </row>
    <row r="138" spans="2:11">
      <c r="B138" s="82" t="s">
        <v>669</v>
      </c>
      <c r="G138" s="239">
        <f>G132/((G133/12)/1000)/365</f>
        <v>240.18608964528815</v>
      </c>
      <c r="J138" s="511"/>
      <c r="K138" s="511"/>
    </row>
    <row r="139" spans="2:11">
      <c r="J139" s="240"/>
      <c r="K139" s="511"/>
    </row>
    <row r="140" spans="2:11">
      <c r="B140" s="148" t="s">
        <v>657</v>
      </c>
      <c r="J140" s="237"/>
      <c r="K140" s="237"/>
    </row>
    <row r="141" spans="2:11">
      <c r="B141" s="82" t="s">
        <v>674</v>
      </c>
      <c r="G141" s="242">
        <f>'Sch 7,8'!G71</f>
        <v>13520884.913643062</v>
      </c>
      <c r="J141" s="511"/>
      <c r="K141" s="511"/>
    </row>
    <row r="142" spans="2:11">
      <c r="B142" s="82" t="s">
        <v>673</v>
      </c>
      <c r="G142" s="243">
        <f>'Sch 7,8'!G72</f>
        <v>1850741.0000000002</v>
      </c>
      <c r="J142" s="240"/>
      <c r="K142" s="511"/>
    </row>
    <row r="143" spans="2:11">
      <c r="J143" s="237"/>
      <c r="K143" s="237"/>
    </row>
    <row r="144" spans="2:11">
      <c r="B144" s="82" t="s">
        <v>672</v>
      </c>
      <c r="G144" s="239">
        <f>(G141/G142)*1000</f>
        <v>7305.6602267108474</v>
      </c>
      <c r="J144" s="237"/>
      <c r="K144" s="237"/>
    </row>
    <row r="145" spans="1:11">
      <c r="B145" s="82" t="s">
        <v>671</v>
      </c>
      <c r="G145" s="239">
        <f>(G141/G142)*1000/52*12</f>
        <v>1685.9215907794264</v>
      </c>
      <c r="J145" s="237"/>
      <c r="K145" s="237"/>
    </row>
    <row r="146" spans="1:11">
      <c r="B146" s="82" t="s">
        <v>670</v>
      </c>
      <c r="G146" s="239">
        <f>G145/5</f>
        <v>337.18431815588531</v>
      </c>
      <c r="J146" s="237"/>
      <c r="K146" s="237"/>
    </row>
    <row r="147" spans="1:11">
      <c r="B147" s="82" t="s">
        <v>669</v>
      </c>
      <c r="G147" s="239">
        <f>G141/((G142/12)/1000)/365</f>
        <v>240.18608964528815</v>
      </c>
      <c r="J147" s="237"/>
      <c r="K147" s="237"/>
    </row>
    <row r="148" spans="1:11">
      <c r="J148" s="237"/>
      <c r="K148" s="237"/>
    </row>
    <row r="149" spans="1:11">
      <c r="J149" s="511"/>
      <c r="K149" s="511"/>
    </row>
    <row r="150" spans="1:11">
      <c r="B150" s="264" t="s">
        <v>665</v>
      </c>
      <c r="C150" s="264"/>
      <c r="D150" s="264"/>
      <c r="E150" s="264"/>
      <c r="F150" s="264"/>
      <c r="G150" s="527">
        <f>G105+G123+G114+G132+G141</f>
        <v>860333137.31563687</v>
      </c>
      <c r="H150" s="264"/>
      <c r="J150" s="240"/>
      <c r="K150" s="511"/>
    </row>
    <row r="151" spans="1:11">
      <c r="B151" s="264" t="s">
        <v>665</v>
      </c>
      <c r="C151" s="264"/>
      <c r="D151" s="264"/>
      <c r="E151" s="264"/>
      <c r="F151" s="264"/>
      <c r="G151" s="528">
        <f>G106+G124+G115+G133+G142</f>
        <v>117762544.46793178</v>
      </c>
      <c r="H151" s="264" t="s">
        <v>666</v>
      </c>
      <c r="K151" s="237"/>
    </row>
    <row r="152" spans="1:11">
      <c r="A152" s="264"/>
      <c r="B152" s="264"/>
      <c r="C152" s="264"/>
      <c r="D152" s="264"/>
      <c r="E152" s="264"/>
      <c r="F152" s="264"/>
      <c r="G152" s="528">
        <f>G151/12</f>
        <v>9813545.3723276481</v>
      </c>
      <c r="H152" s="264" t="s">
        <v>664</v>
      </c>
    </row>
    <row r="154" spans="1:11">
      <c r="G154" s="235"/>
    </row>
    <row r="155" spans="1:11">
      <c r="G155" s="236"/>
    </row>
    <row r="156" spans="1:11">
      <c r="G156" s="235"/>
    </row>
  </sheetData>
  <mergeCells count="7">
    <mergeCell ref="B90:G92"/>
    <mergeCell ref="B101:G102"/>
    <mergeCell ref="B1:H1"/>
    <mergeCell ref="B85:H85"/>
    <mergeCell ref="B6:G8"/>
    <mergeCell ref="B19:G20"/>
    <mergeCell ref="B22:G23"/>
  </mergeCells>
  <pageMargins left="0.7" right="0.7" top="0.75" bottom="0.75" header="0.3" footer="0.3"/>
  <pageSetup scale="70" orientation="portrait" r:id="rId1"/>
  <colBreaks count="1" manualBreakCount="1">
    <brk id="9"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D2015-F74F-4E21-971D-551B7086E8F4}">
  <sheetPr codeName="Sheet35"/>
  <dimension ref="A1:F31"/>
  <sheetViews>
    <sheetView zoomScaleNormal="100" zoomScaleSheetLayoutView="100" workbookViewId="0">
      <pane xSplit="1" ySplit="5" topLeftCell="B6" activePane="bottomRight" state="frozen"/>
      <selection activeCell="B3" sqref="B3"/>
      <selection pane="topRight" activeCell="B3" sqref="B3"/>
      <selection pane="bottomLeft" activeCell="B3" sqref="B3"/>
      <selection pane="bottomRight" activeCell="E23" sqref="E23"/>
    </sheetView>
  </sheetViews>
  <sheetFormatPr defaultColWidth="9.140625" defaultRowHeight="15"/>
  <cols>
    <col min="1" max="1" width="9.140625" style="391"/>
    <col min="2" max="2" width="34.140625" style="397" customWidth="1"/>
    <col min="3" max="5" width="15.5703125" style="397" customWidth="1"/>
    <col min="6" max="16384" width="9.140625" style="397"/>
  </cols>
  <sheetData>
    <row r="1" spans="1:5">
      <c r="A1" s="395"/>
    </row>
    <row r="2" spans="1:5">
      <c r="B2" s="396" t="s">
        <v>1280</v>
      </c>
      <c r="C2" s="394"/>
      <c r="D2" s="394"/>
      <c r="E2" s="391"/>
    </row>
    <row r="3" spans="1:5">
      <c r="B3" s="386" t="s">
        <v>1249</v>
      </c>
      <c r="C3" s="394"/>
      <c r="D3" s="394"/>
      <c r="E3" s="391"/>
    </row>
    <row r="4" spans="1:5">
      <c r="B4" s="394" t="s">
        <v>799</v>
      </c>
      <c r="C4" s="394"/>
      <c r="D4" s="394"/>
      <c r="E4" s="391"/>
    </row>
    <row r="5" spans="1:5">
      <c r="B5" s="398" t="str">
        <f>IF($E$18&lt;0,"Applicable Annual Quarter","Month")</f>
        <v>Applicable Annual Quarter</v>
      </c>
      <c r="C5" s="398" t="str">
        <f>IF($E$18&lt;0,"","Debt Amount")</f>
        <v/>
      </c>
      <c r="D5" s="398" t="str">
        <f>IF($E$18&lt;0,"Annual Rate","Monthly Effective Rate")</f>
        <v>Annual Rate</v>
      </c>
      <c r="E5" s="398" t="str">
        <f>IF($E$18&lt;0,"Monthly Rate","Weighted Effective Rate")</f>
        <v>Monthly Rate</v>
      </c>
    </row>
    <row r="6" spans="1:5">
      <c r="B6" s="391"/>
      <c r="C6" s="391"/>
      <c r="D6" s="399"/>
      <c r="E6" s="391"/>
    </row>
    <row r="7" spans="1:5">
      <c r="B7" s="400" t="s">
        <v>1250</v>
      </c>
      <c r="C7" s="401" t="s">
        <v>588</v>
      </c>
      <c r="D7" s="402">
        <v>8.5000000000000006E-2</v>
      </c>
      <c r="E7" s="403">
        <f t="shared" ref="E7:E13" si="0">IF($E$18&lt;0,ROUND(D7/12,4),$C7/SUM($C$7:$C$13)*$D7)</f>
        <v>7.1000000000000004E-3</v>
      </c>
    </row>
    <row r="8" spans="1:5">
      <c r="B8" s="400" t="s">
        <v>1251</v>
      </c>
      <c r="C8" s="401" t="s">
        <v>588</v>
      </c>
      <c r="D8" s="402">
        <v>8.5000000000000006E-2</v>
      </c>
      <c r="E8" s="403">
        <f t="shared" si="0"/>
        <v>7.1000000000000004E-3</v>
      </c>
    </row>
    <row r="9" spans="1:5">
      <c r="B9" s="400" t="s">
        <v>1252</v>
      </c>
      <c r="C9" s="401" t="s">
        <v>588</v>
      </c>
      <c r="D9" s="402">
        <v>8.5000000000000006E-2</v>
      </c>
      <c r="E9" s="403">
        <f t="shared" si="0"/>
        <v>7.1000000000000004E-3</v>
      </c>
    </row>
    <row r="10" spans="1:5">
      <c r="B10" s="400" t="s">
        <v>1253</v>
      </c>
      <c r="C10" s="401" t="s">
        <v>588</v>
      </c>
      <c r="D10" s="402">
        <v>8.5199999999999998E-2</v>
      </c>
      <c r="E10" s="403">
        <f t="shared" si="0"/>
        <v>7.1000000000000004E-3</v>
      </c>
    </row>
    <row r="11" spans="1:5">
      <c r="B11" s="400" t="s">
        <v>1254</v>
      </c>
      <c r="C11" s="401" t="s">
        <v>588</v>
      </c>
      <c r="D11" s="402">
        <v>8.0399999999999999E-2</v>
      </c>
      <c r="E11" s="403">
        <f t="shared" si="0"/>
        <v>6.7000000000000002E-3</v>
      </c>
    </row>
    <row r="12" spans="1:5">
      <c r="B12" s="400" t="s">
        <v>1255</v>
      </c>
      <c r="C12" s="401" t="s">
        <v>588</v>
      </c>
      <c r="D12" s="402">
        <v>7.5499999999999998E-2</v>
      </c>
      <c r="E12" s="403">
        <f t="shared" si="0"/>
        <v>6.3E-3</v>
      </c>
    </row>
    <row r="13" spans="1:5">
      <c r="B13" s="400" t="s">
        <v>1256</v>
      </c>
      <c r="C13" s="401" t="s">
        <v>588</v>
      </c>
      <c r="D13" s="402">
        <v>7.4999999999999997E-2</v>
      </c>
      <c r="E13" s="403">
        <f t="shared" si="0"/>
        <v>6.3E-3</v>
      </c>
    </row>
    <row r="14" spans="1:5" s="391" customFormat="1">
      <c r="B14" s="400"/>
      <c r="C14" s="401"/>
      <c r="D14" s="404"/>
    </row>
    <row r="15" spans="1:5" s="391" customFormat="1">
      <c r="B15" s="393"/>
      <c r="C15" s="405" t="str">
        <f>IF($E$18&lt;0,"Average FERC Rate","Average ST Debt Rate")</f>
        <v>Average FERC Rate</v>
      </c>
      <c r="D15" s="406"/>
      <c r="E15" s="415">
        <f>IF(E18&lt;0,AVERAGE(E7:E14)*12,SUM(E7:E14))</f>
        <v>8.1771428571428578E-2</v>
      </c>
    </row>
    <row r="16" spans="1:5" s="391" customFormat="1">
      <c r="B16" s="393"/>
      <c r="C16" s="405"/>
      <c r="D16" s="406"/>
      <c r="E16" s="406"/>
    </row>
    <row r="17" spans="2:6" s="391" customFormat="1">
      <c r="B17" s="393"/>
      <c r="C17" s="405"/>
      <c r="D17" s="406"/>
      <c r="E17" s="406"/>
    </row>
    <row r="18" spans="2:6" s="391" customFormat="1">
      <c r="D18" s="405" t="str">
        <f>IF(E18&lt;0,"Over Collected Amount","Under Collected Amount")</f>
        <v>Over Collected Amount</v>
      </c>
      <c r="E18" s="505">
        <v>-5272354.1292607803</v>
      </c>
      <c r="F18" s="392"/>
    </row>
    <row r="19" spans="2:6" s="391" customFormat="1">
      <c r="D19" s="405"/>
      <c r="E19" s="407"/>
    </row>
    <row r="20" spans="2:6" s="391" customFormat="1">
      <c r="D20" s="405" t="str">
        <f>IF(E18&lt;0,"Months","Year")</f>
        <v>Months</v>
      </c>
      <c r="E20" s="391">
        <v>2</v>
      </c>
    </row>
    <row r="21" spans="2:6" s="391" customFormat="1">
      <c r="D21" s="405" t="s">
        <v>797</v>
      </c>
      <c r="E21" s="408">
        <f>ROUND(IF(E18&lt;0,-FV(E15/4,E20*4,0,E18)-E18,FV(E15/4,E20*4,0,-E18)-E18),2)</f>
        <v>-926538.21</v>
      </c>
    </row>
    <row r="22" spans="2:6" s="391" customFormat="1"/>
    <row r="23" spans="2:6" s="391" customFormat="1" ht="15.75" thickBot="1">
      <c r="E23" s="410">
        <f>E18+E21</f>
        <v>-6198892.3392607803</v>
      </c>
    </row>
    <row r="24" spans="2:6" s="391" customFormat="1" ht="15.75" thickTop="1"/>
    <row r="25" spans="2:6" s="391" customFormat="1"/>
    <row r="26" spans="2:6" s="391" customFormat="1"/>
    <row r="27" spans="2:6" s="391" customFormat="1"/>
    <row r="28" spans="2:6" s="391" customFormat="1"/>
    <row r="29" spans="2:6" s="391" customFormat="1"/>
    <row r="30" spans="2:6" s="391" customFormat="1"/>
    <row r="31" spans="2:6" s="391" customFormat="1"/>
  </sheetData>
  <pageMargins left="0.7" right="0.7" top="0.75" bottom="0.75" header="0.3" footer="0.3"/>
  <pageSetup orientation="portrait" verticalDpi="597"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D00E-FDC1-4754-9398-DD108297C3B8}">
  <sheetPr codeName="Sheet23">
    <tabColor rgb="FF00FFFF"/>
    <pageSetUpPr fitToPage="1"/>
  </sheetPr>
  <dimension ref="A2:H36"/>
  <sheetViews>
    <sheetView showGridLines="0" view="pageBreakPreview" zoomScaleNormal="85" zoomScaleSheetLayoutView="100" workbookViewId="0">
      <selection activeCell="G26" sqref="G26"/>
    </sheetView>
  </sheetViews>
  <sheetFormatPr defaultColWidth="9.140625" defaultRowHeight="15"/>
  <cols>
    <col min="1" max="1" width="5.5703125" style="249" customWidth="1"/>
    <col min="2" max="2" width="19.140625" style="247" customWidth="1"/>
    <col min="3" max="3" width="16.42578125" style="247" customWidth="1"/>
    <col min="4" max="4" width="15.28515625" style="247" customWidth="1"/>
    <col min="5" max="5" width="37.42578125" style="247" bestFit="1" customWidth="1"/>
    <col min="6" max="6" width="4" style="247" customWidth="1"/>
    <col min="7" max="7" width="12.7109375" style="247" customWidth="1"/>
    <col min="8" max="8" width="9.140625" style="248"/>
    <col min="9" max="16384" width="9.140625" style="247"/>
  </cols>
  <sheetData>
    <row r="2" spans="1:7" ht="18.75">
      <c r="B2" s="262" t="s">
        <v>708</v>
      </c>
    </row>
    <row r="4" spans="1:7">
      <c r="B4" s="247" t="s">
        <v>707</v>
      </c>
      <c r="C4" s="261" t="s">
        <v>349</v>
      </c>
      <c r="D4" s="261"/>
    </row>
    <row r="6" spans="1:7">
      <c r="B6" s="247" t="s">
        <v>706</v>
      </c>
      <c r="C6" s="260">
        <v>2026</v>
      </c>
    </row>
    <row r="7" spans="1:7">
      <c r="B7" s="247" t="s">
        <v>705</v>
      </c>
      <c r="C7" s="260">
        <f>C6-2</f>
        <v>2024</v>
      </c>
      <c r="D7" s="247" t="s">
        <v>29</v>
      </c>
    </row>
    <row r="8" spans="1:7">
      <c r="C8" s="249"/>
    </row>
    <row r="9" spans="1:7">
      <c r="B9" s="247" t="s">
        <v>704</v>
      </c>
      <c r="C9" s="260" t="s">
        <v>703</v>
      </c>
    </row>
    <row r="11" spans="1:7">
      <c r="B11" s="258" t="s">
        <v>62</v>
      </c>
      <c r="C11" s="259"/>
      <c r="D11" s="259"/>
      <c r="E11" s="258" t="s">
        <v>63</v>
      </c>
      <c r="F11" s="259"/>
      <c r="G11" s="258" t="s">
        <v>64</v>
      </c>
    </row>
    <row r="12" spans="1:7">
      <c r="A12" s="247"/>
      <c r="E12" s="256" t="s">
        <v>67</v>
      </c>
      <c r="G12" s="256" t="s">
        <v>702</v>
      </c>
    </row>
    <row r="13" spans="1:7">
      <c r="A13" s="256" t="s">
        <v>8</v>
      </c>
      <c r="E13" s="256" t="s">
        <v>69</v>
      </c>
      <c r="G13" s="256" t="s">
        <v>15</v>
      </c>
    </row>
    <row r="14" spans="1:7">
      <c r="A14" s="257" t="s">
        <v>10</v>
      </c>
      <c r="E14" s="256"/>
      <c r="G14" s="256"/>
    </row>
    <row r="15" spans="1:7">
      <c r="A15" s="249">
        <v>1</v>
      </c>
      <c r="B15" s="247" t="s">
        <v>701</v>
      </c>
      <c r="E15" s="247" t="s">
        <v>700</v>
      </c>
      <c r="G15" s="255">
        <f>'Revenue (pg.4)'!J17</f>
        <v>18273513</v>
      </c>
    </row>
    <row r="16" spans="1:7">
      <c r="A16" s="249">
        <v>2</v>
      </c>
      <c r="B16" s="247" t="s">
        <v>699</v>
      </c>
      <c r="E16" s="247" t="s">
        <v>698</v>
      </c>
      <c r="G16" s="255">
        <v>0</v>
      </c>
    </row>
    <row r="17" spans="1:7">
      <c r="A17" s="249">
        <v>3</v>
      </c>
      <c r="B17" s="247" t="s">
        <v>697</v>
      </c>
      <c r="E17" s="247" t="s">
        <v>696</v>
      </c>
      <c r="G17" s="255">
        <v>0</v>
      </c>
    </row>
    <row r="18" spans="1:7">
      <c r="A18" s="249">
        <v>4</v>
      </c>
      <c r="B18" s="247" t="s">
        <v>695</v>
      </c>
      <c r="E18" s="247" t="s">
        <v>694</v>
      </c>
      <c r="G18" s="253">
        <f>SUM(G15:G17)</f>
        <v>18273513</v>
      </c>
    </row>
    <row r="20" spans="1:7">
      <c r="A20" s="249">
        <v>5</v>
      </c>
      <c r="B20" s="247" t="s">
        <v>693</v>
      </c>
      <c r="E20" s="247" t="s">
        <v>692</v>
      </c>
      <c r="G20" s="255">
        <v>0</v>
      </c>
    </row>
    <row r="22" spans="1:7">
      <c r="A22" s="249">
        <v>6</v>
      </c>
      <c r="B22" s="247" t="s">
        <v>691</v>
      </c>
      <c r="G22" s="255">
        <v>0</v>
      </c>
    </row>
    <row r="24" spans="1:7">
      <c r="A24" s="249">
        <v>7</v>
      </c>
      <c r="B24" s="247" t="s">
        <v>690</v>
      </c>
      <c r="E24" s="247" t="str">
        <f>"(Line "&amp;A18&amp;" - Line "&amp;A20&amp;" - Line "&amp;A22&amp;")"</f>
        <v>(Line 4 - Line 5 - Line 6)</v>
      </c>
      <c r="G24" s="253">
        <f>+G18-G20-G22</f>
        <v>18273513</v>
      </c>
    </row>
    <row r="26" spans="1:7">
      <c r="A26" s="249">
        <v>8</v>
      </c>
      <c r="B26" s="247" t="s">
        <v>689</v>
      </c>
      <c r="G26" s="254">
        <f>'Sch 1 TU Interest'!E37</f>
        <v>1706263.83</v>
      </c>
    </row>
    <row r="28" spans="1:7">
      <c r="A28" s="249">
        <v>9</v>
      </c>
      <c r="B28" s="247" t="s">
        <v>688</v>
      </c>
      <c r="E28" s="247" t="str">
        <f>"(Line "&amp;A24&amp;" + Line "&amp;A26&amp;")"</f>
        <v>(Line 7 + Line 8)</v>
      </c>
      <c r="G28" s="253">
        <f>+G24+G26</f>
        <v>19979776.829999998</v>
      </c>
    </row>
    <row r="29" spans="1:7">
      <c r="G29" s="252"/>
    </row>
    <row r="31" spans="1:7">
      <c r="A31" s="249" t="s">
        <v>279</v>
      </c>
    </row>
    <row r="32" spans="1:7">
      <c r="A32" s="251" t="s">
        <v>280</v>
      </c>
    </row>
    <row r="33" spans="1:7" ht="15" customHeight="1">
      <c r="A33" s="250" t="s">
        <v>281</v>
      </c>
      <c r="B33" s="1022" t="s">
        <v>687</v>
      </c>
      <c r="C33" s="1022"/>
      <c r="D33" s="1022"/>
      <c r="E33" s="1022"/>
      <c r="F33" s="1022"/>
      <c r="G33" s="1022"/>
    </row>
    <row r="34" spans="1:7" ht="32.25" customHeight="1">
      <c r="A34" s="250" t="s">
        <v>283</v>
      </c>
      <c r="B34" s="1022" t="s">
        <v>686</v>
      </c>
      <c r="C34" s="1022"/>
      <c r="D34" s="1022"/>
      <c r="E34" s="1022"/>
      <c r="F34" s="1022"/>
      <c r="G34" s="1022"/>
    </row>
    <row r="35" spans="1:7" ht="62.25" customHeight="1">
      <c r="A35" s="250" t="s">
        <v>285</v>
      </c>
      <c r="B35" s="1022" t="s">
        <v>685</v>
      </c>
      <c r="C35" s="1022"/>
      <c r="D35" s="1022"/>
      <c r="E35" s="1022"/>
      <c r="F35" s="1022"/>
      <c r="G35" s="1022"/>
    </row>
    <row r="36" spans="1:7" ht="32.25" customHeight="1">
      <c r="A36" s="250" t="s">
        <v>287</v>
      </c>
      <c r="B36" s="1022" t="s">
        <v>684</v>
      </c>
      <c r="C36" s="1022"/>
      <c r="D36" s="1022"/>
      <c r="E36" s="1022"/>
      <c r="F36" s="1022"/>
      <c r="G36" s="1022"/>
    </row>
  </sheetData>
  <mergeCells count="4">
    <mergeCell ref="B33:G33"/>
    <mergeCell ref="B34:G34"/>
    <mergeCell ref="B35:G35"/>
    <mergeCell ref="B36:G36"/>
  </mergeCells>
  <pageMargins left="0.5" right="0.19" top="0.8" bottom="0.5" header="0.3" footer="0.3"/>
  <pageSetup scale="90" orientation="portrait" r:id="rId1"/>
  <headerFooter>
    <oddHeader xml:space="preserve">&amp;R
</oddHeader>
  </headerFooter>
  <rowBreaks count="1" manualBreakCount="1">
    <brk id="41"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EC8B-1BE5-4BC1-AA14-EFDE20598D53}">
  <sheetPr codeName="Sheet24">
    <pageSetUpPr fitToPage="1"/>
  </sheetPr>
  <dimension ref="A2:W38"/>
  <sheetViews>
    <sheetView showGridLines="0" zoomScale="85" zoomScaleNormal="85" zoomScaleSheetLayoutView="100" workbookViewId="0">
      <selection activeCell="G24" sqref="G24"/>
    </sheetView>
  </sheetViews>
  <sheetFormatPr defaultColWidth="9.140625" defaultRowHeight="15"/>
  <cols>
    <col min="1" max="1" width="5.5703125" style="249" customWidth="1"/>
    <col min="2" max="2" width="19.140625" style="247" customWidth="1"/>
    <col min="3" max="3" width="20.28515625" style="247" customWidth="1"/>
    <col min="4" max="4" width="15.28515625" style="247" customWidth="1"/>
    <col min="5" max="5" width="37.42578125" style="247" bestFit="1" customWidth="1"/>
    <col min="6" max="6" width="4" style="247" customWidth="1"/>
    <col min="7" max="7" width="12.7109375" style="247" customWidth="1"/>
    <col min="8" max="8" width="9.140625" style="248"/>
    <col min="9" max="10" width="11.28515625" style="247" bestFit="1" customWidth="1"/>
    <col min="11" max="22" width="12.85546875" style="247" bestFit="1" customWidth="1"/>
    <col min="23" max="23" width="14" style="247" bestFit="1" customWidth="1"/>
    <col min="24" max="16384" width="9.140625" style="247"/>
  </cols>
  <sheetData>
    <row r="2" spans="1:7" ht="18.75">
      <c r="B2" s="262" t="s">
        <v>722</v>
      </c>
    </row>
    <row r="4" spans="1:7">
      <c r="B4" s="247" t="s">
        <v>707</v>
      </c>
      <c r="C4" s="261" t="s">
        <v>349</v>
      </c>
      <c r="D4" s="261"/>
    </row>
    <row r="6" spans="1:7">
      <c r="B6" s="247" t="s">
        <v>705</v>
      </c>
      <c r="C6" s="260">
        <f>'Sch 1'!C7</f>
        <v>2024</v>
      </c>
    </row>
    <row r="9" spans="1:7">
      <c r="B9" s="263" t="s">
        <v>62</v>
      </c>
      <c r="E9" s="263" t="s">
        <v>63</v>
      </c>
      <c r="G9" s="263" t="s">
        <v>64</v>
      </c>
    </row>
    <row r="10" spans="1:7">
      <c r="E10" s="256" t="s">
        <v>67</v>
      </c>
      <c r="G10" s="256" t="s">
        <v>702</v>
      </c>
    </row>
    <row r="11" spans="1:7">
      <c r="A11" s="249" t="s">
        <v>8</v>
      </c>
      <c r="E11" s="256" t="s">
        <v>69</v>
      </c>
      <c r="G11" s="256" t="s">
        <v>15</v>
      </c>
    </row>
    <row r="12" spans="1:7">
      <c r="A12" s="251" t="s">
        <v>10</v>
      </c>
    </row>
    <row r="13" spans="1:7">
      <c r="A13" s="249">
        <v>1</v>
      </c>
      <c r="B13" s="247" t="s">
        <v>721</v>
      </c>
      <c r="E13" s="247" t="s">
        <v>700</v>
      </c>
      <c r="G13" s="255">
        <v>3716636</v>
      </c>
    </row>
    <row r="14" spans="1:7">
      <c r="A14" s="249">
        <f>+A13+1</f>
        <v>2</v>
      </c>
      <c r="B14" s="247" t="s">
        <v>699</v>
      </c>
      <c r="E14" s="247" t="s">
        <v>698</v>
      </c>
      <c r="G14" s="255">
        <v>13565420</v>
      </c>
    </row>
    <row r="15" spans="1:7">
      <c r="A15" s="249">
        <f>+A14+1</f>
        <v>3</v>
      </c>
      <c r="B15" s="247" t="s">
        <v>697</v>
      </c>
      <c r="E15" s="247" t="s">
        <v>696</v>
      </c>
      <c r="G15" s="255">
        <v>0</v>
      </c>
    </row>
    <row r="16" spans="1:7">
      <c r="A16" s="249">
        <f>+A15+1</f>
        <v>4</v>
      </c>
      <c r="B16" s="247" t="s">
        <v>720</v>
      </c>
      <c r="G16" s="253">
        <f>SUM(G13:G15)</f>
        <v>17282056</v>
      </c>
    </row>
    <row r="18" spans="1:23">
      <c r="A18" s="249">
        <f>+A16+1</f>
        <v>5</v>
      </c>
      <c r="B18" s="247" t="s">
        <v>719</v>
      </c>
      <c r="E18" s="247" t="s">
        <v>718</v>
      </c>
      <c r="G18" s="255">
        <v>0</v>
      </c>
    </row>
    <row r="19" spans="1:23">
      <c r="H19" s="247"/>
    </row>
    <row r="20" spans="1:23">
      <c r="A20" s="249">
        <f>+A18+1</f>
        <v>6</v>
      </c>
      <c r="B20" s="247" t="s">
        <v>717</v>
      </c>
      <c r="E20" s="247" t="str">
        <f>"(Line "&amp;A16&amp;" - Line "&amp;A18&amp;")"</f>
        <v>(Line 4 - Line 5)</v>
      </c>
      <c r="G20" s="253">
        <f>+G16-G18</f>
        <v>17282056</v>
      </c>
      <c r="I20" s="252"/>
    </row>
    <row r="21" spans="1:23">
      <c r="B21" s="249"/>
      <c r="C21" s="249"/>
      <c r="D21" s="249"/>
      <c r="G21" s="252"/>
    </row>
    <row r="22" spans="1:23">
      <c r="A22" s="249">
        <f>+A20+1</f>
        <v>7</v>
      </c>
      <c r="B22" s="247" t="s">
        <v>716</v>
      </c>
      <c r="E22" s="247" t="s">
        <v>715</v>
      </c>
      <c r="G22" s="255">
        <v>15739162</v>
      </c>
      <c r="I22" s="252"/>
      <c r="J22" s="252"/>
    </row>
    <row r="24" spans="1:23">
      <c r="A24" s="249">
        <f>A22+1</f>
        <v>8</v>
      </c>
      <c r="B24" s="247" t="s">
        <v>714</v>
      </c>
      <c r="E24" s="247" t="str">
        <f>"(Line "&amp;A20&amp;" - Line "&amp;A22&amp;")"</f>
        <v>(Line 6 - Line 7)</v>
      </c>
      <c r="G24" s="252">
        <f>+G20-G22</f>
        <v>1542894</v>
      </c>
      <c r="K24" s="463"/>
      <c r="L24" s="463"/>
      <c r="M24" s="463"/>
      <c r="N24" s="463"/>
      <c r="O24" s="463"/>
      <c r="P24" s="463"/>
      <c r="Q24" s="463"/>
      <c r="R24" s="463"/>
      <c r="S24" s="463"/>
      <c r="T24" s="463"/>
      <c r="U24" s="463"/>
      <c r="V24" s="463"/>
      <c r="W24" s="463"/>
    </row>
    <row r="27" spans="1:23">
      <c r="A27" s="249" t="s">
        <v>280</v>
      </c>
    </row>
    <row r="28" spans="1:23">
      <c r="A28" s="251" t="s">
        <v>279</v>
      </c>
    </row>
    <row r="29" spans="1:23">
      <c r="A29" s="250" t="s">
        <v>281</v>
      </c>
      <c r="B29" s="1023" t="s">
        <v>713</v>
      </c>
      <c r="C29" s="1023"/>
      <c r="D29" s="1023"/>
      <c r="E29" s="1023"/>
      <c r="F29" s="1023"/>
      <c r="G29" s="1023"/>
    </row>
    <row r="30" spans="1:23">
      <c r="A30" s="250" t="s">
        <v>283</v>
      </c>
      <c r="B30" s="1023" t="s">
        <v>712</v>
      </c>
      <c r="C30" s="1023"/>
      <c r="D30" s="1023"/>
      <c r="E30" s="1023"/>
      <c r="F30" s="1023"/>
      <c r="G30" s="1023"/>
    </row>
    <row r="31" spans="1:23">
      <c r="A31" s="250" t="s">
        <v>285</v>
      </c>
      <c r="B31" s="1023" t="s">
        <v>711</v>
      </c>
      <c r="C31" s="1023"/>
      <c r="D31" s="1023"/>
      <c r="E31" s="1023"/>
      <c r="F31" s="1023"/>
      <c r="G31" s="1023"/>
    </row>
    <row r="32" spans="1:23" ht="15" customHeight="1">
      <c r="A32" s="250" t="s">
        <v>287</v>
      </c>
      <c r="B32" s="1023" t="s">
        <v>710</v>
      </c>
      <c r="C32" s="1023"/>
      <c r="D32" s="1023"/>
      <c r="E32" s="1023"/>
      <c r="F32" s="1023"/>
      <c r="G32" s="1023"/>
    </row>
    <row r="33" spans="1:7" ht="30" customHeight="1">
      <c r="A33" s="250" t="s">
        <v>288</v>
      </c>
      <c r="B33" s="1023" t="s">
        <v>709</v>
      </c>
      <c r="C33" s="1023"/>
      <c r="D33" s="1023"/>
      <c r="E33" s="1023"/>
      <c r="F33" s="1023"/>
      <c r="G33" s="1023"/>
    </row>
    <row r="34" spans="1:7" ht="15" customHeight="1">
      <c r="A34" s="250"/>
      <c r="B34" s="1023"/>
      <c r="C34" s="1023"/>
      <c r="D34" s="1023"/>
      <c r="E34" s="1023"/>
      <c r="F34" s="1023"/>
      <c r="G34" s="1023"/>
    </row>
    <row r="35" spans="1:7">
      <c r="A35" s="250"/>
      <c r="B35" s="1023"/>
      <c r="C35" s="1023"/>
      <c r="D35" s="1023"/>
      <c r="E35" s="1023"/>
      <c r="F35" s="1023"/>
      <c r="G35" s="1023"/>
    </row>
    <row r="38" spans="1:7">
      <c r="B38" s="249"/>
    </row>
  </sheetData>
  <mergeCells count="7">
    <mergeCell ref="B35:G35"/>
    <mergeCell ref="B29:G29"/>
    <mergeCell ref="B30:G30"/>
    <mergeCell ref="B31:G31"/>
    <mergeCell ref="B32:G32"/>
    <mergeCell ref="B33:G33"/>
    <mergeCell ref="B34:G34"/>
  </mergeCells>
  <pageMargins left="0.5" right="0.19" top="0.8" bottom="0.5" header="0.3" footer="0.3"/>
  <pageSetup scale="86" orientation="portrait" r:id="rId1"/>
  <headerFooter>
    <oddHeader xml:space="preserve">&amp;R
</oddHeader>
  </headerFooter>
  <rowBreaks count="1" manualBreakCount="1">
    <brk id="76"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1D1F0-1AF0-4CC1-8749-D72FE832A49A}">
  <sheetPr codeName="Sheet36"/>
  <dimension ref="A1:E45"/>
  <sheetViews>
    <sheetView zoomScaleNormal="100" zoomScaleSheetLayoutView="100" workbookViewId="0">
      <pane xSplit="1" ySplit="5" topLeftCell="B6" activePane="bottomRight" state="frozen"/>
      <selection activeCell="B3" sqref="B3"/>
      <selection pane="topRight" activeCell="B3" sqref="B3"/>
      <selection pane="bottomLeft" activeCell="B3" sqref="B3"/>
      <selection pane="bottomRight" activeCell="E37" sqref="E37"/>
    </sheetView>
  </sheetViews>
  <sheetFormatPr defaultColWidth="9.140625" defaultRowHeight="15"/>
  <cols>
    <col min="1" max="1" width="9.140625" style="391"/>
    <col min="2" max="2" width="34.140625" style="397" customWidth="1"/>
    <col min="3" max="5" width="15.5703125" style="397" customWidth="1"/>
    <col min="6" max="16384" width="9.140625" style="397"/>
  </cols>
  <sheetData>
    <row r="1" spans="1:5">
      <c r="A1" s="395"/>
    </row>
    <row r="2" spans="1:5">
      <c r="B2" s="396" t="s">
        <v>1281</v>
      </c>
      <c r="C2" s="394"/>
      <c r="D2" s="394"/>
      <c r="E2" s="391"/>
    </row>
    <row r="3" spans="1:5">
      <c r="B3" s="386" t="s">
        <v>1249</v>
      </c>
      <c r="C3" s="394"/>
      <c r="D3" s="394"/>
      <c r="E3" s="391"/>
    </row>
    <row r="4" spans="1:5">
      <c r="B4" s="394" t="s">
        <v>799</v>
      </c>
      <c r="C4" s="394"/>
      <c r="D4" s="394"/>
      <c r="E4" s="391"/>
    </row>
    <row r="5" spans="1:5" ht="30">
      <c r="B5" s="398" t="str">
        <f>IF($E$32&lt;0,"Applicable Annual Quarter","Month")</f>
        <v>Month</v>
      </c>
      <c r="C5" s="398" t="str">
        <f>IF($E$32&lt;0,"","Debt Amount")</f>
        <v>Debt Amount</v>
      </c>
      <c r="D5" s="398" t="str">
        <f>IF($E$32&lt;0,"Annual Rate","Monthly Effective Rate")</f>
        <v>Monthly Effective Rate</v>
      </c>
      <c r="E5" s="398" t="str">
        <f>IF($E$32&lt;0,"Monthly Rate","Weighted Effective Rate")</f>
        <v>Weighted Effective Rate</v>
      </c>
    </row>
    <row r="6" spans="1:5">
      <c r="B6" s="391"/>
      <c r="C6" s="391"/>
      <c r="D6" s="399"/>
      <c r="E6" s="391"/>
    </row>
    <row r="7" spans="1:5">
      <c r="B7" s="400" t="s">
        <v>1258</v>
      </c>
      <c r="C7" s="401">
        <v>206614032.25806451</v>
      </c>
      <c r="D7" s="402">
        <v>5.5574999999999999E-2</v>
      </c>
      <c r="E7" s="403">
        <f t="shared" ref="E7:E13" si="0">IF($E$32&lt;0,ROUND(D7/12,4),$C7/SUM($C$7:$C$27)*$D7)</f>
        <v>2.2265301640943592E-3</v>
      </c>
    </row>
    <row r="8" spans="1:5">
      <c r="B8" s="400" t="s">
        <v>1259</v>
      </c>
      <c r="C8" s="401">
        <v>253677103.44827586</v>
      </c>
      <c r="D8" s="402">
        <v>5.5566999999999998E-2</v>
      </c>
      <c r="E8" s="403">
        <f t="shared" si="0"/>
        <v>2.7333013688014126E-3</v>
      </c>
    </row>
    <row r="9" spans="1:5">
      <c r="B9" s="400" t="s">
        <v>1260</v>
      </c>
      <c r="C9" s="401">
        <v>280921838.7096774</v>
      </c>
      <c r="D9" s="402">
        <v>5.5572000000000003E-2</v>
      </c>
      <c r="E9" s="403">
        <f t="shared" si="0"/>
        <v>3.0271282964219686E-3</v>
      </c>
    </row>
    <row r="10" spans="1:5">
      <c r="B10" s="400" t="s">
        <v>1261</v>
      </c>
      <c r="C10" s="401">
        <v>264113399.99999997</v>
      </c>
      <c r="D10" s="402">
        <v>5.5572999999999997E-2</v>
      </c>
      <c r="E10" s="403">
        <f t="shared" si="0"/>
        <v>2.8460568858251867E-3</v>
      </c>
    </row>
    <row r="11" spans="1:5">
      <c r="B11" s="400" t="s">
        <v>1262</v>
      </c>
      <c r="C11" s="401">
        <v>201829741.93548372</v>
      </c>
      <c r="D11" s="402">
        <v>5.5562E-2</v>
      </c>
      <c r="E11" s="403">
        <f t="shared" si="0"/>
        <v>2.174464557852274E-3</v>
      </c>
    </row>
    <row r="12" spans="1:5">
      <c r="B12" s="400" t="s">
        <v>1263</v>
      </c>
      <c r="C12" s="401">
        <v>230908366.66666657</v>
      </c>
      <c r="D12" s="402">
        <v>5.5577000000000001E-2</v>
      </c>
      <c r="E12" s="403">
        <f t="shared" si="0"/>
        <v>2.4884222040020281E-3</v>
      </c>
    </row>
    <row r="13" spans="1:5">
      <c r="B13" s="400" t="s">
        <v>1264</v>
      </c>
      <c r="C13" s="401">
        <v>161029225.80645153</v>
      </c>
      <c r="D13" s="402">
        <v>5.5573999999999998E-2</v>
      </c>
      <c r="E13" s="403">
        <f t="shared" si="0"/>
        <v>1.735264411825094E-3</v>
      </c>
    </row>
    <row r="14" spans="1:5">
      <c r="B14" s="400" t="s">
        <v>1265</v>
      </c>
      <c r="C14" s="401">
        <v>137213870.96774188</v>
      </c>
      <c r="D14" s="402">
        <v>5.5544999999999997E-2</v>
      </c>
      <c r="E14" s="403">
        <f t="shared" ref="E14:E27" si="1">IF($E$32&lt;0,"",$C14/SUM($C$7:$C$27)*$D14)</f>
        <v>1.477856567542144E-3</v>
      </c>
    </row>
    <row r="15" spans="1:5">
      <c r="B15" s="400" t="s">
        <v>1266</v>
      </c>
      <c r="C15" s="401">
        <v>131467066.66666673</v>
      </c>
      <c r="D15" s="402">
        <v>5.4132E-2</v>
      </c>
      <c r="E15" s="403">
        <f t="shared" si="1"/>
        <v>1.3799404473659796E-3</v>
      </c>
    </row>
    <row r="16" spans="1:5" s="391" customFormat="1">
      <c r="B16" s="400" t="s">
        <v>1267</v>
      </c>
      <c r="C16" s="401">
        <v>133598774.19354823</v>
      </c>
      <c r="D16" s="402">
        <v>5.1330000000000001E-2</v>
      </c>
      <c r="E16" s="403">
        <f t="shared" si="1"/>
        <v>1.3297286804000031E-3</v>
      </c>
    </row>
    <row r="17" spans="2:5" s="391" customFormat="1">
      <c r="B17" s="400" t="s">
        <v>1268</v>
      </c>
      <c r="C17" s="401">
        <v>221132099.99999991</v>
      </c>
      <c r="D17" s="402">
        <v>4.9223000000000003E-2</v>
      </c>
      <c r="E17" s="403">
        <f t="shared" si="1"/>
        <v>2.1106157165843827E-3</v>
      </c>
    </row>
    <row r="18" spans="2:5" s="391" customFormat="1">
      <c r="B18" s="400" t="s">
        <v>1269</v>
      </c>
      <c r="C18" s="401">
        <v>219313999.99999991</v>
      </c>
      <c r="D18" s="402">
        <v>4.7584000000000001E-2</v>
      </c>
      <c r="E18" s="403">
        <f t="shared" si="1"/>
        <v>2.023562399850977E-3</v>
      </c>
    </row>
    <row r="19" spans="2:5" s="391" customFormat="1">
      <c r="B19" s="400" t="s">
        <v>1270</v>
      </c>
      <c r="C19" s="401">
        <v>228202161.29032251</v>
      </c>
      <c r="D19" s="402">
        <v>4.6174E-2</v>
      </c>
      <c r="E19" s="403">
        <f t="shared" si="1"/>
        <v>2.0431796304634518E-3</v>
      </c>
    </row>
    <row r="20" spans="2:5" s="391" customFormat="1">
      <c r="B20" s="400" t="s">
        <v>1271</v>
      </c>
      <c r="C20" s="401">
        <v>277863071.42857152</v>
      </c>
      <c r="D20" s="402">
        <v>4.6071000000000001E-2</v>
      </c>
      <c r="E20" s="403">
        <f t="shared" si="1"/>
        <v>2.4822628598249134E-3</v>
      </c>
    </row>
    <row r="21" spans="2:5" s="391" customFormat="1">
      <c r="B21" s="400" t="s">
        <v>1272</v>
      </c>
      <c r="C21" s="401">
        <v>301520354.83870959</v>
      </c>
      <c r="D21" s="402">
        <v>4.6161000000000001E-2</v>
      </c>
      <c r="E21" s="403">
        <f t="shared" si="1"/>
        <v>2.6988648827722954E-3</v>
      </c>
    </row>
    <row r="22" spans="2:5" s="391" customFormat="1">
      <c r="B22" s="400" t="s">
        <v>1273</v>
      </c>
      <c r="C22" s="401">
        <v>310360533.33333343</v>
      </c>
      <c r="D22" s="402">
        <v>4.7511999999999999E-2</v>
      </c>
      <c r="E22" s="403">
        <f t="shared" si="1"/>
        <v>2.8592958907078039E-3</v>
      </c>
    </row>
    <row r="23" spans="2:5" s="391" customFormat="1">
      <c r="B23" s="400" t="s">
        <v>1274</v>
      </c>
      <c r="C23" s="401">
        <v>289535838.7096774</v>
      </c>
      <c r="D23" s="402">
        <v>4.8599000000000003E-2</v>
      </c>
      <c r="E23" s="403">
        <f t="shared" si="1"/>
        <v>2.7284685972097013E-3</v>
      </c>
    </row>
    <row r="24" spans="2:5" s="391" customFormat="1">
      <c r="B24" s="400" t="s">
        <v>1275</v>
      </c>
      <c r="C24" s="401">
        <v>307250033.33333331</v>
      </c>
      <c r="D24" s="402">
        <v>4.8578000000000003E-2</v>
      </c>
      <c r="E24" s="403">
        <f t="shared" si="1"/>
        <v>2.8941488756349981E-3</v>
      </c>
    </row>
    <row r="25" spans="2:5" s="391" customFormat="1">
      <c r="B25" s="400" t="s">
        <v>1276</v>
      </c>
      <c r="C25" s="401">
        <v>330029806.45161313</v>
      </c>
      <c r="D25" s="402">
        <v>4.8573999999999999E-2</v>
      </c>
      <c r="E25" s="403">
        <f t="shared" si="1"/>
        <v>3.1084675034572782E-3</v>
      </c>
    </row>
    <row r="26" spans="2:5" s="391" customFormat="1">
      <c r="B26" s="400" t="s">
        <v>1277</v>
      </c>
      <c r="C26" s="401">
        <v>342671354.83870977</v>
      </c>
      <c r="D26" s="402">
        <v>4.8555000000000001E-2</v>
      </c>
      <c r="E26" s="403">
        <f t="shared" si="1"/>
        <v>3.2262725901975125E-3</v>
      </c>
    </row>
    <row r="27" spans="2:5" s="391" customFormat="1">
      <c r="B27" s="400" t="s">
        <v>1278</v>
      </c>
      <c r="C27" s="401">
        <v>327908466.66666663</v>
      </c>
      <c r="D27" s="402">
        <v>4.7924000000000001E-2</v>
      </c>
      <c r="E27" s="403">
        <f t="shared" si="1"/>
        <v>3.0471581021472597E-3</v>
      </c>
    </row>
    <row r="28" spans="2:5" s="391" customFormat="1">
      <c r="B28" s="400"/>
      <c r="C28" s="401"/>
      <c r="D28" s="404"/>
    </row>
    <row r="29" spans="2:5" s="391" customFormat="1">
      <c r="B29" s="393"/>
      <c r="C29" s="405" t="str">
        <f>IF($E$32&lt;0,"Average FERC Rate","Average ST Debt Rate")</f>
        <v>Average ST Debt Rate</v>
      </c>
      <c r="D29" s="406"/>
      <c r="E29" s="415">
        <f>IF(E32&lt;0,AVERAGE(E7:E28)*12,SUM(E7:E28))</f>
        <v>5.0640990632981026E-2</v>
      </c>
    </row>
    <row r="30" spans="2:5" s="391" customFormat="1">
      <c r="B30" s="393"/>
      <c r="C30" s="405"/>
      <c r="D30" s="406"/>
      <c r="E30" s="406"/>
    </row>
    <row r="31" spans="2:5" s="391" customFormat="1">
      <c r="B31" s="393"/>
      <c r="C31" s="405"/>
      <c r="D31" s="406"/>
      <c r="E31" s="406"/>
    </row>
    <row r="32" spans="2:5" s="391" customFormat="1">
      <c r="D32" s="405" t="str">
        <f>IF(E32&lt;0,"Over Collected Amount","Under Collected Amount")</f>
        <v>Under Collected Amount</v>
      </c>
      <c r="E32" s="407">
        <f>'Sch 1 - True up'!G24</f>
        <v>1542894</v>
      </c>
    </row>
    <row r="33" spans="4:5" s="391" customFormat="1">
      <c r="D33" s="405"/>
      <c r="E33" s="407"/>
    </row>
    <row r="34" spans="4:5" s="391" customFormat="1">
      <c r="D34" s="405" t="str">
        <f>IF(E32&lt;0,"Months","Year")</f>
        <v>Year</v>
      </c>
      <c r="E34" s="391">
        <v>2</v>
      </c>
    </row>
    <row r="35" spans="4:5" s="391" customFormat="1">
      <c r="D35" s="405" t="s">
        <v>797</v>
      </c>
      <c r="E35" s="408">
        <f>ROUND(IF(E32&lt;0,-FV(E29/4,E34*4,0,E32)-E32,FV(E29/4,E34*4,0,-E32)-E32),2)</f>
        <v>163369.82999999999</v>
      </c>
    </row>
    <row r="36" spans="4:5" s="391" customFormat="1"/>
    <row r="37" spans="4:5" s="391" customFormat="1" ht="15.75" thickBot="1">
      <c r="E37" s="410">
        <f>E32+E35</f>
        <v>1706263.83</v>
      </c>
    </row>
    <row r="38" spans="4:5" s="391" customFormat="1" ht="15.75" thickTop="1"/>
    <row r="39" spans="4:5" s="391" customFormat="1"/>
    <row r="40" spans="4:5" s="391" customFormat="1"/>
    <row r="41" spans="4:5" s="391" customFormat="1"/>
    <row r="42" spans="4:5" s="391" customFormat="1"/>
    <row r="43" spans="4:5" s="391" customFormat="1"/>
    <row r="44" spans="4:5" s="391" customFormat="1"/>
    <row r="45" spans="4:5" s="391" customFormat="1"/>
  </sheetData>
  <pageMargins left="0.7" right="0.7" top="0.75" bottom="0.75" header="0.3" footer="0.3"/>
  <pageSetup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A82D8-E090-401A-924D-01A4934D7814}">
  <sheetPr codeName="Sheet6">
    <pageSetUpPr fitToPage="1"/>
  </sheetPr>
  <dimension ref="B2:L18"/>
  <sheetViews>
    <sheetView zoomScaleNormal="100" zoomScaleSheetLayoutView="100" workbookViewId="0">
      <pane xSplit="2" ySplit="4" topLeftCell="C5" activePane="bottomRight" state="frozen"/>
      <selection activeCell="C6" sqref="C6"/>
      <selection pane="topRight" activeCell="C6" sqref="C6"/>
      <selection pane="bottomLeft" activeCell="C6" sqref="C6"/>
      <selection pane="bottomRight" activeCell="I17" sqref="I17"/>
    </sheetView>
  </sheetViews>
  <sheetFormatPr defaultColWidth="9.140625" defaultRowHeight="12.75"/>
  <cols>
    <col min="1" max="1" width="9.140625" style="22"/>
    <col min="2" max="2" width="16.42578125" style="22" customWidth="1"/>
    <col min="3" max="3" width="14" style="22" bestFit="1" customWidth="1"/>
    <col min="4" max="6" width="11.5703125" style="22" customWidth="1"/>
    <col min="7" max="7" width="14" style="22" customWidth="1"/>
    <col min="8" max="8" width="12.28515625" style="22" bestFit="1" customWidth="1"/>
    <col min="9" max="9" width="15.140625" style="22" customWidth="1"/>
    <col min="10" max="10" width="11.5703125" style="22" customWidth="1"/>
    <col min="11" max="11" width="9.140625" style="22"/>
    <col min="12" max="12" width="24.28515625" style="23" customWidth="1"/>
    <col min="13" max="16384" width="9.140625" style="22"/>
  </cols>
  <sheetData>
    <row r="2" spans="2:9">
      <c r="B2" s="8" t="s">
        <v>355</v>
      </c>
    </row>
    <row r="3" spans="2:9" ht="38.25">
      <c r="B3" s="12" t="s">
        <v>348</v>
      </c>
      <c r="C3" s="24" t="s">
        <v>356</v>
      </c>
      <c r="D3" s="24" t="s">
        <v>357</v>
      </c>
      <c r="E3" s="24" t="s">
        <v>358</v>
      </c>
      <c r="F3" s="24" t="s">
        <v>359</v>
      </c>
      <c r="G3" s="24" t="s">
        <v>360</v>
      </c>
      <c r="H3" s="24" t="s">
        <v>361</v>
      </c>
      <c r="I3" s="24" t="s">
        <v>344</v>
      </c>
    </row>
    <row r="4" spans="2:9">
      <c r="B4" s="15" t="s">
        <v>351</v>
      </c>
      <c r="C4" s="25"/>
      <c r="D4" s="25"/>
      <c r="E4" s="25"/>
      <c r="F4" s="25"/>
      <c r="G4" s="25"/>
      <c r="H4" s="25"/>
      <c r="I4" s="26">
        <v>20</v>
      </c>
    </row>
    <row r="5" spans="2:9">
      <c r="B5" s="512">
        <v>45992</v>
      </c>
      <c r="C5" s="428">
        <v>1083925444.1391892</v>
      </c>
      <c r="D5" s="23">
        <v>0</v>
      </c>
      <c r="E5" s="27">
        <v>365</v>
      </c>
      <c r="F5" s="27">
        <v>365</v>
      </c>
      <c r="G5" s="28">
        <f>D5/E5*F5</f>
        <v>0</v>
      </c>
      <c r="H5" s="427">
        <v>0</v>
      </c>
      <c r="I5" s="28">
        <f>C5</f>
        <v>1083925444.1391892</v>
      </c>
    </row>
    <row r="6" spans="2:9">
      <c r="B6" s="512">
        <v>46023</v>
      </c>
      <c r="C6" s="428">
        <v>1084159886.3063414</v>
      </c>
      <c r="D6" s="28">
        <f>C6-C5</f>
        <v>234442.16715216637</v>
      </c>
      <c r="E6" s="27">
        <v>335</v>
      </c>
      <c r="F6" s="27">
        <v>365</v>
      </c>
      <c r="G6" s="28">
        <f t="shared" ref="G6:G17" si="0">D6/F6*E6</f>
        <v>215172.94793418009</v>
      </c>
      <c r="H6" s="428">
        <v>0</v>
      </c>
      <c r="I6" s="28">
        <f t="shared" ref="I6:I17" si="1">I5+G6+H6</f>
        <v>1084140617.0871234</v>
      </c>
    </row>
    <row r="7" spans="2:9">
      <c r="B7" s="513">
        <v>46054</v>
      </c>
      <c r="C7" s="428">
        <v>1084235479.1098988</v>
      </c>
      <c r="D7" s="28">
        <f t="shared" ref="D7:D17" si="2">C7-C6</f>
        <v>75592.803557395935</v>
      </c>
      <c r="E7" s="27">
        <v>307</v>
      </c>
      <c r="F7" s="27">
        <v>365</v>
      </c>
      <c r="G7" s="28">
        <f t="shared" si="0"/>
        <v>63580.79641676863</v>
      </c>
      <c r="H7" s="428">
        <v>0</v>
      </c>
      <c r="I7" s="28">
        <f t="shared" si="1"/>
        <v>1084204197.8835402</v>
      </c>
    </row>
    <row r="8" spans="2:9">
      <c r="B8" s="513">
        <v>46082</v>
      </c>
      <c r="C8" s="428">
        <v>1089016543.0944412</v>
      </c>
      <c r="D8" s="28">
        <f t="shared" si="2"/>
        <v>4781063.9845423698</v>
      </c>
      <c r="E8" s="27">
        <v>276</v>
      </c>
      <c r="F8" s="27">
        <v>365</v>
      </c>
      <c r="G8" s="28">
        <f t="shared" si="0"/>
        <v>3615270.3006402575</v>
      </c>
      <c r="H8" s="428">
        <v>0</v>
      </c>
      <c r="I8" s="28">
        <f t="shared" si="1"/>
        <v>1087819468.1841805</v>
      </c>
    </row>
    <row r="9" spans="2:9">
      <c r="B9" s="513">
        <v>46113</v>
      </c>
      <c r="C9" s="428">
        <v>1087997986.4124629</v>
      </c>
      <c r="D9" s="28">
        <f t="shared" si="2"/>
        <v>-1018556.6819782257</v>
      </c>
      <c r="E9" s="27">
        <v>246</v>
      </c>
      <c r="F9" s="27">
        <v>365</v>
      </c>
      <c r="G9" s="28">
        <f t="shared" si="0"/>
        <v>-686479.29799080419</v>
      </c>
      <c r="H9" s="428">
        <v>0</v>
      </c>
      <c r="I9" s="28">
        <f t="shared" si="1"/>
        <v>1087132988.8861897</v>
      </c>
    </row>
    <row r="10" spans="2:9">
      <c r="B10" s="513">
        <v>46143</v>
      </c>
      <c r="C10" s="428">
        <v>1087131546.0860043</v>
      </c>
      <c r="D10" s="28">
        <f t="shared" si="2"/>
        <v>-866440.32645869255</v>
      </c>
      <c r="E10" s="27">
        <v>215</v>
      </c>
      <c r="F10" s="27">
        <v>365</v>
      </c>
      <c r="G10" s="28">
        <f t="shared" si="0"/>
        <v>-510368.95942087367</v>
      </c>
      <c r="H10" s="428">
        <v>0</v>
      </c>
      <c r="I10" s="28">
        <f t="shared" si="1"/>
        <v>1086622619.9267688</v>
      </c>
    </row>
    <row r="11" spans="2:9">
      <c r="B11" s="513">
        <v>46174</v>
      </c>
      <c r="C11" s="428">
        <v>1087555441.6455836</v>
      </c>
      <c r="D11" s="28">
        <f t="shared" si="2"/>
        <v>423895.55957937241</v>
      </c>
      <c r="E11" s="27">
        <v>185</v>
      </c>
      <c r="F11" s="27">
        <v>365</v>
      </c>
      <c r="G11" s="28">
        <f t="shared" si="0"/>
        <v>214851.17403338055</v>
      </c>
      <c r="H11" s="428">
        <v>0</v>
      </c>
      <c r="I11" s="28">
        <f t="shared" si="1"/>
        <v>1086837471.1008022</v>
      </c>
    </row>
    <row r="12" spans="2:9">
      <c r="B12" s="513">
        <v>46204</v>
      </c>
      <c r="C12" s="428">
        <v>1088304212.2431889</v>
      </c>
      <c r="D12" s="28">
        <f t="shared" si="2"/>
        <v>748770.59760522842</v>
      </c>
      <c r="E12" s="27">
        <v>154</v>
      </c>
      <c r="F12" s="27">
        <v>365</v>
      </c>
      <c r="G12" s="28">
        <f t="shared" si="0"/>
        <v>315919.64940056211</v>
      </c>
      <c r="H12" s="428">
        <v>0</v>
      </c>
      <c r="I12" s="28">
        <f t="shared" si="1"/>
        <v>1087153390.7502027</v>
      </c>
    </row>
    <row r="13" spans="2:9">
      <c r="B13" s="513">
        <v>46235</v>
      </c>
      <c r="C13" s="428">
        <v>1087514150.2130837</v>
      </c>
      <c r="D13" s="28">
        <f t="shared" si="2"/>
        <v>-790062.03010511398</v>
      </c>
      <c r="E13" s="27">
        <v>123</v>
      </c>
      <c r="F13" s="27">
        <v>365</v>
      </c>
      <c r="G13" s="28">
        <f t="shared" si="0"/>
        <v>-266240.08137788775</v>
      </c>
      <c r="H13" s="428">
        <v>0</v>
      </c>
      <c r="I13" s="28">
        <f t="shared" si="1"/>
        <v>1086887150.6688247</v>
      </c>
    </row>
    <row r="14" spans="2:9">
      <c r="B14" s="513">
        <v>46266</v>
      </c>
      <c r="C14" s="428">
        <v>1086846818.5510383</v>
      </c>
      <c r="D14" s="28">
        <f t="shared" si="2"/>
        <v>-667331.66204547882</v>
      </c>
      <c r="E14" s="27">
        <v>93</v>
      </c>
      <c r="F14" s="27">
        <v>365</v>
      </c>
      <c r="G14" s="28">
        <f t="shared" si="0"/>
        <v>-170032.45087734118</v>
      </c>
      <c r="H14" s="428">
        <v>0</v>
      </c>
      <c r="I14" s="28">
        <f t="shared" si="1"/>
        <v>1086717118.2179472</v>
      </c>
    </row>
    <row r="15" spans="2:9">
      <c r="B15" s="513">
        <v>46296</v>
      </c>
      <c r="C15" s="428">
        <v>1087693885.6634803</v>
      </c>
      <c r="D15" s="28">
        <f t="shared" si="2"/>
        <v>847067.1124420166</v>
      </c>
      <c r="E15" s="27">
        <v>62</v>
      </c>
      <c r="F15" s="27">
        <v>365</v>
      </c>
      <c r="G15" s="28">
        <f t="shared" si="0"/>
        <v>143885.37252439733</v>
      </c>
      <c r="H15" s="428">
        <v>0</v>
      </c>
      <c r="I15" s="28">
        <f t="shared" si="1"/>
        <v>1086861003.5904717</v>
      </c>
    </row>
    <row r="16" spans="2:9" ht="13.5" thickBot="1">
      <c r="B16" s="513">
        <v>46327</v>
      </c>
      <c r="C16" s="428">
        <v>1087323401.9506373</v>
      </c>
      <c r="D16" s="28">
        <f t="shared" si="2"/>
        <v>-370483.71284294128</v>
      </c>
      <c r="E16" s="27">
        <v>32</v>
      </c>
      <c r="F16" s="27">
        <v>365</v>
      </c>
      <c r="G16" s="28">
        <f t="shared" si="0"/>
        <v>-32480.763865682522</v>
      </c>
      <c r="H16" s="428">
        <v>0</v>
      </c>
      <c r="I16" s="28">
        <f t="shared" si="1"/>
        <v>1086828522.826606</v>
      </c>
    </row>
    <row r="17" spans="2:9" ht="13.5" thickBot="1">
      <c r="B17" s="512">
        <v>46357</v>
      </c>
      <c r="C17" s="428">
        <v>1086073529.0732191</v>
      </c>
      <c r="D17" s="28">
        <f t="shared" si="2"/>
        <v>-1249872.8774182796</v>
      </c>
      <c r="E17" s="27">
        <v>1</v>
      </c>
      <c r="F17" s="27">
        <v>365</v>
      </c>
      <c r="G17" s="28">
        <f t="shared" si="0"/>
        <v>-3424.3092532007663</v>
      </c>
      <c r="H17" s="428">
        <v>0</v>
      </c>
      <c r="I17" s="426">
        <f t="shared" si="1"/>
        <v>1086825098.5173528</v>
      </c>
    </row>
    <row r="18" spans="2:9">
      <c r="B18" s="10"/>
      <c r="C18" s="29"/>
      <c r="D18" s="29"/>
      <c r="E18" s="29"/>
      <c r="F18" s="29"/>
      <c r="G18" s="29"/>
      <c r="H18" s="29"/>
    </row>
  </sheetData>
  <pageMargins left="0.7" right="0.7" top="0.75" bottom="0.75" header="0.3" footer="0.3"/>
  <pageSetup orientation="landscape" r:id="rId1"/>
  <headerFooter>
    <oddHeader xml:space="preserve">&amp;R
</oddHeader>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A3DFD-D332-436A-8005-D00FCACEF3A2}">
  <sheetPr codeName="Sheet7">
    <pageSetUpPr fitToPage="1"/>
  </sheetPr>
  <dimension ref="A1:XEZ59"/>
  <sheetViews>
    <sheetView zoomScaleNormal="100" zoomScaleSheetLayoutView="100" workbookViewId="0">
      <pane ySplit="1" topLeftCell="A2" activePane="bottomLeft" state="frozen"/>
      <selection pane="bottomLeft" activeCell="C17" sqref="C17"/>
    </sheetView>
  </sheetViews>
  <sheetFormatPr defaultColWidth="9.140625" defaultRowHeight="12.75"/>
  <cols>
    <col min="1" max="1" width="9.140625" style="4"/>
    <col min="2" max="2" width="14.5703125" style="4" customWidth="1"/>
    <col min="3" max="4" width="14" style="4" customWidth="1"/>
    <col min="5" max="5" width="13" style="4" customWidth="1"/>
    <col min="6" max="6" width="12.85546875" style="4" customWidth="1"/>
    <col min="7" max="7" width="14.140625" style="4" customWidth="1"/>
    <col min="8" max="15" width="14" style="4" customWidth="1"/>
    <col min="16" max="16" width="15.140625" style="4" customWidth="1"/>
    <col min="17" max="16384" width="9.140625" style="4"/>
  </cols>
  <sheetData>
    <row r="1" spans="1:16380">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c r="IV1" s="9"/>
      <c r="IW1" s="9"/>
      <c r="IX1" s="9"/>
      <c r="IY1" s="9"/>
      <c r="IZ1" s="9"/>
      <c r="JA1" s="9"/>
      <c r="JB1" s="9"/>
      <c r="JC1" s="9"/>
      <c r="JD1" s="9"/>
      <c r="JE1" s="9"/>
      <c r="JF1" s="9"/>
      <c r="JG1" s="9"/>
      <c r="JH1" s="9"/>
      <c r="JI1" s="9"/>
      <c r="JJ1" s="9"/>
      <c r="JK1" s="9"/>
      <c r="JL1" s="9"/>
      <c r="JM1" s="9"/>
      <c r="JN1" s="9"/>
      <c r="JO1" s="9"/>
      <c r="JP1" s="9"/>
      <c r="JQ1" s="9"/>
      <c r="JR1" s="9"/>
      <c r="JS1" s="9"/>
      <c r="JT1" s="9"/>
      <c r="JU1" s="9"/>
      <c r="JV1" s="9"/>
      <c r="JW1" s="9"/>
      <c r="JX1" s="9"/>
      <c r="JY1" s="9"/>
      <c r="JZ1" s="9"/>
      <c r="KA1" s="9"/>
      <c r="KB1" s="9"/>
      <c r="KC1" s="9"/>
      <c r="KD1" s="9"/>
      <c r="KE1" s="9"/>
      <c r="KF1" s="9"/>
      <c r="KG1" s="9"/>
      <c r="KH1" s="9"/>
      <c r="KI1" s="9"/>
      <c r="KJ1" s="9"/>
      <c r="KK1" s="9"/>
      <c r="KL1" s="9"/>
      <c r="KM1" s="9"/>
      <c r="KN1" s="9"/>
      <c r="KO1" s="9"/>
      <c r="KP1" s="9"/>
      <c r="KQ1" s="9"/>
      <c r="KR1" s="9"/>
      <c r="KS1" s="9"/>
      <c r="KT1" s="9"/>
      <c r="KU1" s="9"/>
      <c r="KV1" s="9"/>
      <c r="KW1" s="9"/>
      <c r="KX1" s="9"/>
      <c r="KY1" s="9"/>
      <c r="KZ1" s="9"/>
      <c r="LA1" s="9"/>
      <c r="LB1" s="9"/>
      <c r="LC1" s="9"/>
      <c r="LD1" s="9"/>
      <c r="LE1" s="9"/>
      <c r="LF1" s="9"/>
      <c r="LG1" s="9"/>
      <c r="LH1" s="9"/>
      <c r="LI1" s="9"/>
      <c r="LJ1" s="9"/>
      <c r="LK1" s="9"/>
      <c r="LL1" s="9"/>
      <c r="LM1" s="9"/>
      <c r="LN1" s="9"/>
      <c r="LO1" s="9"/>
      <c r="LP1" s="9"/>
      <c r="LQ1" s="9"/>
      <c r="LR1" s="9"/>
      <c r="LS1" s="9"/>
      <c r="LT1" s="9"/>
      <c r="LU1" s="9"/>
      <c r="LV1" s="9"/>
      <c r="LW1" s="9"/>
      <c r="LX1" s="9"/>
      <c r="LY1" s="9"/>
      <c r="LZ1" s="9"/>
      <c r="MA1" s="9"/>
      <c r="MB1" s="9"/>
      <c r="MC1" s="9"/>
      <c r="MD1" s="9"/>
      <c r="ME1" s="9"/>
      <c r="MF1" s="9"/>
      <c r="MG1" s="9"/>
      <c r="MH1" s="9"/>
      <c r="MI1" s="9"/>
      <c r="MJ1" s="9"/>
      <c r="MK1" s="9"/>
      <c r="ML1" s="9"/>
      <c r="MM1" s="9"/>
      <c r="MN1" s="9"/>
      <c r="MO1" s="9"/>
      <c r="MP1" s="9"/>
      <c r="MQ1" s="9"/>
      <c r="MR1" s="9"/>
      <c r="MS1" s="9"/>
      <c r="MT1" s="9"/>
      <c r="MU1" s="9"/>
      <c r="MV1" s="9"/>
      <c r="MW1" s="9"/>
      <c r="MX1" s="9"/>
      <c r="MY1" s="9"/>
      <c r="MZ1" s="9"/>
      <c r="NA1" s="9"/>
      <c r="NB1" s="9"/>
      <c r="NC1" s="9"/>
      <c r="ND1" s="9"/>
      <c r="NE1" s="9"/>
      <c r="NF1" s="9"/>
      <c r="NG1" s="9"/>
      <c r="NH1" s="9"/>
      <c r="NI1" s="9"/>
      <c r="NJ1" s="9"/>
      <c r="NK1" s="9"/>
      <c r="NL1" s="9"/>
      <c r="NM1" s="9"/>
      <c r="NN1" s="9"/>
      <c r="NO1" s="9"/>
      <c r="NP1" s="9"/>
      <c r="NQ1" s="9"/>
      <c r="NR1" s="9"/>
      <c r="NS1" s="9"/>
      <c r="NT1" s="9"/>
      <c r="NU1" s="9"/>
      <c r="NV1" s="9"/>
      <c r="NW1" s="9"/>
      <c r="NX1" s="9"/>
      <c r="NY1" s="9"/>
      <c r="NZ1" s="9"/>
      <c r="OA1" s="9"/>
      <c r="OB1" s="9"/>
      <c r="OC1" s="9"/>
      <c r="OD1" s="9"/>
      <c r="OE1" s="9"/>
      <c r="OF1" s="9"/>
      <c r="OG1" s="9"/>
      <c r="OH1" s="9"/>
      <c r="OI1" s="9"/>
      <c r="OJ1" s="9"/>
      <c r="OK1" s="9"/>
      <c r="OL1" s="9"/>
      <c r="OM1" s="9"/>
      <c r="ON1" s="9"/>
      <c r="OO1" s="9"/>
      <c r="OP1" s="9"/>
      <c r="OQ1" s="9"/>
      <c r="OR1" s="9"/>
      <c r="OS1" s="9"/>
      <c r="OT1" s="9"/>
      <c r="OU1" s="9"/>
      <c r="OV1" s="9"/>
      <c r="OW1" s="9"/>
      <c r="OX1" s="9"/>
      <c r="OY1" s="9"/>
      <c r="OZ1" s="9"/>
      <c r="PA1" s="9"/>
      <c r="PB1" s="9"/>
      <c r="PC1" s="9"/>
      <c r="PD1" s="9"/>
      <c r="PE1" s="9"/>
      <c r="PF1" s="9"/>
      <c r="PG1" s="9"/>
      <c r="PH1" s="9"/>
      <c r="PI1" s="9"/>
      <c r="PJ1" s="9"/>
      <c r="PK1" s="9"/>
      <c r="PL1" s="9"/>
      <c r="PM1" s="9"/>
      <c r="PN1" s="9"/>
      <c r="PO1" s="9"/>
      <c r="PP1" s="9"/>
      <c r="PQ1" s="9"/>
      <c r="PR1" s="9"/>
      <c r="PS1" s="9"/>
      <c r="PT1" s="9"/>
      <c r="PU1" s="9"/>
      <c r="PV1" s="9"/>
      <c r="PW1" s="9"/>
      <c r="PX1" s="9"/>
      <c r="PY1" s="9"/>
      <c r="PZ1" s="9"/>
      <c r="QA1" s="9"/>
      <c r="QB1" s="9"/>
      <c r="QC1" s="9"/>
      <c r="QD1" s="9"/>
      <c r="QE1" s="9"/>
      <c r="QF1" s="9"/>
      <c r="QG1" s="9"/>
      <c r="QH1" s="9"/>
      <c r="QI1" s="9"/>
      <c r="QJ1" s="9"/>
      <c r="QK1" s="9"/>
      <c r="QL1" s="9"/>
      <c r="QM1" s="9"/>
      <c r="QN1" s="9"/>
      <c r="QO1" s="9"/>
      <c r="QP1" s="9"/>
      <c r="QQ1" s="9"/>
      <c r="QR1" s="9"/>
      <c r="QS1" s="9"/>
      <c r="QT1" s="9"/>
      <c r="QU1" s="9"/>
      <c r="QV1" s="9"/>
      <c r="QW1" s="9"/>
      <c r="QX1" s="9"/>
      <c r="QY1" s="9"/>
      <c r="QZ1" s="9"/>
      <c r="RA1" s="9"/>
      <c r="RB1" s="9"/>
      <c r="RC1" s="9"/>
      <c r="RD1" s="9"/>
      <c r="RE1" s="9"/>
      <c r="RF1" s="9"/>
      <c r="RG1" s="9"/>
      <c r="RH1" s="9"/>
      <c r="RI1" s="9"/>
      <c r="RJ1" s="9"/>
      <c r="RK1" s="9"/>
      <c r="RL1" s="9"/>
      <c r="RM1" s="9"/>
      <c r="RN1" s="9"/>
      <c r="RO1" s="9"/>
      <c r="RP1" s="9"/>
      <c r="RQ1" s="9"/>
      <c r="RR1" s="9"/>
      <c r="RS1" s="9"/>
      <c r="RT1" s="9"/>
      <c r="RU1" s="9"/>
      <c r="RV1" s="9"/>
      <c r="RW1" s="9"/>
      <c r="RX1" s="9"/>
      <c r="RY1" s="9"/>
      <c r="RZ1" s="9"/>
      <c r="SA1" s="9"/>
      <c r="SB1" s="9"/>
      <c r="SC1" s="9"/>
      <c r="SD1" s="9"/>
      <c r="SE1" s="9"/>
      <c r="SF1" s="9"/>
      <c r="SG1" s="9"/>
      <c r="SH1" s="9"/>
      <c r="SI1" s="9"/>
      <c r="SJ1" s="9"/>
      <c r="SK1" s="9"/>
      <c r="SL1" s="9"/>
      <c r="SM1" s="9"/>
      <c r="SN1" s="9"/>
      <c r="SO1" s="9"/>
      <c r="SP1" s="9"/>
      <c r="SQ1" s="9"/>
      <c r="SR1" s="9"/>
      <c r="SS1" s="9"/>
      <c r="ST1" s="9"/>
      <c r="SU1" s="9"/>
      <c r="SV1" s="9"/>
      <c r="SW1" s="9"/>
      <c r="SX1" s="9"/>
      <c r="SY1" s="9"/>
      <c r="SZ1" s="9"/>
      <c r="TA1" s="9"/>
      <c r="TB1" s="9"/>
      <c r="TC1" s="9"/>
      <c r="TD1" s="9"/>
      <c r="TE1" s="9"/>
      <c r="TF1" s="9"/>
      <c r="TG1" s="9"/>
      <c r="TH1" s="9"/>
      <c r="TI1" s="9"/>
      <c r="TJ1" s="9"/>
      <c r="TK1" s="9"/>
      <c r="TL1" s="9"/>
      <c r="TM1" s="9"/>
      <c r="TN1" s="9"/>
      <c r="TO1" s="9"/>
      <c r="TP1" s="9"/>
      <c r="TQ1" s="9"/>
      <c r="TR1" s="9"/>
      <c r="TS1" s="9"/>
      <c r="TT1" s="9"/>
      <c r="TU1" s="9"/>
      <c r="TV1" s="9"/>
      <c r="TW1" s="9"/>
      <c r="TX1" s="9"/>
      <c r="TY1" s="9"/>
      <c r="TZ1" s="9"/>
      <c r="UA1" s="9"/>
      <c r="UB1" s="9"/>
      <c r="UC1" s="9"/>
      <c r="UD1" s="9"/>
      <c r="UE1" s="9"/>
      <c r="UF1" s="9"/>
      <c r="UG1" s="9"/>
      <c r="UH1" s="9"/>
      <c r="UI1" s="9"/>
      <c r="UJ1" s="9"/>
      <c r="UK1" s="9"/>
      <c r="UL1" s="9"/>
      <c r="UM1" s="9"/>
      <c r="UN1" s="9"/>
      <c r="UO1" s="9"/>
      <c r="UP1" s="9"/>
      <c r="UQ1" s="9"/>
      <c r="UR1" s="9"/>
      <c r="US1" s="9"/>
      <c r="UT1" s="9"/>
      <c r="UU1" s="9"/>
      <c r="UV1" s="9"/>
      <c r="UW1" s="9"/>
      <c r="UX1" s="9"/>
      <c r="UY1" s="9"/>
      <c r="UZ1" s="9"/>
      <c r="VA1" s="9"/>
      <c r="VB1" s="9"/>
      <c r="VC1" s="9"/>
      <c r="VD1" s="9"/>
      <c r="VE1" s="9"/>
      <c r="VF1" s="9"/>
      <c r="VG1" s="9"/>
      <c r="VH1" s="9"/>
      <c r="VI1" s="9"/>
      <c r="VJ1" s="9"/>
      <c r="VK1" s="9"/>
      <c r="VL1" s="9"/>
      <c r="VM1" s="9"/>
      <c r="VN1" s="9"/>
      <c r="VO1" s="9"/>
      <c r="VP1" s="9"/>
      <c r="VQ1" s="9"/>
      <c r="VR1" s="9"/>
      <c r="VS1" s="9"/>
      <c r="VT1" s="9"/>
      <c r="VU1" s="9"/>
      <c r="VV1" s="9"/>
      <c r="VW1" s="9"/>
      <c r="VX1" s="9"/>
      <c r="VY1" s="9"/>
      <c r="VZ1" s="9"/>
      <c r="WA1" s="9"/>
      <c r="WB1" s="9"/>
      <c r="WC1" s="9"/>
      <c r="WD1" s="9"/>
      <c r="WE1" s="9"/>
      <c r="WF1" s="9"/>
      <c r="WG1" s="9"/>
      <c r="WH1" s="9"/>
      <c r="WI1" s="9"/>
      <c r="WJ1" s="9"/>
      <c r="WK1" s="9"/>
      <c r="WL1" s="9"/>
      <c r="WM1" s="9"/>
      <c r="WN1" s="9"/>
      <c r="WO1" s="9"/>
      <c r="WP1" s="9"/>
      <c r="WQ1" s="9"/>
      <c r="WR1" s="9"/>
      <c r="WS1" s="9"/>
      <c r="WT1" s="9"/>
      <c r="WU1" s="9"/>
      <c r="WV1" s="9"/>
      <c r="WW1" s="9"/>
      <c r="WX1" s="9"/>
      <c r="WY1" s="9"/>
      <c r="WZ1" s="9"/>
      <c r="XA1" s="9"/>
      <c r="XB1" s="9"/>
      <c r="XC1" s="9"/>
      <c r="XD1" s="9"/>
      <c r="XE1" s="9"/>
      <c r="XF1" s="9"/>
      <c r="XG1" s="9"/>
      <c r="XH1" s="9"/>
      <c r="XI1" s="9"/>
      <c r="XJ1" s="9"/>
      <c r="XK1" s="9"/>
      <c r="XL1" s="9"/>
      <c r="XM1" s="9"/>
      <c r="XN1" s="9"/>
      <c r="XO1" s="9"/>
      <c r="XP1" s="9"/>
      <c r="XQ1" s="9"/>
      <c r="XR1" s="9"/>
      <c r="XS1" s="9"/>
      <c r="XT1" s="9"/>
      <c r="XU1" s="9"/>
      <c r="XV1" s="9"/>
      <c r="XW1" s="9"/>
      <c r="XX1" s="9"/>
      <c r="XY1" s="9"/>
      <c r="XZ1" s="9"/>
      <c r="YA1" s="9"/>
      <c r="YB1" s="9"/>
      <c r="YC1" s="9"/>
      <c r="YD1" s="9"/>
      <c r="YE1" s="9"/>
      <c r="YF1" s="9"/>
      <c r="YG1" s="9"/>
      <c r="YH1" s="9"/>
      <c r="YI1" s="9"/>
      <c r="YJ1" s="9"/>
      <c r="YK1" s="9"/>
      <c r="YL1" s="9"/>
      <c r="YM1" s="9"/>
      <c r="YN1" s="9"/>
      <c r="YO1" s="9"/>
      <c r="YP1" s="9"/>
      <c r="YQ1" s="9"/>
      <c r="YR1" s="9"/>
      <c r="YS1" s="9"/>
      <c r="YT1" s="9"/>
      <c r="YU1" s="9"/>
      <c r="YV1" s="9"/>
      <c r="YW1" s="9"/>
      <c r="YX1" s="9"/>
      <c r="YY1" s="9"/>
      <c r="YZ1" s="9"/>
      <c r="ZA1" s="9"/>
      <c r="ZB1" s="9"/>
      <c r="ZC1" s="9"/>
      <c r="ZD1" s="9"/>
      <c r="ZE1" s="9"/>
      <c r="ZF1" s="9"/>
      <c r="ZG1" s="9"/>
      <c r="ZH1" s="9"/>
      <c r="ZI1" s="9"/>
      <c r="ZJ1" s="9"/>
      <c r="ZK1" s="9"/>
      <c r="ZL1" s="9"/>
      <c r="ZM1" s="9"/>
      <c r="ZN1" s="9"/>
      <c r="ZO1" s="9"/>
      <c r="ZP1" s="9"/>
      <c r="ZQ1" s="9"/>
      <c r="ZR1" s="9"/>
      <c r="ZS1" s="9"/>
      <c r="ZT1" s="9"/>
      <c r="ZU1" s="9"/>
      <c r="ZV1" s="9"/>
      <c r="ZW1" s="9"/>
      <c r="ZX1" s="9"/>
      <c r="ZY1" s="9"/>
      <c r="ZZ1" s="9"/>
      <c r="AAA1" s="9"/>
      <c r="AAB1" s="9"/>
      <c r="AAC1" s="9"/>
      <c r="AAD1" s="9"/>
      <c r="AAE1" s="9"/>
      <c r="AAF1" s="9"/>
      <c r="AAG1" s="9"/>
      <c r="AAH1" s="9"/>
      <c r="AAI1" s="9"/>
      <c r="AAJ1" s="9"/>
      <c r="AAK1" s="9"/>
      <c r="AAL1" s="9"/>
      <c r="AAM1" s="9"/>
      <c r="AAN1" s="9"/>
      <c r="AAO1" s="9"/>
      <c r="AAP1" s="9"/>
      <c r="AAQ1" s="9"/>
      <c r="AAR1" s="9"/>
      <c r="AAS1" s="9"/>
      <c r="AAT1" s="9"/>
      <c r="AAU1" s="9"/>
      <c r="AAV1" s="9"/>
      <c r="AAW1" s="9"/>
      <c r="AAX1" s="9"/>
      <c r="AAY1" s="9"/>
      <c r="AAZ1" s="9"/>
      <c r="ABA1" s="9"/>
      <c r="ABB1" s="9"/>
      <c r="ABC1" s="9"/>
      <c r="ABD1" s="9"/>
      <c r="ABE1" s="9"/>
      <c r="ABF1" s="9"/>
      <c r="ABG1" s="9"/>
      <c r="ABH1" s="9"/>
      <c r="ABI1" s="9"/>
      <c r="ABJ1" s="9"/>
      <c r="ABK1" s="9"/>
      <c r="ABL1" s="9"/>
      <c r="ABM1" s="9"/>
      <c r="ABN1" s="9"/>
      <c r="ABO1" s="9"/>
      <c r="ABP1" s="9"/>
      <c r="ABQ1" s="9"/>
      <c r="ABR1" s="9"/>
      <c r="ABS1" s="9"/>
      <c r="ABT1" s="9"/>
      <c r="ABU1" s="9"/>
      <c r="ABV1" s="9"/>
      <c r="ABW1" s="9"/>
      <c r="ABX1" s="9"/>
      <c r="ABY1" s="9"/>
      <c r="ABZ1" s="9"/>
      <c r="ACA1" s="9"/>
      <c r="ACB1" s="9"/>
      <c r="ACC1" s="9"/>
      <c r="ACD1" s="9"/>
      <c r="ACE1" s="9"/>
      <c r="ACF1" s="9"/>
      <c r="ACG1" s="9"/>
      <c r="ACH1" s="9"/>
      <c r="ACI1" s="9"/>
      <c r="ACJ1" s="9"/>
      <c r="ACK1" s="9"/>
      <c r="ACL1" s="9"/>
      <c r="ACM1" s="9"/>
      <c r="ACN1" s="9"/>
      <c r="ACO1" s="9"/>
      <c r="ACP1" s="9"/>
      <c r="ACQ1" s="9"/>
      <c r="ACR1" s="9"/>
      <c r="ACS1" s="9"/>
      <c r="ACT1" s="9"/>
      <c r="ACU1" s="9"/>
      <c r="ACV1" s="9"/>
      <c r="ACW1" s="9"/>
      <c r="ACX1" s="9"/>
      <c r="ACY1" s="9"/>
      <c r="ACZ1" s="9"/>
      <c r="ADA1" s="9"/>
      <c r="ADB1" s="9"/>
      <c r="ADC1" s="9"/>
      <c r="ADD1" s="9"/>
      <c r="ADE1" s="9"/>
      <c r="ADF1" s="9"/>
      <c r="ADG1" s="9"/>
      <c r="ADH1" s="9"/>
      <c r="ADI1" s="9"/>
      <c r="ADJ1" s="9"/>
      <c r="ADK1" s="9"/>
      <c r="ADL1" s="9"/>
      <c r="ADM1" s="9"/>
      <c r="ADN1" s="9"/>
      <c r="ADO1" s="9"/>
      <c r="ADP1" s="9"/>
      <c r="ADQ1" s="9"/>
      <c r="ADR1" s="9"/>
      <c r="ADS1" s="9"/>
      <c r="ADT1" s="9"/>
      <c r="ADU1" s="9"/>
      <c r="ADV1" s="9"/>
      <c r="ADW1" s="9"/>
      <c r="ADX1" s="9"/>
      <c r="ADY1" s="9"/>
      <c r="ADZ1" s="9"/>
      <c r="AEA1" s="9"/>
      <c r="AEB1" s="9"/>
      <c r="AEC1" s="9"/>
      <c r="AED1" s="9"/>
      <c r="AEE1" s="9"/>
      <c r="AEF1" s="9"/>
      <c r="AEG1" s="9"/>
      <c r="AEH1" s="9"/>
      <c r="AEI1" s="9"/>
      <c r="AEJ1" s="9"/>
      <c r="AEK1" s="9"/>
      <c r="AEL1" s="9"/>
      <c r="AEM1" s="9"/>
      <c r="AEN1" s="9"/>
      <c r="AEO1" s="9"/>
      <c r="AEP1" s="9"/>
      <c r="AEQ1" s="9"/>
      <c r="AER1" s="9"/>
      <c r="AES1" s="9"/>
      <c r="AET1" s="9"/>
      <c r="AEU1" s="9"/>
      <c r="AEV1" s="9"/>
      <c r="AEW1" s="9"/>
      <c r="AEX1" s="9"/>
      <c r="AEY1" s="9"/>
      <c r="AEZ1" s="9"/>
      <c r="AFA1" s="9"/>
      <c r="AFB1" s="9"/>
      <c r="AFC1" s="9"/>
      <c r="AFD1" s="9"/>
      <c r="AFE1" s="9"/>
      <c r="AFF1" s="9"/>
      <c r="AFG1" s="9"/>
      <c r="AFH1" s="9"/>
      <c r="AFI1" s="9"/>
      <c r="AFJ1" s="9"/>
      <c r="AFK1" s="9"/>
      <c r="AFL1" s="9"/>
      <c r="AFM1" s="9"/>
      <c r="AFN1" s="9"/>
      <c r="AFO1" s="9"/>
      <c r="AFP1" s="9"/>
      <c r="AFQ1" s="9"/>
      <c r="AFR1" s="9"/>
      <c r="AFS1" s="9"/>
      <c r="AFT1" s="9"/>
      <c r="AFU1" s="9"/>
      <c r="AFV1" s="9"/>
      <c r="AFW1" s="9"/>
      <c r="AFX1" s="9"/>
      <c r="AFY1" s="9"/>
      <c r="AFZ1" s="9"/>
      <c r="AGA1" s="9"/>
      <c r="AGB1" s="9"/>
      <c r="AGC1" s="9"/>
      <c r="AGD1" s="9"/>
      <c r="AGE1" s="9"/>
      <c r="AGF1" s="9"/>
      <c r="AGG1" s="9"/>
      <c r="AGH1" s="9"/>
      <c r="AGI1" s="9"/>
      <c r="AGJ1" s="9"/>
      <c r="AGK1" s="9"/>
      <c r="AGL1" s="9"/>
      <c r="AGM1" s="9"/>
      <c r="AGN1" s="9"/>
      <c r="AGO1" s="9"/>
      <c r="AGP1" s="9"/>
      <c r="AGQ1" s="9"/>
      <c r="AGR1" s="9"/>
      <c r="AGS1" s="9"/>
      <c r="AGT1" s="9"/>
      <c r="AGU1" s="9"/>
      <c r="AGV1" s="9"/>
      <c r="AGW1" s="9"/>
      <c r="AGX1" s="9"/>
      <c r="AGY1" s="9"/>
      <c r="AGZ1" s="9"/>
      <c r="AHA1" s="9"/>
      <c r="AHB1" s="9"/>
      <c r="AHC1" s="9"/>
      <c r="AHD1" s="9"/>
      <c r="AHE1" s="9"/>
      <c r="AHF1" s="9"/>
      <c r="AHG1" s="9"/>
      <c r="AHH1" s="9"/>
      <c r="AHI1" s="9"/>
      <c r="AHJ1" s="9"/>
      <c r="AHK1" s="9"/>
      <c r="AHL1" s="9"/>
      <c r="AHM1" s="9"/>
      <c r="AHN1" s="9"/>
      <c r="AHO1" s="9"/>
      <c r="AHP1" s="9"/>
      <c r="AHQ1" s="9"/>
      <c r="AHR1" s="9"/>
      <c r="AHS1" s="9"/>
      <c r="AHT1" s="9"/>
      <c r="AHU1" s="9"/>
      <c r="AHV1" s="9"/>
      <c r="AHW1" s="9"/>
      <c r="AHX1" s="9"/>
      <c r="AHY1" s="9"/>
      <c r="AHZ1" s="9"/>
      <c r="AIA1" s="9"/>
      <c r="AIB1" s="9"/>
      <c r="AIC1" s="9"/>
      <c r="AID1" s="9"/>
      <c r="AIE1" s="9"/>
      <c r="AIF1" s="9"/>
      <c r="AIG1" s="9"/>
      <c r="AIH1" s="9"/>
      <c r="AII1" s="9"/>
      <c r="AIJ1" s="9"/>
      <c r="AIK1" s="9"/>
      <c r="AIL1" s="9"/>
      <c r="AIM1" s="9"/>
      <c r="AIN1" s="9"/>
      <c r="AIO1" s="9"/>
      <c r="AIP1" s="9"/>
      <c r="AIQ1" s="9"/>
      <c r="AIR1" s="9"/>
      <c r="AIS1" s="9"/>
      <c r="AIT1" s="9"/>
      <c r="AIU1" s="9"/>
      <c r="AIV1" s="9"/>
      <c r="AIW1" s="9"/>
      <c r="AIX1" s="9"/>
      <c r="AIY1" s="9"/>
      <c r="AIZ1" s="9"/>
      <c r="AJA1" s="9"/>
      <c r="AJB1" s="9"/>
      <c r="AJC1" s="9"/>
      <c r="AJD1" s="9"/>
      <c r="AJE1" s="9"/>
      <c r="AJF1" s="9"/>
      <c r="AJG1" s="9"/>
      <c r="AJH1" s="9"/>
      <c r="AJI1" s="9"/>
      <c r="AJJ1" s="9"/>
      <c r="AJK1" s="9"/>
      <c r="AJL1" s="9"/>
      <c r="AJM1" s="9"/>
      <c r="AJN1" s="9"/>
      <c r="AJO1" s="9"/>
      <c r="AJP1" s="9"/>
      <c r="AJQ1" s="9"/>
      <c r="AJR1" s="9"/>
      <c r="AJS1" s="9"/>
      <c r="AJT1" s="9"/>
      <c r="AJU1" s="9"/>
      <c r="AJV1" s="9"/>
      <c r="AJW1" s="9"/>
      <c r="AJX1" s="9"/>
      <c r="AJY1" s="9"/>
      <c r="AJZ1" s="9"/>
      <c r="AKA1" s="9"/>
      <c r="AKB1" s="9"/>
      <c r="AKC1" s="9"/>
      <c r="AKD1" s="9"/>
      <c r="AKE1" s="9"/>
      <c r="AKF1" s="9"/>
      <c r="AKG1" s="9"/>
      <c r="AKH1" s="9"/>
      <c r="AKI1" s="9"/>
      <c r="AKJ1" s="9"/>
      <c r="AKK1" s="9"/>
      <c r="AKL1" s="9"/>
      <c r="AKM1" s="9"/>
      <c r="AKN1" s="9"/>
      <c r="AKO1" s="9"/>
      <c r="AKP1" s="9"/>
      <c r="AKQ1" s="9"/>
      <c r="AKR1" s="9"/>
      <c r="AKS1" s="9"/>
      <c r="AKT1" s="9"/>
      <c r="AKU1" s="9"/>
      <c r="AKV1" s="9"/>
      <c r="AKW1" s="9"/>
      <c r="AKX1" s="9"/>
      <c r="AKY1" s="9"/>
      <c r="AKZ1" s="9"/>
      <c r="ALA1" s="9"/>
      <c r="ALB1" s="9"/>
      <c r="ALC1" s="9"/>
      <c r="ALD1" s="9"/>
      <c r="ALE1" s="9"/>
      <c r="ALF1" s="9"/>
      <c r="ALG1" s="9"/>
      <c r="ALH1" s="9"/>
      <c r="ALI1" s="9"/>
      <c r="ALJ1" s="9"/>
      <c r="ALK1" s="9"/>
      <c r="ALL1" s="9"/>
      <c r="ALM1" s="9"/>
      <c r="ALN1" s="9"/>
      <c r="ALO1" s="9"/>
      <c r="ALP1" s="9"/>
      <c r="ALQ1" s="9"/>
      <c r="ALR1" s="9"/>
      <c r="ALS1" s="9"/>
      <c r="ALT1" s="9"/>
      <c r="ALU1" s="9"/>
      <c r="ALV1" s="9"/>
      <c r="ALW1" s="9"/>
      <c r="ALX1" s="9"/>
      <c r="ALY1" s="9"/>
      <c r="ALZ1" s="9"/>
      <c r="AMA1" s="9"/>
      <c r="AMB1" s="9"/>
      <c r="AMC1" s="9"/>
      <c r="AMD1" s="9"/>
      <c r="AME1" s="9"/>
      <c r="AMF1" s="9"/>
      <c r="AMG1" s="9"/>
      <c r="AMH1" s="9"/>
      <c r="AMI1" s="9"/>
      <c r="AMJ1" s="9"/>
      <c r="AMK1" s="9"/>
      <c r="AML1" s="9"/>
      <c r="AMM1" s="9"/>
      <c r="AMN1" s="9"/>
      <c r="AMO1" s="9"/>
      <c r="AMP1" s="9"/>
      <c r="AMQ1" s="9"/>
      <c r="AMR1" s="9"/>
      <c r="AMS1" s="9"/>
      <c r="AMT1" s="9"/>
      <c r="AMU1" s="9"/>
      <c r="AMV1" s="9"/>
      <c r="AMW1" s="9"/>
      <c r="AMX1" s="9"/>
      <c r="AMY1" s="9"/>
      <c r="AMZ1" s="9"/>
      <c r="ANA1" s="9"/>
      <c r="ANB1" s="9"/>
      <c r="ANC1" s="9"/>
      <c r="AND1" s="9"/>
      <c r="ANE1" s="9"/>
      <c r="ANF1" s="9"/>
      <c r="ANG1" s="9"/>
      <c r="ANH1" s="9"/>
      <c r="ANI1" s="9"/>
      <c r="ANJ1" s="9"/>
      <c r="ANK1" s="9"/>
      <c r="ANL1" s="9"/>
      <c r="ANM1" s="9"/>
      <c r="ANN1" s="9"/>
      <c r="ANO1" s="9"/>
      <c r="ANP1" s="9"/>
      <c r="ANQ1" s="9"/>
      <c r="ANR1" s="9"/>
      <c r="ANS1" s="9"/>
      <c r="ANT1" s="9"/>
      <c r="ANU1" s="9"/>
      <c r="ANV1" s="9"/>
      <c r="ANW1" s="9"/>
      <c r="ANX1" s="9"/>
      <c r="ANY1" s="9"/>
      <c r="ANZ1" s="9"/>
      <c r="AOA1" s="9"/>
      <c r="AOB1" s="9"/>
      <c r="AOC1" s="9"/>
      <c r="AOD1" s="9"/>
      <c r="AOE1" s="9"/>
      <c r="AOF1" s="9"/>
      <c r="AOG1" s="9"/>
      <c r="AOH1" s="9"/>
      <c r="AOI1" s="9"/>
      <c r="AOJ1" s="9"/>
      <c r="AOK1" s="9"/>
      <c r="AOL1" s="9"/>
      <c r="AOM1" s="9"/>
      <c r="AON1" s="9"/>
      <c r="AOO1" s="9"/>
      <c r="AOP1" s="9"/>
      <c r="AOQ1" s="9"/>
      <c r="AOR1" s="9"/>
      <c r="AOS1" s="9"/>
      <c r="AOT1" s="9"/>
      <c r="AOU1" s="9"/>
      <c r="AOV1" s="9"/>
      <c r="AOW1" s="9"/>
      <c r="AOX1" s="9"/>
      <c r="AOY1" s="9"/>
      <c r="AOZ1" s="9"/>
      <c r="APA1" s="9"/>
      <c r="APB1" s="9"/>
      <c r="APC1" s="9"/>
      <c r="APD1" s="9"/>
      <c r="APE1" s="9"/>
      <c r="APF1" s="9"/>
      <c r="APG1" s="9"/>
      <c r="APH1" s="9"/>
      <c r="API1" s="9"/>
      <c r="APJ1" s="9"/>
      <c r="APK1" s="9"/>
      <c r="APL1" s="9"/>
      <c r="APM1" s="9"/>
      <c r="APN1" s="9"/>
      <c r="APO1" s="9"/>
      <c r="APP1" s="9"/>
      <c r="APQ1" s="9"/>
      <c r="APR1" s="9"/>
      <c r="APS1" s="9"/>
      <c r="APT1" s="9"/>
      <c r="APU1" s="9"/>
      <c r="APV1" s="9"/>
      <c r="APW1" s="9"/>
      <c r="APX1" s="9"/>
      <c r="APY1" s="9"/>
      <c r="APZ1" s="9"/>
      <c r="AQA1" s="9"/>
      <c r="AQB1" s="9"/>
      <c r="AQC1" s="9"/>
      <c r="AQD1" s="9"/>
      <c r="AQE1" s="9"/>
      <c r="AQF1" s="9"/>
      <c r="AQG1" s="9"/>
      <c r="AQH1" s="9"/>
      <c r="AQI1" s="9"/>
      <c r="AQJ1" s="9"/>
      <c r="AQK1" s="9"/>
      <c r="AQL1" s="9"/>
      <c r="AQM1" s="9"/>
      <c r="AQN1" s="9"/>
      <c r="AQO1" s="9"/>
      <c r="AQP1" s="9"/>
      <c r="AQQ1" s="9"/>
      <c r="AQR1" s="9"/>
      <c r="AQS1" s="9"/>
      <c r="AQT1" s="9"/>
      <c r="AQU1" s="9"/>
      <c r="AQV1" s="9"/>
      <c r="AQW1" s="9"/>
      <c r="AQX1" s="9"/>
      <c r="AQY1" s="9"/>
      <c r="AQZ1" s="9"/>
      <c r="ARA1" s="9"/>
      <c r="ARB1" s="9"/>
      <c r="ARC1" s="9"/>
      <c r="ARD1" s="9"/>
      <c r="ARE1" s="9"/>
      <c r="ARF1" s="9"/>
      <c r="ARG1" s="9"/>
      <c r="ARH1" s="9"/>
      <c r="ARI1" s="9"/>
      <c r="ARJ1" s="9"/>
      <c r="ARK1" s="9"/>
      <c r="ARL1" s="9"/>
      <c r="ARM1" s="9"/>
      <c r="ARN1" s="9"/>
      <c r="ARO1" s="9"/>
      <c r="ARP1" s="9"/>
      <c r="ARQ1" s="9"/>
      <c r="ARR1" s="9"/>
      <c r="ARS1" s="9"/>
      <c r="ART1" s="9"/>
      <c r="ARU1" s="9"/>
      <c r="ARV1" s="9"/>
      <c r="ARW1" s="9"/>
      <c r="ARX1" s="9"/>
      <c r="ARY1" s="9"/>
      <c r="ARZ1" s="9"/>
      <c r="ASA1" s="9"/>
      <c r="ASB1" s="9"/>
      <c r="ASC1" s="9"/>
      <c r="ASD1" s="9"/>
      <c r="ASE1" s="9"/>
      <c r="ASF1" s="9"/>
      <c r="ASG1" s="9"/>
      <c r="ASH1" s="9"/>
      <c r="ASI1" s="9"/>
      <c r="ASJ1" s="9"/>
      <c r="ASK1" s="9"/>
      <c r="ASL1" s="9"/>
      <c r="ASM1" s="9"/>
      <c r="ASN1" s="9"/>
      <c r="ASO1" s="9"/>
      <c r="ASP1" s="9"/>
      <c r="ASQ1" s="9"/>
      <c r="ASR1" s="9"/>
      <c r="ASS1" s="9"/>
      <c r="AST1" s="9"/>
      <c r="ASU1" s="9"/>
      <c r="ASV1" s="9"/>
      <c r="ASW1" s="9"/>
      <c r="ASX1" s="9"/>
      <c r="ASY1" s="9"/>
      <c r="ASZ1" s="9"/>
      <c r="ATA1" s="9"/>
      <c r="ATB1" s="9"/>
      <c r="ATC1" s="9"/>
      <c r="ATD1" s="9"/>
      <c r="ATE1" s="9"/>
      <c r="ATF1" s="9"/>
      <c r="ATG1" s="9"/>
      <c r="ATH1" s="9"/>
      <c r="ATI1" s="9"/>
      <c r="ATJ1" s="9"/>
      <c r="ATK1" s="9"/>
      <c r="ATL1" s="9"/>
      <c r="ATM1" s="9"/>
      <c r="ATN1" s="9"/>
      <c r="ATO1" s="9"/>
      <c r="ATP1" s="9"/>
      <c r="ATQ1" s="9"/>
      <c r="ATR1" s="9"/>
      <c r="ATS1" s="9"/>
      <c r="ATT1" s="9"/>
      <c r="ATU1" s="9"/>
      <c r="ATV1" s="9"/>
      <c r="ATW1" s="9"/>
      <c r="ATX1" s="9"/>
      <c r="ATY1" s="9"/>
      <c r="ATZ1" s="9"/>
      <c r="AUA1" s="9"/>
      <c r="AUB1" s="9"/>
      <c r="AUC1" s="9"/>
      <c r="AUD1" s="9"/>
      <c r="AUE1" s="9"/>
      <c r="AUF1" s="9"/>
      <c r="AUG1" s="9"/>
      <c r="AUH1" s="9"/>
      <c r="AUI1" s="9"/>
      <c r="AUJ1" s="9"/>
      <c r="AUK1" s="9"/>
      <c r="AUL1" s="9"/>
      <c r="AUM1" s="9"/>
      <c r="AUN1" s="9"/>
      <c r="AUO1" s="9"/>
      <c r="AUP1" s="9"/>
      <c r="AUQ1" s="9"/>
      <c r="AUR1" s="9"/>
      <c r="AUS1" s="9"/>
      <c r="AUT1" s="9"/>
      <c r="AUU1" s="9"/>
      <c r="AUV1" s="9"/>
      <c r="AUW1" s="9"/>
      <c r="AUX1" s="9"/>
      <c r="AUY1" s="9"/>
      <c r="AUZ1" s="9"/>
      <c r="AVA1" s="9"/>
      <c r="AVB1" s="9"/>
      <c r="AVC1" s="9"/>
      <c r="AVD1" s="9"/>
      <c r="AVE1" s="9"/>
      <c r="AVF1" s="9"/>
      <c r="AVG1" s="9"/>
      <c r="AVH1" s="9"/>
      <c r="AVI1" s="9"/>
      <c r="AVJ1" s="9"/>
      <c r="AVK1" s="9"/>
      <c r="AVL1" s="9"/>
      <c r="AVM1" s="9"/>
      <c r="AVN1" s="9"/>
      <c r="AVO1" s="9"/>
      <c r="AVP1" s="9"/>
      <c r="AVQ1" s="9"/>
      <c r="AVR1" s="9"/>
      <c r="AVS1" s="9"/>
      <c r="AVT1" s="9"/>
      <c r="AVU1" s="9"/>
      <c r="AVV1" s="9"/>
      <c r="AVW1" s="9"/>
      <c r="AVX1" s="9"/>
      <c r="AVY1" s="9"/>
      <c r="AVZ1" s="9"/>
      <c r="AWA1" s="9"/>
      <c r="AWB1" s="9"/>
      <c r="AWC1" s="9"/>
      <c r="AWD1" s="9"/>
      <c r="AWE1" s="9"/>
      <c r="AWF1" s="9"/>
      <c r="AWG1" s="9"/>
      <c r="AWH1" s="9"/>
      <c r="AWI1" s="9"/>
      <c r="AWJ1" s="9"/>
      <c r="AWK1" s="9"/>
      <c r="AWL1" s="9"/>
      <c r="AWM1" s="9"/>
      <c r="AWN1" s="9"/>
      <c r="AWO1" s="9"/>
      <c r="AWP1" s="9"/>
      <c r="AWQ1" s="9"/>
      <c r="AWR1" s="9"/>
      <c r="AWS1" s="9"/>
      <c r="AWT1" s="9"/>
      <c r="AWU1" s="9"/>
      <c r="AWV1" s="9"/>
      <c r="AWW1" s="9"/>
      <c r="AWX1" s="9"/>
      <c r="AWY1" s="9"/>
      <c r="AWZ1" s="9"/>
      <c r="AXA1" s="9"/>
      <c r="AXB1" s="9"/>
      <c r="AXC1" s="9"/>
      <c r="AXD1" s="9"/>
      <c r="AXE1" s="9"/>
      <c r="AXF1" s="9"/>
      <c r="AXG1" s="9"/>
      <c r="AXH1" s="9"/>
      <c r="AXI1" s="9"/>
      <c r="AXJ1" s="9"/>
      <c r="AXK1" s="9"/>
      <c r="AXL1" s="9"/>
      <c r="AXM1" s="9"/>
      <c r="AXN1" s="9"/>
      <c r="AXO1" s="9"/>
      <c r="AXP1" s="9"/>
      <c r="AXQ1" s="9"/>
      <c r="AXR1" s="9"/>
      <c r="AXS1" s="9"/>
      <c r="AXT1" s="9"/>
      <c r="AXU1" s="9"/>
      <c r="AXV1" s="9"/>
      <c r="AXW1" s="9"/>
      <c r="AXX1" s="9"/>
      <c r="AXY1" s="9"/>
      <c r="AXZ1" s="9"/>
      <c r="AYA1" s="9"/>
      <c r="AYB1" s="9"/>
      <c r="AYC1" s="9"/>
      <c r="AYD1" s="9"/>
      <c r="AYE1" s="9"/>
      <c r="AYF1" s="9"/>
      <c r="AYG1" s="9"/>
      <c r="AYH1" s="9"/>
      <c r="AYI1" s="9"/>
      <c r="AYJ1" s="9"/>
      <c r="AYK1" s="9"/>
      <c r="AYL1" s="9"/>
      <c r="AYM1" s="9"/>
      <c r="AYN1" s="9"/>
      <c r="AYO1" s="9"/>
      <c r="AYP1" s="9"/>
      <c r="AYQ1" s="9"/>
      <c r="AYR1" s="9"/>
      <c r="AYS1" s="9"/>
      <c r="AYT1" s="9"/>
      <c r="AYU1" s="9"/>
      <c r="AYV1" s="9"/>
      <c r="AYW1" s="9"/>
      <c r="AYX1" s="9"/>
      <c r="AYY1" s="9"/>
      <c r="AYZ1" s="9"/>
      <c r="AZA1" s="9"/>
      <c r="AZB1" s="9"/>
      <c r="AZC1" s="9"/>
      <c r="AZD1" s="9"/>
      <c r="AZE1" s="9"/>
      <c r="AZF1" s="9"/>
      <c r="AZG1" s="9"/>
      <c r="AZH1" s="9"/>
      <c r="AZI1" s="9"/>
      <c r="AZJ1" s="9"/>
      <c r="AZK1" s="9"/>
      <c r="AZL1" s="9"/>
      <c r="AZM1" s="9"/>
      <c r="AZN1" s="9"/>
      <c r="AZO1" s="9"/>
      <c r="AZP1" s="9"/>
      <c r="AZQ1" s="9"/>
      <c r="AZR1" s="9"/>
      <c r="AZS1" s="9"/>
      <c r="AZT1" s="9"/>
      <c r="AZU1" s="9"/>
      <c r="AZV1" s="9"/>
      <c r="AZW1" s="9"/>
      <c r="AZX1" s="9"/>
      <c r="AZY1" s="9"/>
      <c r="AZZ1" s="9"/>
      <c r="BAA1" s="9"/>
      <c r="BAB1" s="9"/>
      <c r="BAC1" s="9"/>
      <c r="BAD1" s="9"/>
      <c r="BAE1" s="9"/>
      <c r="BAF1" s="9"/>
      <c r="BAG1" s="9"/>
      <c r="BAH1" s="9"/>
      <c r="BAI1" s="9"/>
      <c r="BAJ1" s="9"/>
      <c r="BAK1" s="9"/>
      <c r="BAL1" s="9"/>
      <c r="BAM1" s="9"/>
      <c r="BAN1" s="9"/>
      <c r="BAO1" s="9"/>
      <c r="BAP1" s="9"/>
      <c r="BAQ1" s="9"/>
      <c r="BAR1" s="9"/>
      <c r="BAS1" s="9"/>
      <c r="BAT1" s="9"/>
      <c r="BAU1" s="9"/>
      <c r="BAV1" s="9"/>
      <c r="BAW1" s="9"/>
      <c r="BAX1" s="9"/>
      <c r="BAY1" s="9"/>
      <c r="BAZ1" s="9"/>
      <c r="BBA1" s="9"/>
      <c r="BBB1" s="9"/>
      <c r="BBC1" s="9"/>
      <c r="BBD1" s="9"/>
      <c r="BBE1" s="9"/>
      <c r="BBF1" s="9"/>
      <c r="BBG1" s="9"/>
      <c r="BBH1" s="9"/>
      <c r="BBI1" s="9"/>
      <c r="BBJ1" s="9"/>
      <c r="BBK1" s="9"/>
      <c r="BBL1" s="9"/>
      <c r="BBM1" s="9"/>
      <c r="BBN1" s="9"/>
      <c r="BBO1" s="9"/>
      <c r="BBP1" s="9"/>
      <c r="BBQ1" s="9"/>
      <c r="BBR1" s="9"/>
      <c r="BBS1" s="9"/>
      <c r="BBT1" s="9"/>
      <c r="BBU1" s="9"/>
      <c r="BBV1" s="9"/>
      <c r="BBW1" s="9"/>
      <c r="BBX1" s="9"/>
      <c r="BBY1" s="9"/>
      <c r="BBZ1" s="9"/>
      <c r="BCA1" s="9"/>
      <c r="BCB1" s="9"/>
      <c r="BCC1" s="9"/>
      <c r="BCD1" s="9"/>
      <c r="BCE1" s="9"/>
      <c r="BCF1" s="9"/>
      <c r="BCG1" s="9"/>
      <c r="BCH1" s="9"/>
      <c r="BCI1" s="9"/>
      <c r="BCJ1" s="9"/>
      <c r="BCK1" s="9"/>
      <c r="BCL1" s="9"/>
      <c r="BCM1" s="9"/>
      <c r="BCN1" s="9"/>
      <c r="BCO1" s="9"/>
      <c r="BCP1" s="9"/>
      <c r="BCQ1" s="9"/>
      <c r="BCR1" s="9"/>
      <c r="BCS1" s="9"/>
      <c r="BCT1" s="9"/>
      <c r="BCU1" s="9"/>
      <c r="BCV1" s="9"/>
      <c r="BCW1" s="9"/>
      <c r="BCX1" s="9"/>
      <c r="BCY1" s="9"/>
      <c r="BCZ1" s="9"/>
      <c r="BDA1" s="9"/>
      <c r="BDB1" s="9"/>
      <c r="BDC1" s="9"/>
      <c r="BDD1" s="9"/>
      <c r="BDE1" s="9"/>
      <c r="BDF1" s="9"/>
      <c r="BDG1" s="9"/>
      <c r="BDH1" s="9"/>
      <c r="BDI1" s="9"/>
      <c r="BDJ1" s="9"/>
      <c r="BDK1" s="9"/>
      <c r="BDL1" s="9"/>
      <c r="BDM1" s="9"/>
      <c r="BDN1" s="9"/>
      <c r="BDO1" s="9"/>
      <c r="BDP1" s="9"/>
      <c r="BDQ1" s="9"/>
      <c r="BDR1" s="9"/>
      <c r="BDS1" s="9"/>
      <c r="BDT1" s="9"/>
      <c r="BDU1" s="9"/>
      <c r="BDV1" s="9"/>
      <c r="BDW1" s="9"/>
      <c r="BDX1" s="9"/>
      <c r="BDY1" s="9"/>
      <c r="BDZ1" s="9"/>
      <c r="BEA1" s="9"/>
      <c r="BEB1" s="9"/>
      <c r="BEC1" s="9"/>
      <c r="BED1" s="9"/>
      <c r="BEE1" s="9"/>
      <c r="BEF1" s="9"/>
      <c r="BEG1" s="9"/>
      <c r="BEH1" s="9"/>
      <c r="BEI1" s="9"/>
      <c r="BEJ1" s="9"/>
      <c r="BEK1" s="9"/>
      <c r="BEL1" s="9"/>
      <c r="BEM1" s="9"/>
      <c r="BEN1" s="9"/>
      <c r="BEO1" s="9"/>
      <c r="BEP1" s="9"/>
      <c r="BEQ1" s="9"/>
      <c r="BER1" s="9"/>
      <c r="BES1" s="9"/>
      <c r="BET1" s="9"/>
      <c r="BEU1" s="9"/>
      <c r="BEV1" s="9"/>
      <c r="BEW1" s="9"/>
      <c r="BEX1" s="9"/>
      <c r="BEY1" s="9"/>
      <c r="BEZ1" s="9"/>
      <c r="BFA1" s="9"/>
      <c r="BFB1" s="9"/>
      <c r="BFC1" s="9"/>
      <c r="BFD1" s="9"/>
      <c r="BFE1" s="9"/>
      <c r="BFF1" s="9"/>
      <c r="BFG1" s="9"/>
      <c r="BFH1" s="9"/>
      <c r="BFI1" s="9"/>
      <c r="BFJ1" s="9"/>
      <c r="BFK1" s="9"/>
      <c r="BFL1" s="9"/>
      <c r="BFM1" s="9"/>
      <c r="BFN1" s="9"/>
      <c r="BFO1" s="9"/>
      <c r="BFP1" s="9"/>
      <c r="BFQ1" s="9"/>
      <c r="BFR1" s="9"/>
      <c r="BFS1" s="9"/>
      <c r="BFT1" s="9"/>
      <c r="BFU1" s="9"/>
      <c r="BFV1" s="9"/>
      <c r="BFW1" s="9"/>
      <c r="BFX1" s="9"/>
      <c r="BFY1" s="9"/>
      <c r="BFZ1" s="9"/>
      <c r="BGA1" s="9"/>
      <c r="BGB1" s="9"/>
      <c r="BGC1" s="9"/>
      <c r="BGD1" s="9"/>
      <c r="BGE1" s="9"/>
      <c r="BGF1" s="9"/>
      <c r="BGG1" s="9"/>
      <c r="BGH1" s="9"/>
      <c r="BGI1" s="9"/>
      <c r="BGJ1" s="9"/>
      <c r="BGK1" s="9"/>
      <c r="BGL1" s="9"/>
      <c r="BGM1" s="9"/>
      <c r="BGN1" s="9"/>
      <c r="BGO1" s="9"/>
      <c r="BGP1" s="9"/>
      <c r="BGQ1" s="9"/>
      <c r="BGR1" s="9"/>
      <c r="BGS1" s="9"/>
      <c r="BGT1" s="9"/>
      <c r="BGU1" s="9"/>
      <c r="BGV1" s="9"/>
      <c r="BGW1" s="9"/>
      <c r="BGX1" s="9"/>
      <c r="BGY1" s="9"/>
      <c r="BGZ1" s="9"/>
      <c r="BHA1" s="9"/>
      <c r="BHB1" s="9"/>
      <c r="BHC1" s="9"/>
      <c r="BHD1" s="9"/>
      <c r="BHE1" s="9"/>
      <c r="BHF1" s="9"/>
      <c r="BHG1" s="9"/>
      <c r="BHH1" s="9"/>
      <c r="BHI1" s="9"/>
      <c r="BHJ1" s="9"/>
      <c r="BHK1" s="9"/>
      <c r="BHL1" s="9"/>
      <c r="BHM1" s="9"/>
      <c r="BHN1" s="9"/>
      <c r="BHO1" s="9"/>
      <c r="BHP1" s="9"/>
      <c r="BHQ1" s="9"/>
      <c r="BHR1" s="9"/>
      <c r="BHS1" s="9"/>
      <c r="BHT1" s="9"/>
      <c r="BHU1" s="9"/>
      <c r="BHV1" s="9"/>
      <c r="BHW1" s="9"/>
      <c r="BHX1" s="9"/>
      <c r="BHY1" s="9"/>
      <c r="BHZ1" s="9"/>
      <c r="BIA1" s="9"/>
      <c r="BIB1" s="9"/>
      <c r="BIC1" s="9"/>
      <c r="BID1" s="9"/>
      <c r="BIE1" s="9"/>
      <c r="BIF1" s="9"/>
      <c r="BIG1" s="9"/>
      <c r="BIH1" s="9"/>
      <c r="BII1" s="9"/>
      <c r="BIJ1" s="9"/>
      <c r="BIK1" s="9"/>
      <c r="BIL1" s="9"/>
      <c r="BIM1" s="9"/>
      <c r="BIN1" s="9"/>
      <c r="BIO1" s="9"/>
      <c r="BIP1" s="9"/>
      <c r="BIQ1" s="9"/>
      <c r="BIR1" s="9"/>
      <c r="BIS1" s="9"/>
      <c r="BIT1" s="9"/>
      <c r="BIU1" s="9"/>
      <c r="BIV1" s="9"/>
      <c r="BIW1" s="9"/>
      <c r="BIX1" s="9"/>
      <c r="BIY1" s="9"/>
      <c r="BIZ1" s="9"/>
      <c r="BJA1" s="9"/>
      <c r="BJB1" s="9"/>
      <c r="BJC1" s="9"/>
      <c r="BJD1" s="9"/>
      <c r="BJE1" s="9"/>
      <c r="BJF1" s="9"/>
      <c r="BJG1" s="9"/>
      <c r="BJH1" s="9"/>
      <c r="BJI1" s="9"/>
      <c r="BJJ1" s="9"/>
      <c r="BJK1" s="9"/>
      <c r="BJL1" s="9"/>
      <c r="BJM1" s="9"/>
      <c r="BJN1" s="9"/>
      <c r="BJO1" s="9"/>
      <c r="BJP1" s="9"/>
      <c r="BJQ1" s="9"/>
      <c r="BJR1" s="9"/>
      <c r="BJS1" s="9"/>
      <c r="BJT1" s="9"/>
      <c r="BJU1" s="9"/>
      <c r="BJV1" s="9"/>
      <c r="BJW1" s="9"/>
      <c r="BJX1" s="9"/>
      <c r="BJY1" s="9"/>
      <c r="BJZ1" s="9"/>
      <c r="BKA1" s="9"/>
      <c r="BKB1" s="9"/>
      <c r="BKC1" s="9"/>
      <c r="BKD1" s="9"/>
      <c r="BKE1" s="9"/>
      <c r="BKF1" s="9"/>
      <c r="BKG1" s="9"/>
      <c r="BKH1" s="9"/>
      <c r="BKI1" s="9"/>
      <c r="BKJ1" s="9"/>
      <c r="BKK1" s="9"/>
      <c r="BKL1" s="9"/>
      <c r="BKM1" s="9"/>
      <c r="BKN1" s="9"/>
      <c r="BKO1" s="9"/>
      <c r="BKP1" s="9"/>
      <c r="BKQ1" s="9"/>
      <c r="BKR1" s="9"/>
      <c r="BKS1" s="9"/>
      <c r="BKT1" s="9"/>
      <c r="BKU1" s="9"/>
      <c r="BKV1" s="9"/>
      <c r="BKW1" s="9"/>
      <c r="BKX1" s="9"/>
      <c r="BKY1" s="9"/>
      <c r="BKZ1" s="9"/>
      <c r="BLA1" s="9"/>
      <c r="BLB1" s="9"/>
      <c r="BLC1" s="9"/>
      <c r="BLD1" s="9"/>
      <c r="BLE1" s="9"/>
      <c r="BLF1" s="9"/>
      <c r="BLG1" s="9"/>
      <c r="BLH1" s="9"/>
      <c r="BLI1" s="9"/>
      <c r="BLJ1" s="9"/>
      <c r="BLK1" s="9"/>
      <c r="BLL1" s="9"/>
      <c r="BLM1" s="9"/>
      <c r="BLN1" s="9"/>
      <c r="BLO1" s="9"/>
      <c r="BLP1" s="9"/>
      <c r="BLQ1" s="9"/>
      <c r="BLR1" s="9"/>
      <c r="BLS1" s="9"/>
      <c r="BLT1" s="9"/>
      <c r="BLU1" s="9"/>
      <c r="BLV1" s="9"/>
      <c r="BLW1" s="9"/>
      <c r="BLX1" s="9"/>
      <c r="BLY1" s="9"/>
      <c r="BLZ1" s="9"/>
      <c r="BMA1" s="9"/>
      <c r="BMB1" s="9"/>
      <c r="BMC1" s="9"/>
      <c r="BMD1" s="9"/>
      <c r="BME1" s="9"/>
      <c r="BMF1" s="9"/>
      <c r="BMG1" s="9"/>
      <c r="BMH1" s="9"/>
      <c r="BMI1" s="9"/>
      <c r="BMJ1" s="9"/>
      <c r="BMK1" s="9"/>
      <c r="BML1" s="9"/>
      <c r="BMM1" s="9"/>
      <c r="BMN1" s="9"/>
      <c r="BMO1" s="9"/>
      <c r="BMP1" s="9"/>
      <c r="BMQ1" s="9"/>
      <c r="BMR1" s="9"/>
      <c r="BMS1" s="9"/>
      <c r="BMT1" s="9"/>
      <c r="BMU1" s="9"/>
      <c r="BMV1" s="9"/>
      <c r="BMW1" s="9"/>
      <c r="BMX1" s="9"/>
      <c r="BMY1" s="9"/>
      <c r="BMZ1" s="9"/>
      <c r="BNA1" s="9"/>
      <c r="BNB1" s="9"/>
      <c r="BNC1" s="9"/>
      <c r="BND1" s="9"/>
      <c r="BNE1" s="9"/>
      <c r="BNF1" s="9"/>
      <c r="BNG1" s="9"/>
      <c r="BNH1" s="9"/>
      <c r="BNI1" s="9"/>
      <c r="BNJ1" s="9"/>
      <c r="BNK1" s="9"/>
      <c r="BNL1" s="9"/>
      <c r="BNM1" s="9"/>
      <c r="BNN1" s="9"/>
      <c r="BNO1" s="9"/>
      <c r="BNP1" s="9"/>
      <c r="BNQ1" s="9"/>
      <c r="BNR1" s="9"/>
      <c r="BNS1" s="9"/>
      <c r="BNT1" s="9"/>
      <c r="BNU1" s="9"/>
      <c r="BNV1" s="9"/>
      <c r="BNW1" s="9"/>
      <c r="BNX1" s="9"/>
      <c r="BNY1" s="9"/>
      <c r="BNZ1" s="9"/>
      <c r="BOA1" s="9"/>
      <c r="BOB1" s="9"/>
      <c r="BOC1" s="9"/>
      <c r="BOD1" s="9"/>
      <c r="BOE1" s="9"/>
      <c r="BOF1" s="9"/>
      <c r="BOG1" s="9"/>
      <c r="BOH1" s="9"/>
      <c r="BOI1" s="9"/>
      <c r="BOJ1" s="9"/>
      <c r="BOK1" s="9"/>
      <c r="BOL1" s="9"/>
      <c r="BOM1" s="9"/>
      <c r="BON1" s="9"/>
      <c r="BOO1" s="9"/>
      <c r="BOP1" s="9"/>
      <c r="BOQ1" s="9"/>
      <c r="BOR1" s="9"/>
      <c r="BOS1" s="9"/>
      <c r="BOT1" s="9"/>
      <c r="BOU1" s="9"/>
      <c r="BOV1" s="9"/>
      <c r="BOW1" s="9"/>
      <c r="BOX1" s="9"/>
      <c r="BOY1" s="9"/>
      <c r="BOZ1" s="9"/>
      <c r="BPA1" s="9"/>
      <c r="BPB1" s="9"/>
      <c r="BPC1" s="9"/>
      <c r="BPD1" s="9"/>
      <c r="BPE1" s="9"/>
      <c r="BPF1" s="9"/>
      <c r="BPG1" s="9"/>
      <c r="BPH1" s="9"/>
      <c r="BPI1" s="9"/>
      <c r="BPJ1" s="9"/>
      <c r="BPK1" s="9"/>
      <c r="BPL1" s="9"/>
      <c r="BPM1" s="9"/>
      <c r="BPN1" s="9"/>
      <c r="BPO1" s="9"/>
      <c r="BPP1" s="9"/>
      <c r="BPQ1" s="9"/>
      <c r="BPR1" s="9"/>
      <c r="BPS1" s="9"/>
      <c r="BPT1" s="9"/>
      <c r="BPU1" s="9"/>
      <c r="BPV1" s="9"/>
      <c r="BPW1" s="9"/>
      <c r="BPX1" s="9"/>
      <c r="BPY1" s="9"/>
      <c r="BPZ1" s="9"/>
      <c r="BQA1" s="9"/>
      <c r="BQB1" s="9"/>
      <c r="BQC1" s="9"/>
      <c r="BQD1" s="9"/>
      <c r="BQE1" s="9"/>
      <c r="BQF1" s="9"/>
      <c r="BQG1" s="9"/>
      <c r="BQH1" s="9"/>
      <c r="BQI1" s="9"/>
      <c r="BQJ1" s="9"/>
      <c r="BQK1" s="9"/>
      <c r="BQL1" s="9"/>
      <c r="BQM1" s="9"/>
      <c r="BQN1" s="9"/>
      <c r="BQO1" s="9"/>
      <c r="BQP1" s="9"/>
      <c r="BQQ1" s="9"/>
      <c r="BQR1" s="9"/>
      <c r="BQS1" s="9"/>
      <c r="BQT1" s="9"/>
      <c r="BQU1" s="9"/>
      <c r="BQV1" s="9"/>
      <c r="BQW1" s="9"/>
      <c r="BQX1" s="9"/>
      <c r="BQY1" s="9"/>
      <c r="BQZ1" s="9"/>
      <c r="BRA1" s="9"/>
      <c r="BRB1" s="9"/>
      <c r="BRC1" s="9"/>
      <c r="BRD1" s="9"/>
      <c r="BRE1" s="9"/>
      <c r="BRF1" s="9"/>
      <c r="BRG1" s="9"/>
      <c r="BRH1" s="9"/>
      <c r="BRI1" s="9"/>
      <c r="BRJ1" s="9"/>
      <c r="BRK1" s="9"/>
      <c r="BRL1" s="9"/>
      <c r="BRM1" s="9"/>
      <c r="BRN1" s="9"/>
      <c r="BRO1" s="9"/>
      <c r="BRP1" s="9"/>
      <c r="BRQ1" s="9"/>
      <c r="BRR1" s="9"/>
      <c r="BRS1" s="9"/>
      <c r="BRT1" s="9"/>
      <c r="BRU1" s="9"/>
      <c r="BRV1" s="9"/>
      <c r="BRW1" s="9"/>
      <c r="BRX1" s="9"/>
      <c r="BRY1" s="9"/>
      <c r="BRZ1" s="9"/>
      <c r="BSA1" s="9"/>
      <c r="BSB1" s="9"/>
      <c r="BSC1" s="9"/>
      <c r="BSD1" s="9"/>
      <c r="BSE1" s="9"/>
      <c r="BSF1" s="9"/>
      <c r="BSG1" s="9"/>
      <c r="BSH1" s="9"/>
      <c r="BSI1" s="9"/>
      <c r="BSJ1" s="9"/>
      <c r="BSK1" s="9"/>
      <c r="BSL1" s="9"/>
      <c r="BSM1" s="9"/>
      <c r="BSN1" s="9"/>
      <c r="BSO1" s="9"/>
      <c r="BSP1" s="9"/>
      <c r="BSQ1" s="9"/>
      <c r="BSR1" s="9"/>
      <c r="BSS1" s="9"/>
      <c r="BST1" s="9"/>
      <c r="BSU1" s="9"/>
      <c r="BSV1" s="9"/>
      <c r="BSW1" s="9"/>
      <c r="BSX1" s="9"/>
      <c r="BSY1" s="9"/>
      <c r="BSZ1" s="9"/>
      <c r="BTA1" s="9"/>
      <c r="BTB1" s="9"/>
      <c r="BTC1" s="9"/>
      <c r="BTD1" s="9"/>
      <c r="BTE1" s="9"/>
      <c r="BTF1" s="9"/>
      <c r="BTG1" s="9"/>
      <c r="BTH1" s="9"/>
      <c r="BTI1" s="9"/>
      <c r="BTJ1" s="9"/>
      <c r="BTK1" s="9"/>
      <c r="BTL1" s="9"/>
      <c r="BTM1" s="9"/>
      <c r="BTN1" s="9"/>
      <c r="BTO1" s="9"/>
      <c r="BTP1" s="9"/>
      <c r="BTQ1" s="9"/>
      <c r="BTR1" s="9"/>
      <c r="BTS1" s="9"/>
      <c r="BTT1" s="9"/>
      <c r="BTU1" s="9"/>
      <c r="BTV1" s="9"/>
      <c r="BTW1" s="9"/>
      <c r="BTX1" s="9"/>
      <c r="BTY1" s="9"/>
      <c r="BTZ1" s="9"/>
      <c r="BUA1" s="9"/>
      <c r="BUB1" s="9"/>
      <c r="BUC1" s="9"/>
      <c r="BUD1" s="9"/>
      <c r="BUE1" s="9"/>
      <c r="BUF1" s="9"/>
      <c r="BUG1" s="9"/>
      <c r="BUH1" s="9"/>
      <c r="BUI1" s="9"/>
      <c r="BUJ1" s="9"/>
      <c r="BUK1" s="9"/>
      <c r="BUL1" s="9"/>
      <c r="BUM1" s="9"/>
      <c r="BUN1" s="9"/>
      <c r="BUO1" s="9"/>
      <c r="BUP1" s="9"/>
      <c r="BUQ1" s="9"/>
      <c r="BUR1" s="9"/>
      <c r="BUS1" s="9"/>
      <c r="BUT1" s="9"/>
      <c r="BUU1" s="9"/>
      <c r="BUV1" s="9"/>
      <c r="BUW1" s="9"/>
      <c r="BUX1" s="9"/>
      <c r="BUY1" s="9"/>
      <c r="BUZ1" s="9"/>
      <c r="BVA1" s="9"/>
      <c r="BVB1" s="9"/>
      <c r="BVC1" s="9"/>
      <c r="BVD1" s="9"/>
      <c r="BVE1" s="9"/>
      <c r="BVF1" s="9"/>
      <c r="BVG1" s="9"/>
      <c r="BVH1" s="9"/>
      <c r="BVI1" s="9"/>
      <c r="BVJ1" s="9"/>
      <c r="BVK1" s="9"/>
      <c r="BVL1" s="9"/>
      <c r="BVM1" s="9"/>
      <c r="BVN1" s="9"/>
      <c r="BVO1" s="9"/>
      <c r="BVP1" s="9"/>
      <c r="BVQ1" s="9"/>
      <c r="BVR1" s="9"/>
      <c r="BVS1" s="9"/>
      <c r="BVT1" s="9"/>
      <c r="BVU1" s="9"/>
      <c r="BVV1" s="9"/>
      <c r="BVW1" s="9"/>
      <c r="BVX1" s="9"/>
      <c r="BVY1" s="9"/>
      <c r="BVZ1" s="9"/>
      <c r="BWA1" s="9"/>
      <c r="BWB1" s="9"/>
      <c r="BWC1" s="9"/>
      <c r="BWD1" s="9"/>
      <c r="BWE1" s="9"/>
      <c r="BWF1" s="9"/>
      <c r="BWG1" s="9"/>
      <c r="BWH1" s="9"/>
      <c r="BWI1" s="9"/>
      <c r="BWJ1" s="9"/>
      <c r="BWK1" s="9"/>
      <c r="BWL1" s="9"/>
      <c r="BWM1" s="9"/>
      <c r="BWN1" s="9"/>
      <c r="BWO1" s="9"/>
      <c r="BWP1" s="9"/>
      <c r="BWQ1" s="9"/>
      <c r="BWR1" s="9"/>
      <c r="BWS1" s="9"/>
      <c r="BWT1" s="9"/>
      <c r="BWU1" s="9"/>
      <c r="BWV1" s="9"/>
      <c r="BWW1" s="9"/>
      <c r="BWX1" s="9"/>
      <c r="BWY1" s="9"/>
      <c r="BWZ1" s="9"/>
      <c r="BXA1" s="9"/>
      <c r="BXB1" s="9"/>
      <c r="BXC1" s="9"/>
      <c r="BXD1" s="9"/>
      <c r="BXE1" s="9"/>
      <c r="BXF1" s="9"/>
      <c r="BXG1" s="9"/>
      <c r="BXH1" s="9"/>
      <c r="BXI1" s="9"/>
      <c r="BXJ1" s="9"/>
      <c r="BXK1" s="9"/>
      <c r="BXL1" s="9"/>
      <c r="BXM1" s="9"/>
      <c r="BXN1" s="9"/>
      <c r="BXO1" s="9"/>
      <c r="BXP1" s="9"/>
      <c r="BXQ1" s="9"/>
      <c r="BXR1" s="9"/>
      <c r="BXS1" s="9"/>
      <c r="BXT1" s="9"/>
      <c r="BXU1" s="9"/>
      <c r="BXV1" s="9"/>
      <c r="BXW1" s="9"/>
      <c r="BXX1" s="9"/>
      <c r="BXY1" s="9"/>
      <c r="BXZ1" s="9"/>
      <c r="BYA1" s="9"/>
      <c r="BYB1" s="9"/>
      <c r="BYC1" s="9"/>
      <c r="BYD1" s="9"/>
      <c r="BYE1" s="9"/>
      <c r="BYF1" s="9"/>
      <c r="BYG1" s="9"/>
      <c r="BYH1" s="9"/>
      <c r="BYI1" s="9"/>
      <c r="BYJ1" s="9"/>
      <c r="BYK1" s="9"/>
      <c r="BYL1" s="9"/>
      <c r="BYM1" s="9"/>
      <c r="BYN1" s="9"/>
      <c r="BYO1" s="9"/>
      <c r="BYP1" s="9"/>
      <c r="BYQ1" s="9"/>
      <c r="BYR1" s="9"/>
      <c r="BYS1" s="9"/>
      <c r="BYT1" s="9"/>
      <c r="BYU1" s="9"/>
      <c r="BYV1" s="9"/>
      <c r="BYW1" s="9"/>
      <c r="BYX1" s="9"/>
      <c r="BYY1" s="9"/>
      <c r="BYZ1" s="9"/>
      <c r="BZA1" s="9"/>
      <c r="BZB1" s="9"/>
      <c r="BZC1" s="9"/>
      <c r="BZD1" s="9"/>
      <c r="BZE1" s="9"/>
      <c r="BZF1" s="9"/>
      <c r="BZG1" s="9"/>
      <c r="BZH1" s="9"/>
      <c r="BZI1" s="9"/>
      <c r="BZJ1" s="9"/>
      <c r="BZK1" s="9"/>
      <c r="BZL1" s="9"/>
      <c r="BZM1" s="9"/>
      <c r="BZN1" s="9"/>
      <c r="BZO1" s="9"/>
      <c r="BZP1" s="9"/>
      <c r="BZQ1" s="9"/>
      <c r="BZR1" s="9"/>
      <c r="BZS1" s="9"/>
      <c r="BZT1" s="9"/>
      <c r="BZU1" s="9"/>
      <c r="BZV1" s="9"/>
      <c r="BZW1" s="9"/>
      <c r="BZX1" s="9"/>
      <c r="BZY1" s="9"/>
      <c r="BZZ1" s="9"/>
      <c r="CAA1" s="9"/>
      <c r="CAB1" s="9"/>
      <c r="CAC1" s="9"/>
      <c r="CAD1" s="9"/>
      <c r="CAE1" s="9"/>
      <c r="CAF1" s="9"/>
      <c r="CAG1" s="9"/>
      <c r="CAH1" s="9"/>
      <c r="CAI1" s="9"/>
      <c r="CAJ1" s="9"/>
      <c r="CAK1" s="9"/>
      <c r="CAL1" s="9"/>
      <c r="CAM1" s="9"/>
      <c r="CAN1" s="9"/>
      <c r="CAO1" s="9"/>
      <c r="CAP1" s="9"/>
      <c r="CAQ1" s="9"/>
      <c r="CAR1" s="9"/>
      <c r="CAS1" s="9"/>
      <c r="CAT1" s="9"/>
      <c r="CAU1" s="9"/>
      <c r="CAV1" s="9"/>
      <c r="CAW1" s="9"/>
      <c r="CAX1" s="9"/>
      <c r="CAY1" s="9"/>
      <c r="CAZ1" s="9"/>
      <c r="CBA1" s="9"/>
      <c r="CBB1" s="9"/>
      <c r="CBC1" s="9"/>
      <c r="CBD1" s="9"/>
      <c r="CBE1" s="9"/>
      <c r="CBF1" s="9"/>
      <c r="CBG1" s="9"/>
      <c r="CBH1" s="9"/>
      <c r="CBI1" s="9"/>
      <c r="CBJ1" s="9"/>
      <c r="CBK1" s="9"/>
      <c r="CBL1" s="9"/>
      <c r="CBM1" s="9"/>
      <c r="CBN1" s="9"/>
      <c r="CBO1" s="9"/>
      <c r="CBP1" s="9"/>
      <c r="CBQ1" s="9"/>
      <c r="CBR1" s="9"/>
      <c r="CBS1" s="9"/>
      <c r="CBT1" s="9"/>
      <c r="CBU1" s="9"/>
      <c r="CBV1" s="9"/>
      <c r="CBW1" s="9"/>
      <c r="CBX1" s="9"/>
      <c r="CBY1" s="9"/>
      <c r="CBZ1" s="9"/>
      <c r="CCA1" s="9"/>
      <c r="CCB1" s="9"/>
      <c r="CCC1" s="9"/>
      <c r="CCD1" s="9"/>
      <c r="CCE1" s="9"/>
      <c r="CCF1" s="9"/>
      <c r="CCG1" s="9"/>
      <c r="CCH1" s="9"/>
      <c r="CCI1" s="9"/>
      <c r="CCJ1" s="9"/>
      <c r="CCK1" s="9"/>
      <c r="CCL1" s="9"/>
      <c r="CCM1" s="9"/>
      <c r="CCN1" s="9"/>
      <c r="CCO1" s="9"/>
      <c r="CCP1" s="9"/>
      <c r="CCQ1" s="9"/>
      <c r="CCR1" s="9"/>
      <c r="CCS1" s="9"/>
      <c r="CCT1" s="9"/>
      <c r="CCU1" s="9"/>
      <c r="CCV1" s="9"/>
      <c r="CCW1" s="9"/>
      <c r="CCX1" s="9"/>
      <c r="CCY1" s="9"/>
      <c r="CCZ1" s="9"/>
      <c r="CDA1" s="9"/>
      <c r="CDB1" s="9"/>
      <c r="CDC1" s="9"/>
      <c r="CDD1" s="9"/>
      <c r="CDE1" s="9"/>
      <c r="CDF1" s="9"/>
      <c r="CDG1" s="9"/>
      <c r="CDH1" s="9"/>
      <c r="CDI1" s="9"/>
      <c r="CDJ1" s="9"/>
      <c r="CDK1" s="9"/>
      <c r="CDL1" s="9"/>
      <c r="CDM1" s="9"/>
      <c r="CDN1" s="9"/>
      <c r="CDO1" s="9"/>
      <c r="CDP1" s="9"/>
      <c r="CDQ1" s="9"/>
      <c r="CDR1" s="9"/>
      <c r="CDS1" s="9"/>
      <c r="CDT1" s="9"/>
      <c r="CDU1" s="9"/>
      <c r="CDV1" s="9"/>
      <c r="CDW1" s="9"/>
      <c r="CDX1" s="9"/>
      <c r="CDY1" s="9"/>
      <c r="CDZ1" s="9"/>
      <c r="CEA1" s="9"/>
      <c r="CEB1" s="9"/>
      <c r="CEC1" s="9"/>
      <c r="CED1" s="9"/>
      <c r="CEE1" s="9"/>
      <c r="CEF1" s="9"/>
      <c r="CEG1" s="9"/>
      <c r="CEH1" s="9"/>
      <c r="CEI1" s="9"/>
      <c r="CEJ1" s="9"/>
      <c r="CEK1" s="9"/>
      <c r="CEL1" s="9"/>
      <c r="CEM1" s="9"/>
      <c r="CEN1" s="9"/>
      <c r="CEO1" s="9"/>
      <c r="CEP1" s="9"/>
      <c r="CEQ1" s="9"/>
      <c r="CER1" s="9"/>
      <c r="CES1" s="9"/>
      <c r="CET1" s="9"/>
      <c r="CEU1" s="9"/>
      <c r="CEV1" s="9"/>
      <c r="CEW1" s="9"/>
      <c r="CEX1" s="9"/>
      <c r="CEY1" s="9"/>
      <c r="CEZ1" s="9"/>
      <c r="CFA1" s="9"/>
      <c r="CFB1" s="9"/>
      <c r="CFC1" s="9"/>
      <c r="CFD1" s="9"/>
      <c r="CFE1" s="9"/>
      <c r="CFF1" s="9"/>
      <c r="CFG1" s="9"/>
      <c r="CFH1" s="9"/>
      <c r="CFI1" s="9"/>
      <c r="CFJ1" s="9"/>
      <c r="CFK1" s="9"/>
      <c r="CFL1" s="9"/>
      <c r="CFM1" s="9"/>
      <c r="CFN1" s="9"/>
      <c r="CFO1" s="9"/>
      <c r="CFP1" s="9"/>
      <c r="CFQ1" s="9"/>
      <c r="CFR1" s="9"/>
      <c r="CFS1" s="9"/>
      <c r="CFT1" s="9"/>
      <c r="CFU1" s="9"/>
      <c r="CFV1" s="9"/>
      <c r="CFW1" s="9"/>
      <c r="CFX1" s="9"/>
      <c r="CFY1" s="9"/>
      <c r="CFZ1" s="9"/>
      <c r="CGA1" s="9"/>
      <c r="CGB1" s="9"/>
      <c r="CGC1" s="9"/>
      <c r="CGD1" s="9"/>
      <c r="CGE1" s="9"/>
      <c r="CGF1" s="9"/>
      <c r="CGG1" s="9"/>
      <c r="CGH1" s="9"/>
      <c r="CGI1" s="9"/>
      <c r="CGJ1" s="9"/>
      <c r="CGK1" s="9"/>
      <c r="CGL1" s="9"/>
      <c r="CGM1" s="9"/>
      <c r="CGN1" s="9"/>
      <c r="CGO1" s="9"/>
      <c r="CGP1" s="9"/>
      <c r="CGQ1" s="9"/>
      <c r="CGR1" s="9"/>
      <c r="CGS1" s="9"/>
      <c r="CGT1" s="9"/>
      <c r="CGU1" s="9"/>
      <c r="CGV1" s="9"/>
      <c r="CGW1" s="9"/>
      <c r="CGX1" s="9"/>
      <c r="CGY1" s="9"/>
      <c r="CGZ1" s="9"/>
      <c r="CHA1" s="9"/>
      <c r="CHB1" s="9"/>
      <c r="CHC1" s="9"/>
      <c r="CHD1" s="9"/>
      <c r="CHE1" s="9"/>
      <c r="CHF1" s="9"/>
      <c r="CHG1" s="9"/>
      <c r="CHH1" s="9"/>
      <c r="CHI1" s="9"/>
      <c r="CHJ1" s="9"/>
      <c r="CHK1" s="9"/>
      <c r="CHL1" s="9"/>
      <c r="CHM1" s="9"/>
      <c r="CHN1" s="9"/>
      <c r="CHO1" s="9"/>
      <c r="CHP1" s="9"/>
      <c r="CHQ1" s="9"/>
      <c r="CHR1" s="9"/>
      <c r="CHS1" s="9"/>
      <c r="CHT1" s="9"/>
      <c r="CHU1" s="9"/>
      <c r="CHV1" s="9"/>
      <c r="CHW1" s="9"/>
      <c r="CHX1" s="9"/>
      <c r="CHY1" s="9"/>
      <c r="CHZ1" s="9"/>
      <c r="CIA1" s="9"/>
      <c r="CIB1" s="9"/>
      <c r="CIC1" s="9"/>
      <c r="CID1" s="9"/>
      <c r="CIE1" s="9"/>
      <c r="CIF1" s="9"/>
      <c r="CIG1" s="9"/>
      <c r="CIH1" s="9"/>
      <c r="CII1" s="9"/>
      <c r="CIJ1" s="9"/>
      <c r="CIK1" s="9"/>
      <c r="CIL1" s="9"/>
      <c r="CIM1" s="9"/>
      <c r="CIN1" s="9"/>
      <c r="CIO1" s="9"/>
      <c r="CIP1" s="9"/>
      <c r="CIQ1" s="9"/>
      <c r="CIR1" s="9"/>
      <c r="CIS1" s="9"/>
      <c r="CIT1" s="9"/>
      <c r="CIU1" s="9"/>
      <c r="CIV1" s="9"/>
      <c r="CIW1" s="9"/>
      <c r="CIX1" s="9"/>
      <c r="CIY1" s="9"/>
      <c r="CIZ1" s="9"/>
      <c r="CJA1" s="9"/>
      <c r="CJB1" s="9"/>
      <c r="CJC1" s="9"/>
      <c r="CJD1" s="9"/>
      <c r="CJE1" s="9"/>
      <c r="CJF1" s="9"/>
      <c r="CJG1" s="9"/>
      <c r="CJH1" s="9"/>
      <c r="CJI1" s="9"/>
      <c r="CJJ1" s="9"/>
      <c r="CJK1" s="9"/>
      <c r="CJL1" s="9"/>
      <c r="CJM1" s="9"/>
      <c r="CJN1" s="9"/>
      <c r="CJO1" s="9"/>
      <c r="CJP1" s="9"/>
      <c r="CJQ1" s="9"/>
      <c r="CJR1" s="9"/>
      <c r="CJS1" s="9"/>
      <c r="CJT1" s="9"/>
      <c r="CJU1" s="9"/>
      <c r="CJV1" s="9"/>
      <c r="CJW1" s="9"/>
      <c r="CJX1" s="9"/>
      <c r="CJY1" s="9"/>
      <c r="CJZ1" s="9"/>
      <c r="CKA1" s="9"/>
      <c r="CKB1" s="9"/>
      <c r="CKC1" s="9"/>
      <c r="CKD1" s="9"/>
      <c r="CKE1" s="9"/>
      <c r="CKF1" s="9"/>
      <c r="CKG1" s="9"/>
      <c r="CKH1" s="9"/>
      <c r="CKI1" s="9"/>
      <c r="CKJ1" s="9"/>
      <c r="CKK1" s="9"/>
      <c r="CKL1" s="9"/>
      <c r="CKM1" s="9"/>
      <c r="CKN1" s="9"/>
      <c r="CKO1" s="9"/>
      <c r="CKP1" s="9"/>
      <c r="CKQ1" s="9"/>
      <c r="CKR1" s="9"/>
      <c r="CKS1" s="9"/>
      <c r="CKT1" s="9"/>
      <c r="CKU1" s="9"/>
      <c r="CKV1" s="9"/>
      <c r="CKW1" s="9"/>
      <c r="CKX1" s="9"/>
      <c r="CKY1" s="9"/>
      <c r="CKZ1" s="9"/>
      <c r="CLA1" s="9"/>
      <c r="CLB1" s="9"/>
      <c r="CLC1" s="9"/>
      <c r="CLD1" s="9"/>
      <c r="CLE1" s="9"/>
      <c r="CLF1" s="9"/>
      <c r="CLG1" s="9"/>
      <c r="CLH1" s="9"/>
      <c r="CLI1" s="9"/>
      <c r="CLJ1" s="9"/>
      <c r="CLK1" s="9"/>
      <c r="CLL1" s="9"/>
      <c r="CLM1" s="9"/>
      <c r="CLN1" s="9"/>
      <c r="CLO1" s="9"/>
      <c r="CLP1" s="9"/>
      <c r="CLQ1" s="9"/>
      <c r="CLR1" s="9"/>
      <c r="CLS1" s="9"/>
      <c r="CLT1" s="9"/>
      <c r="CLU1" s="9"/>
      <c r="CLV1" s="9"/>
      <c r="CLW1" s="9"/>
      <c r="CLX1" s="9"/>
      <c r="CLY1" s="9"/>
      <c r="CLZ1" s="9"/>
      <c r="CMA1" s="9"/>
      <c r="CMB1" s="9"/>
      <c r="CMC1" s="9"/>
      <c r="CMD1" s="9"/>
      <c r="CME1" s="9"/>
      <c r="CMF1" s="9"/>
      <c r="CMG1" s="9"/>
      <c r="CMH1" s="9"/>
      <c r="CMI1" s="9"/>
      <c r="CMJ1" s="9"/>
      <c r="CMK1" s="9"/>
      <c r="CML1" s="9"/>
      <c r="CMM1" s="9"/>
      <c r="CMN1" s="9"/>
      <c r="CMO1" s="9"/>
      <c r="CMP1" s="9"/>
      <c r="CMQ1" s="9"/>
      <c r="CMR1" s="9"/>
      <c r="CMS1" s="9"/>
      <c r="CMT1" s="9"/>
      <c r="CMU1" s="9"/>
      <c r="CMV1" s="9"/>
      <c r="CMW1" s="9"/>
      <c r="CMX1" s="9"/>
      <c r="CMY1" s="9"/>
      <c r="CMZ1" s="9"/>
      <c r="CNA1" s="9"/>
      <c r="CNB1" s="9"/>
      <c r="CNC1" s="9"/>
      <c r="CND1" s="9"/>
      <c r="CNE1" s="9"/>
      <c r="CNF1" s="9"/>
      <c r="CNG1" s="9"/>
      <c r="CNH1" s="9"/>
      <c r="CNI1" s="9"/>
      <c r="CNJ1" s="9"/>
      <c r="CNK1" s="9"/>
      <c r="CNL1" s="9"/>
      <c r="CNM1" s="9"/>
      <c r="CNN1" s="9"/>
      <c r="CNO1" s="9"/>
      <c r="CNP1" s="9"/>
      <c r="CNQ1" s="9"/>
      <c r="CNR1" s="9"/>
      <c r="CNS1" s="9"/>
      <c r="CNT1" s="9"/>
      <c r="CNU1" s="9"/>
      <c r="CNV1" s="9"/>
      <c r="CNW1" s="9"/>
      <c r="CNX1" s="9"/>
      <c r="CNY1" s="9"/>
      <c r="CNZ1" s="9"/>
      <c r="COA1" s="9"/>
      <c r="COB1" s="9"/>
      <c r="COC1" s="9"/>
      <c r="COD1" s="9"/>
      <c r="COE1" s="9"/>
      <c r="COF1" s="9"/>
      <c r="COG1" s="9"/>
      <c r="COH1" s="9"/>
      <c r="COI1" s="9"/>
      <c r="COJ1" s="9"/>
      <c r="COK1" s="9"/>
      <c r="COL1" s="9"/>
      <c r="COM1" s="9"/>
      <c r="CON1" s="9"/>
      <c r="COO1" s="9"/>
      <c r="COP1" s="9"/>
      <c r="COQ1" s="9"/>
      <c r="COR1" s="9"/>
      <c r="COS1" s="9"/>
      <c r="COT1" s="9"/>
      <c r="COU1" s="9"/>
      <c r="COV1" s="9"/>
      <c r="COW1" s="9"/>
      <c r="COX1" s="9"/>
      <c r="COY1" s="9"/>
      <c r="COZ1" s="9"/>
      <c r="CPA1" s="9"/>
      <c r="CPB1" s="9"/>
      <c r="CPC1" s="9"/>
      <c r="CPD1" s="9"/>
      <c r="CPE1" s="9"/>
      <c r="CPF1" s="9"/>
      <c r="CPG1" s="9"/>
      <c r="CPH1" s="9"/>
      <c r="CPI1" s="9"/>
      <c r="CPJ1" s="9"/>
      <c r="CPK1" s="9"/>
      <c r="CPL1" s="9"/>
      <c r="CPM1" s="9"/>
      <c r="CPN1" s="9"/>
      <c r="CPO1" s="9"/>
      <c r="CPP1" s="9"/>
      <c r="CPQ1" s="9"/>
      <c r="CPR1" s="9"/>
      <c r="CPS1" s="9"/>
      <c r="CPT1" s="9"/>
      <c r="CPU1" s="9"/>
      <c r="CPV1" s="9"/>
      <c r="CPW1" s="9"/>
      <c r="CPX1" s="9"/>
      <c r="CPY1" s="9"/>
      <c r="CPZ1" s="9"/>
      <c r="CQA1" s="9"/>
      <c r="CQB1" s="9"/>
      <c r="CQC1" s="9"/>
      <c r="CQD1" s="9"/>
      <c r="CQE1" s="9"/>
      <c r="CQF1" s="9"/>
      <c r="CQG1" s="9"/>
      <c r="CQH1" s="9"/>
      <c r="CQI1" s="9"/>
      <c r="CQJ1" s="9"/>
      <c r="CQK1" s="9"/>
      <c r="CQL1" s="9"/>
      <c r="CQM1" s="9"/>
      <c r="CQN1" s="9"/>
      <c r="CQO1" s="9"/>
      <c r="CQP1" s="9"/>
      <c r="CQQ1" s="9"/>
      <c r="CQR1" s="9"/>
      <c r="CQS1" s="9"/>
      <c r="CQT1" s="9"/>
      <c r="CQU1" s="9"/>
      <c r="CQV1" s="9"/>
      <c r="CQW1" s="9"/>
      <c r="CQX1" s="9"/>
      <c r="CQY1" s="9"/>
      <c r="CQZ1" s="9"/>
      <c r="CRA1" s="9"/>
      <c r="CRB1" s="9"/>
      <c r="CRC1" s="9"/>
      <c r="CRD1" s="9"/>
      <c r="CRE1" s="9"/>
      <c r="CRF1" s="9"/>
      <c r="CRG1" s="9"/>
      <c r="CRH1" s="9"/>
      <c r="CRI1" s="9"/>
      <c r="CRJ1" s="9"/>
      <c r="CRK1" s="9"/>
      <c r="CRL1" s="9"/>
      <c r="CRM1" s="9"/>
      <c r="CRN1" s="9"/>
      <c r="CRO1" s="9"/>
      <c r="CRP1" s="9"/>
      <c r="CRQ1" s="9"/>
      <c r="CRR1" s="9"/>
      <c r="CRS1" s="9"/>
      <c r="CRT1" s="9"/>
      <c r="CRU1" s="9"/>
      <c r="CRV1" s="9"/>
      <c r="CRW1" s="9"/>
      <c r="CRX1" s="9"/>
      <c r="CRY1" s="9"/>
      <c r="CRZ1" s="9"/>
      <c r="CSA1" s="9"/>
      <c r="CSB1" s="9"/>
      <c r="CSC1" s="9"/>
      <c r="CSD1" s="9"/>
      <c r="CSE1" s="9"/>
      <c r="CSF1" s="9"/>
      <c r="CSG1" s="9"/>
      <c r="CSH1" s="9"/>
      <c r="CSI1" s="9"/>
      <c r="CSJ1" s="9"/>
      <c r="CSK1" s="9"/>
      <c r="CSL1" s="9"/>
      <c r="CSM1" s="9"/>
      <c r="CSN1" s="9"/>
      <c r="CSO1" s="9"/>
      <c r="CSP1" s="9"/>
      <c r="CSQ1" s="9"/>
      <c r="CSR1" s="9"/>
      <c r="CSS1" s="9"/>
      <c r="CST1" s="9"/>
      <c r="CSU1" s="9"/>
      <c r="CSV1" s="9"/>
      <c r="CSW1" s="9"/>
      <c r="CSX1" s="9"/>
      <c r="CSY1" s="9"/>
      <c r="CSZ1" s="9"/>
      <c r="CTA1" s="9"/>
      <c r="CTB1" s="9"/>
      <c r="CTC1" s="9"/>
      <c r="CTD1" s="9"/>
      <c r="CTE1" s="9"/>
      <c r="CTF1" s="9"/>
      <c r="CTG1" s="9"/>
      <c r="CTH1" s="9"/>
      <c r="CTI1" s="9"/>
      <c r="CTJ1" s="9"/>
      <c r="CTK1" s="9"/>
      <c r="CTL1" s="9"/>
      <c r="CTM1" s="9"/>
      <c r="CTN1" s="9"/>
      <c r="CTO1" s="9"/>
      <c r="CTP1" s="9"/>
      <c r="CTQ1" s="9"/>
      <c r="CTR1" s="9"/>
      <c r="CTS1" s="9"/>
      <c r="CTT1" s="9"/>
      <c r="CTU1" s="9"/>
      <c r="CTV1" s="9"/>
      <c r="CTW1" s="9"/>
      <c r="CTX1" s="9"/>
      <c r="CTY1" s="9"/>
      <c r="CTZ1" s="9"/>
      <c r="CUA1" s="9"/>
      <c r="CUB1" s="9"/>
      <c r="CUC1" s="9"/>
      <c r="CUD1" s="9"/>
      <c r="CUE1" s="9"/>
      <c r="CUF1" s="9"/>
      <c r="CUG1" s="9"/>
      <c r="CUH1" s="9"/>
      <c r="CUI1" s="9"/>
      <c r="CUJ1" s="9"/>
      <c r="CUK1" s="9"/>
      <c r="CUL1" s="9"/>
      <c r="CUM1" s="9"/>
      <c r="CUN1" s="9"/>
      <c r="CUO1" s="9"/>
      <c r="CUP1" s="9"/>
      <c r="CUQ1" s="9"/>
      <c r="CUR1" s="9"/>
      <c r="CUS1" s="9"/>
      <c r="CUT1" s="9"/>
      <c r="CUU1" s="9"/>
      <c r="CUV1" s="9"/>
      <c r="CUW1" s="9"/>
      <c r="CUX1" s="9"/>
      <c r="CUY1" s="9"/>
      <c r="CUZ1" s="9"/>
      <c r="CVA1" s="9"/>
      <c r="CVB1" s="9"/>
      <c r="CVC1" s="9"/>
      <c r="CVD1" s="9"/>
      <c r="CVE1" s="9"/>
      <c r="CVF1" s="9"/>
      <c r="CVG1" s="9"/>
      <c r="CVH1" s="9"/>
      <c r="CVI1" s="9"/>
      <c r="CVJ1" s="9"/>
      <c r="CVK1" s="9"/>
      <c r="CVL1" s="9"/>
      <c r="CVM1" s="9"/>
      <c r="CVN1" s="9"/>
      <c r="CVO1" s="9"/>
      <c r="CVP1" s="9"/>
      <c r="CVQ1" s="9"/>
      <c r="CVR1" s="9"/>
      <c r="CVS1" s="9"/>
      <c r="CVT1" s="9"/>
      <c r="CVU1" s="9"/>
      <c r="CVV1" s="9"/>
      <c r="CVW1" s="9"/>
      <c r="CVX1" s="9"/>
      <c r="CVY1" s="9"/>
      <c r="CVZ1" s="9"/>
      <c r="CWA1" s="9"/>
      <c r="CWB1" s="9"/>
      <c r="CWC1" s="9"/>
      <c r="CWD1" s="9"/>
      <c r="CWE1" s="9"/>
      <c r="CWF1" s="9"/>
      <c r="CWG1" s="9"/>
      <c r="CWH1" s="9"/>
      <c r="CWI1" s="9"/>
      <c r="CWJ1" s="9"/>
      <c r="CWK1" s="9"/>
      <c r="CWL1" s="9"/>
      <c r="CWM1" s="9"/>
      <c r="CWN1" s="9"/>
      <c r="CWO1" s="9"/>
      <c r="CWP1" s="9"/>
      <c r="CWQ1" s="9"/>
      <c r="CWR1" s="9"/>
      <c r="CWS1" s="9"/>
      <c r="CWT1" s="9"/>
      <c r="CWU1" s="9"/>
      <c r="CWV1" s="9"/>
      <c r="CWW1" s="9"/>
      <c r="CWX1" s="9"/>
      <c r="CWY1" s="9"/>
      <c r="CWZ1" s="9"/>
      <c r="CXA1" s="9"/>
      <c r="CXB1" s="9"/>
      <c r="CXC1" s="9"/>
      <c r="CXD1" s="9"/>
      <c r="CXE1" s="9"/>
      <c r="CXF1" s="9"/>
      <c r="CXG1" s="9"/>
      <c r="CXH1" s="9"/>
      <c r="CXI1" s="9"/>
      <c r="CXJ1" s="9"/>
      <c r="CXK1" s="9"/>
      <c r="CXL1" s="9"/>
      <c r="CXM1" s="9"/>
      <c r="CXN1" s="9"/>
      <c r="CXO1" s="9"/>
      <c r="CXP1" s="9"/>
      <c r="CXQ1" s="9"/>
      <c r="CXR1" s="9"/>
      <c r="CXS1" s="9"/>
      <c r="CXT1" s="9"/>
      <c r="CXU1" s="9"/>
      <c r="CXV1" s="9"/>
      <c r="CXW1" s="9"/>
      <c r="CXX1" s="9"/>
      <c r="CXY1" s="9"/>
      <c r="CXZ1" s="9"/>
      <c r="CYA1" s="9"/>
      <c r="CYB1" s="9"/>
      <c r="CYC1" s="9"/>
      <c r="CYD1" s="9"/>
      <c r="CYE1" s="9"/>
      <c r="CYF1" s="9"/>
      <c r="CYG1" s="9"/>
      <c r="CYH1" s="9"/>
      <c r="CYI1" s="9"/>
      <c r="CYJ1" s="9"/>
      <c r="CYK1" s="9"/>
      <c r="CYL1" s="9"/>
      <c r="CYM1" s="9"/>
      <c r="CYN1" s="9"/>
      <c r="CYO1" s="9"/>
      <c r="CYP1" s="9"/>
      <c r="CYQ1" s="9"/>
      <c r="CYR1" s="9"/>
      <c r="CYS1" s="9"/>
      <c r="CYT1" s="9"/>
      <c r="CYU1" s="9"/>
      <c r="CYV1" s="9"/>
      <c r="CYW1" s="9"/>
      <c r="CYX1" s="9"/>
      <c r="CYY1" s="9"/>
      <c r="CYZ1" s="9"/>
      <c r="CZA1" s="9"/>
      <c r="CZB1" s="9"/>
      <c r="CZC1" s="9"/>
      <c r="CZD1" s="9"/>
      <c r="CZE1" s="9"/>
      <c r="CZF1" s="9"/>
      <c r="CZG1" s="9"/>
      <c r="CZH1" s="9"/>
      <c r="CZI1" s="9"/>
      <c r="CZJ1" s="9"/>
      <c r="CZK1" s="9"/>
      <c r="CZL1" s="9"/>
      <c r="CZM1" s="9"/>
      <c r="CZN1" s="9"/>
      <c r="CZO1" s="9"/>
      <c r="CZP1" s="9"/>
      <c r="CZQ1" s="9"/>
      <c r="CZR1" s="9"/>
      <c r="CZS1" s="9"/>
      <c r="CZT1" s="9"/>
      <c r="CZU1" s="9"/>
      <c r="CZV1" s="9"/>
      <c r="CZW1" s="9"/>
      <c r="CZX1" s="9"/>
      <c r="CZY1" s="9"/>
      <c r="CZZ1" s="9"/>
      <c r="DAA1" s="9"/>
      <c r="DAB1" s="9"/>
      <c r="DAC1" s="9"/>
      <c r="DAD1" s="9"/>
      <c r="DAE1" s="9"/>
      <c r="DAF1" s="9"/>
      <c r="DAG1" s="9"/>
      <c r="DAH1" s="9"/>
      <c r="DAI1" s="9"/>
      <c r="DAJ1" s="9"/>
      <c r="DAK1" s="9"/>
      <c r="DAL1" s="9"/>
      <c r="DAM1" s="9"/>
      <c r="DAN1" s="9"/>
      <c r="DAO1" s="9"/>
      <c r="DAP1" s="9"/>
      <c r="DAQ1" s="9"/>
      <c r="DAR1" s="9"/>
      <c r="DAS1" s="9"/>
      <c r="DAT1" s="9"/>
      <c r="DAU1" s="9"/>
      <c r="DAV1" s="9"/>
      <c r="DAW1" s="9"/>
      <c r="DAX1" s="9"/>
      <c r="DAY1" s="9"/>
      <c r="DAZ1" s="9"/>
      <c r="DBA1" s="9"/>
      <c r="DBB1" s="9"/>
      <c r="DBC1" s="9"/>
      <c r="DBD1" s="9"/>
      <c r="DBE1" s="9"/>
      <c r="DBF1" s="9"/>
      <c r="DBG1" s="9"/>
      <c r="DBH1" s="9"/>
      <c r="DBI1" s="9"/>
      <c r="DBJ1" s="9"/>
      <c r="DBK1" s="9"/>
      <c r="DBL1" s="9"/>
      <c r="DBM1" s="9"/>
      <c r="DBN1" s="9"/>
      <c r="DBO1" s="9"/>
      <c r="DBP1" s="9"/>
      <c r="DBQ1" s="9"/>
      <c r="DBR1" s="9"/>
      <c r="DBS1" s="9"/>
      <c r="DBT1" s="9"/>
      <c r="DBU1" s="9"/>
      <c r="DBV1" s="9"/>
      <c r="DBW1" s="9"/>
      <c r="DBX1" s="9"/>
      <c r="DBY1" s="9"/>
      <c r="DBZ1" s="9"/>
      <c r="DCA1" s="9"/>
      <c r="DCB1" s="9"/>
      <c r="DCC1" s="9"/>
      <c r="DCD1" s="9"/>
      <c r="DCE1" s="9"/>
      <c r="DCF1" s="9"/>
      <c r="DCG1" s="9"/>
      <c r="DCH1" s="9"/>
      <c r="DCI1" s="9"/>
      <c r="DCJ1" s="9"/>
      <c r="DCK1" s="9"/>
      <c r="DCL1" s="9"/>
      <c r="DCM1" s="9"/>
      <c r="DCN1" s="9"/>
      <c r="DCO1" s="9"/>
      <c r="DCP1" s="9"/>
      <c r="DCQ1" s="9"/>
      <c r="DCR1" s="9"/>
      <c r="DCS1" s="9"/>
      <c r="DCT1" s="9"/>
      <c r="DCU1" s="9"/>
      <c r="DCV1" s="9"/>
      <c r="DCW1" s="9"/>
      <c r="DCX1" s="9"/>
      <c r="DCY1" s="9"/>
      <c r="DCZ1" s="9"/>
      <c r="DDA1" s="9"/>
      <c r="DDB1" s="9"/>
      <c r="DDC1" s="9"/>
      <c r="DDD1" s="9"/>
      <c r="DDE1" s="9"/>
      <c r="DDF1" s="9"/>
      <c r="DDG1" s="9"/>
      <c r="DDH1" s="9"/>
      <c r="DDI1" s="9"/>
      <c r="DDJ1" s="9"/>
      <c r="DDK1" s="9"/>
      <c r="DDL1" s="9"/>
      <c r="DDM1" s="9"/>
      <c r="DDN1" s="9"/>
      <c r="DDO1" s="9"/>
      <c r="DDP1" s="9"/>
      <c r="DDQ1" s="9"/>
      <c r="DDR1" s="9"/>
      <c r="DDS1" s="9"/>
      <c r="DDT1" s="9"/>
      <c r="DDU1" s="9"/>
      <c r="DDV1" s="9"/>
      <c r="DDW1" s="9"/>
      <c r="DDX1" s="9"/>
      <c r="DDY1" s="9"/>
      <c r="DDZ1" s="9"/>
      <c r="DEA1" s="9"/>
      <c r="DEB1" s="9"/>
      <c r="DEC1" s="9"/>
      <c r="DED1" s="9"/>
      <c r="DEE1" s="9"/>
      <c r="DEF1" s="9"/>
      <c r="DEG1" s="9"/>
      <c r="DEH1" s="9"/>
      <c r="DEI1" s="9"/>
      <c r="DEJ1" s="9"/>
      <c r="DEK1" s="9"/>
      <c r="DEL1" s="9"/>
      <c r="DEM1" s="9"/>
      <c r="DEN1" s="9"/>
      <c r="DEO1" s="9"/>
      <c r="DEP1" s="9"/>
      <c r="DEQ1" s="9"/>
      <c r="DER1" s="9"/>
      <c r="DES1" s="9"/>
      <c r="DET1" s="9"/>
      <c r="DEU1" s="9"/>
      <c r="DEV1" s="9"/>
      <c r="DEW1" s="9"/>
      <c r="DEX1" s="9"/>
      <c r="DEY1" s="9"/>
      <c r="DEZ1" s="9"/>
      <c r="DFA1" s="9"/>
      <c r="DFB1" s="9"/>
      <c r="DFC1" s="9"/>
      <c r="DFD1" s="9"/>
      <c r="DFE1" s="9"/>
      <c r="DFF1" s="9"/>
      <c r="DFG1" s="9"/>
      <c r="DFH1" s="9"/>
      <c r="DFI1" s="9"/>
      <c r="DFJ1" s="9"/>
      <c r="DFK1" s="9"/>
      <c r="DFL1" s="9"/>
      <c r="DFM1" s="9"/>
      <c r="DFN1" s="9"/>
      <c r="DFO1" s="9"/>
      <c r="DFP1" s="9"/>
      <c r="DFQ1" s="9"/>
      <c r="DFR1" s="9"/>
      <c r="DFS1" s="9"/>
      <c r="DFT1" s="9"/>
      <c r="DFU1" s="9"/>
      <c r="DFV1" s="9"/>
      <c r="DFW1" s="9"/>
      <c r="DFX1" s="9"/>
      <c r="DFY1" s="9"/>
      <c r="DFZ1" s="9"/>
      <c r="DGA1" s="9"/>
      <c r="DGB1" s="9"/>
      <c r="DGC1" s="9"/>
      <c r="DGD1" s="9"/>
      <c r="DGE1" s="9"/>
      <c r="DGF1" s="9"/>
      <c r="DGG1" s="9"/>
      <c r="DGH1" s="9"/>
      <c r="DGI1" s="9"/>
      <c r="DGJ1" s="9"/>
      <c r="DGK1" s="9"/>
      <c r="DGL1" s="9"/>
      <c r="DGM1" s="9"/>
      <c r="DGN1" s="9"/>
      <c r="DGO1" s="9"/>
      <c r="DGP1" s="9"/>
      <c r="DGQ1" s="9"/>
      <c r="DGR1" s="9"/>
      <c r="DGS1" s="9"/>
      <c r="DGT1" s="9"/>
      <c r="DGU1" s="9"/>
      <c r="DGV1" s="9"/>
      <c r="DGW1" s="9"/>
      <c r="DGX1" s="9"/>
      <c r="DGY1" s="9"/>
      <c r="DGZ1" s="9"/>
      <c r="DHA1" s="9"/>
      <c r="DHB1" s="9"/>
      <c r="DHC1" s="9"/>
      <c r="DHD1" s="9"/>
      <c r="DHE1" s="9"/>
      <c r="DHF1" s="9"/>
      <c r="DHG1" s="9"/>
      <c r="DHH1" s="9"/>
      <c r="DHI1" s="9"/>
      <c r="DHJ1" s="9"/>
      <c r="DHK1" s="9"/>
      <c r="DHL1" s="9"/>
      <c r="DHM1" s="9"/>
      <c r="DHN1" s="9"/>
      <c r="DHO1" s="9"/>
      <c r="DHP1" s="9"/>
      <c r="DHQ1" s="9"/>
      <c r="DHR1" s="9"/>
      <c r="DHS1" s="9"/>
      <c r="DHT1" s="9"/>
      <c r="DHU1" s="9"/>
      <c r="DHV1" s="9"/>
      <c r="DHW1" s="9"/>
      <c r="DHX1" s="9"/>
      <c r="DHY1" s="9"/>
      <c r="DHZ1" s="9"/>
      <c r="DIA1" s="9"/>
      <c r="DIB1" s="9"/>
      <c r="DIC1" s="9"/>
      <c r="DID1" s="9"/>
      <c r="DIE1" s="9"/>
      <c r="DIF1" s="9"/>
      <c r="DIG1" s="9"/>
      <c r="DIH1" s="9"/>
      <c r="DII1" s="9"/>
      <c r="DIJ1" s="9"/>
      <c r="DIK1" s="9"/>
      <c r="DIL1" s="9"/>
      <c r="DIM1" s="9"/>
      <c r="DIN1" s="9"/>
      <c r="DIO1" s="9"/>
      <c r="DIP1" s="9"/>
      <c r="DIQ1" s="9"/>
      <c r="DIR1" s="9"/>
      <c r="DIS1" s="9"/>
      <c r="DIT1" s="9"/>
      <c r="DIU1" s="9"/>
      <c r="DIV1" s="9"/>
      <c r="DIW1" s="9"/>
      <c r="DIX1" s="9"/>
      <c r="DIY1" s="9"/>
      <c r="DIZ1" s="9"/>
      <c r="DJA1" s="9"/>
      <c r="DJB1" s="9"/>
      <c r="DJC1" s="9"/>
      <c r="DJD1" s="9"/>
      <c r="DJE1" s="9"/>
      <c r="DJF1" s="9"/>
      <c r="DJG1" s="9"/>
      <c r="DJH1" s="9"/>
      <c r="DJI1" s="9"/>
      <c r="DJJ1" s="9"/>
      <c r="DJK1" s="9"/>
      <c r="DJL1" s="9"/>
      <c r="DJM1" s="9"/>
      <c r="DJN1" s="9"/>
      <c r="DJO1" s="9"/>
      <c r="DJP1" s="9"/>
      <c r="DJQ1" s="9"/>
      <c r="DJR1" s="9"/>
      <c r="DJS1" s="9"/>
      <c r="DJT1" s="9"/>
      <c r="DJU1" s="9"/>
      <c r="DJV1" s="9"/>
      <c r="DJW1" s="9"/>
      <c r="DJX1" s="9"/>
      <c r="DJY1" s="9"/>
      <c r="DJZ1" s="9"/>
      <c r="DKA1" s="9"/>
      <c r="DKB1" s="9"/>
      <c r="DKC1" s="9"/>
      <c r="DKD1" s="9"/>
      <c r="DKE1" s="9"/>
      <c r="DKF1" s="9"/>
      <c r="DKG1" s="9"/>
      <c r="DKH1" s="9"/>
      <c r="DKI1" s="9"/>
      <c r="DKJ1" s="9"/>
      <c r="DKK1" s="9"/>
      <c r="DKL1" s="9"/>
      <c r="DKM1" s="9"/>
      <c r="DKN1" s="9"/>
      <c r="DKO1" s="9"/>
      <c r="DKP1" s="9"/>
      <c r="DKQ1" s="9"/>
      <c r="DKR1" s="9"/>
      <c r="DKS1" s="9"/>
      <c r="DKT1" s="9"/>
      <c r="DKU1" s="9"/>
      <c r="DKV1" s="9"/>
      <c r="DKW1" s="9"/>
      <c r="DKX1" s="9"/>
      <c r="DKY1" s="9"/>
      <c r="DKZ1" s="9"/>
      <c r="DLA1" s="9"/>
      <c r="DLB1" s="9"/>
      <c r="DLC1" s="9"/>
      <c r="DLD1" s="9"/>
      <c r="DLE1" s="9"/>
      <c r="DLF1" s="9"/>
      <c r="DLG1" s="9"/>
      <c r="DLH1" s="9"/>
      <c r="DLI1" s="9"/>
      <c r="DLJ1" s="9"/>
      <c r="DLK1" s="9"/>
      <c r="DLL1" s="9"/>
      <c r="DLM1" s="9"/>
      <c r="DLN1" s="9"/>
      <c r="DLO1" s="9"/>
      <c r="DLP1" s="9"/>
      <c r="DLQ1" s="9"/>
      <c r="DLR1" s="9"/>
      <c r="DLS1" s="9"/>
      <c r="DLT1" s="9"/>
      <c r="DLU1" s="9"/>
      <c r="DLV1" s="9"/>
      <c r="DLW1" s="9"/>
      <c r="DLX1" s="9"/>
      <c r="DLY1" s="9"/>
      <c r="DLZ1" s="9"/>
      <c r="DMA1" s="9"/>
      <c r="DMB1" s="9"/>
      <c r="DMC1" s="9"/>
      <c r="DMD1" s="9"/>
      <c r="DME1" s="9"/>
      <c r="DMF1" s="9"/>
      <c r="DMG1" s="9"/>
      <c r="DMH1" s="9"/>
      <c r="DMI1" s="9"/>
      <c r="DMJ1" s="9"/>
      <c r="DMK1" s="9"/>
      <c r="DML1" s="9"/>
      <c r="DMM1" s="9"/>
      <c r="DMN1" s="9"/>
      <c r="DMO1" s="9"/>
      <c r="DMP1" s="9"/>
      <c r="DMQ1" s="9"/>
      <c r="DMR1" s="9"/>
      <c r="DMS1" s="9"/>
      <c r="DMT1" s="9"/>
      <c r="DMU1" s="9"/>
      <c r="DMV1" s="9"/>
      <c r="DMW1" s="9"/>
      <c r="DMX1" s="9"/>
      <c r="DMY1" s="9"/>
      <c r="DMZ1" s="9"/>
      <c r="DNA1" s="9"/>
      <c r="DNB1" s="9"/>
      <c r="DNC1" s="9"/>
      <c r="DND1" s="9"/>
      <c r="DNE1" s="9"/>
      <c r="DNF1" s="9"/>
      <c r="DNG1" s="9"/>
      <c r="DNH1" s="9"/>
      <c r="DNI1" s="9"/>
      <c r="DNJ1" s="9"/>
      <c r="DNK1" s="9"/>
      <c r="DNL1" s="9"/>
      <c r="DNM1" s="9"/>
      <c r="DNN1" s="9"/>
      <c r="DNO1" s="9"/>
      <c r="DNP1" s="9"/>
      <c r="DNQ1" s="9"/>
      <c r="DNR1" s="9"/>
      <c r="DNS1" s="9"/>
      <c r="DNT1" s="9"/>
      <c r="DNU1" s="9"/>
      <c r="DNV1" s="9"/>
      <c r="DNW1" s="9"/>
      <c r="DNX1" s="9"/>
      <c r="DNY1" s="9"/>
      <c r="DNZ1" s="9"/>
      <c r="DOA1" s="9"/>
      <c r="DOB1" s="9"/>
      <c r="DOC1" s="9"/>
      <c r="DOD1" s="9"/>
      <c r="DOE1" s="9"/>
      <c r="DOF1" s="9"/>
      <c r="DOG1" s="9"/>
      <c r="DOH1" s="9"/>
      <c r="DOI1" s="9"/>
      <c r="DOJ1" s="9"/>
      <c r="DOK1" s="9"/>
      <c r="DOL1" s="9"/>
      <c r="DOM1" s="9"/>
      <c r="DON1" s="9"/>
      <c r="DOO1" s="9"/>
      <c r="DOP1" s="9"/>
      <c r="DOQ1" s="9"/>
      <c r="DOR1" s="9"/>
      <c r="DOS1" s="9"/>
      <c r="DOT1" s="9"/>
      <c r="DOU1" s="9"/>
      <c r="DOV1" s="9"/>
      <c r="DOW1" s="9"/>
      <c r="DOX1" s="9"/>
      <c r="DOY1" s="9"/>
      <c r="DOZ1" s="9"/>
      <c r="DPA1" s="9"/>
      <c r="DPB1" s="9"/>
      <c r="DPC1" s="9"/>
      <c r="DPD1" s="9"/>
      <c r="DPE1" s="9"/>
      <c r="DPF1" s="9"/>
      <c r="DPG1" s="9"/>
      <c r="DPH1" s="9"/>
      <c r="DPI1" s="9"/>
      <c r="DPJ1" s="9"/>
      <c r="DPK1" s="9"/>
      <c r="DPL1" s="9"/>
      <c r="DPM1" s="9"/>
      <c r="DPN1" s="9"/>
      <c r="DPO1" s="9"/>
      <c r="DPP1" s="9"/>
      <c r="DPQ1" s="9"/>
      <c r="DPR1" s="9"/>
      <c r="DPS1" s="9"/>
      <c r="DPT1" s="9"/>
      <c r="DPU1" s="9"/>
      <c r="DPV1" s="9"/>
      <c r="DPW1" s="9"/>
      <c r="DPX1" s="9"/>
      <c r="DPY1" s="9"/>
      <c r="DPZ1" s="9"/>
      <c r="DQA1" s="9"/>
      <c r="DQB1" s="9"/>
      <c r="DQC1" s="9"/>
      <c r="DQD1" s="9"/>
      <c r="DQE1" s="9"/>
      <c r="DQF1" s="9"/>
      <c r="DQG1" s="9"/>
      <c r="DQH1" s="9"/>
      <c r="DQI1" s="9"/>
      <c r="DQJ1" s="9"/>
      <c r="DQK1" s="9"/>
      <c r="DQL1" s="9"/>
      <c r="DQM1" s="9"/>
      <c r="DQN1" s="9"/>
      <c r="DQO1" s="9"/>
      <c r="DQP1" s="9"/>
      <c r="DQQ1" s="9"/>
      <c r="DQR1" s="9"/>
      <c r="DQS1" s="9"/>
      <c r="DQT1" s="9"/>
      <c r="DQU1" s="9"/>
      <c r="DQV1" s="9"/>
      <c r="DQW1" s="9"/>
      <c r="DQX1" s="9"/>
      <c r="DQY1" s="9"/>
      <c r="DQZ1" s="9"/>
      <c r="DRA1" s="9"/>
      <c r="DRB1" s="9"/>
      <c r="DRC1" s="9"/>
      <c r="DRD1" s="9"/>
      <c r="DRE1" s="9"/>
      <c r="DRF1" s="9"/>
      <c r="DRG1" s="9"/>
      <c r="DRH1" s="9"/>
      <c r="DRI1" s="9"/>
      <c r="DRJ1" s="9"/>
      <c r="DRK1" s="9"/>
      <c r="DRL1" s="9"/>
      <c r="DRM1" s="9"/>
      <c r="DRN1" s="9"/>
      <c r="DRO1" s="9"/>
      <c r="DRP1" s="9"/>
      <c r="DRQ1" s="9"/>
      <c r="DRR1" s="9"/>
      <c r="DRS1" s="9"/>
      <c r="DRT1" s="9"/>
      <c r="DRU1" s="9"/>
      <c r="DRV1" s="9"/>
      <c r="DRW1" s="9"/>
      <c r="DRX1" s="9"/>
      <c r="DRY1" s="9"/>
      <c r="DRZ1" s="9"/>
      <c r="DSA1" s="9"/>
      <c r="DSB1" s="9"/>
      <c r="DSC1" s="9"/>
      <c r="DSD1" s="9"/>
      <c r="DSE1" s="9"/>
      <c r="DSF1" s="9"/>
      <c r="DSG1" s="9"/>
      <c r="DSH1" s="9"/>
      <c r="DSI1" s="9"/>
      <c r="DSJ1" s="9"/>
      <c r="DSK1" s="9"/>
      <c r="DSL1" s="9"/>
      <c r="DSM1" s="9"/>
      <c r="DSN1" s="9"/>
      <c r="DSO1" s="9"/>
      <c r="DSP1" s="9"/>
      <c r="DSQ1" s="9"/>
      <c r="DSR1" s="9"/>
      <c r="DSS1" s="9"/>
      <c r="DST1" s="9"/>
      <c r="DSU1" s="9"/>
      <c r="DSV1" s="9"/>
      <c r="DSW1" s="9"/>
      <c r="DSX1" s="9"/>
      <c r="DSY1" s="9"/>
      <c r="DSZ1" s="9"/>
      <c r="DTA1" s="9"/>
      <c r="DTB1" s="9"/>
      <c r="DTC1" s="9"/>
      <c r="DTD1" s="9"/>
      <c r="DTE1" s="9"/>
      <c r="DTF1" s="9"/>
      <c r="DTG1" s="9"/>
      <c r="DTH1" s="9"/>
      <c r="DTI1" s="9"/>
      <c r="DTJ1" s="9"/>
      <c r="DTK1" s="9"/>
      <c r="DTL1" s="9"/>
      <c r="DTM1" s="9"/>
      <c r="DTN1" s="9"/>
      <c r="DTO1" s="9"/>
      <c r="DTP1" s="9"/>
      <c r="DTQ1" s="9"/>
      <c r="DTR1" s="9"/>
      <c r="DTS1" s="9"/>
      <c r="DTT1" s="9"/>
      <c r="DTU1" s="9"/>
      <c r="DTV1" s="9"/>
      <c r="DTW1" s="9"/>
      <c r="DTX1" s="9"/>
      <c r="DTY1" s="9"/>
      <c r="DTZ1" s="9"/>
      <c r="DUA1" s="9"/>
      <c r="DUB1" s="9"/>
      <c r="DUC1" s="9"/>
      <c r="DUD1" s="9"/>
      <c r="DUE1" s="9"/>
      <c r="DUF1" s="9"/>
      <c r="DUG1" s="9"/>
      <c r="DUH1" s="9"/>
      <c r="DUI1" s="9"/>
      <c r="DUJ1" s="9"/>
      <c r="DUK1" s="9"/>
      <c r="DUL1" s="9"/>
      <c r="DUM1" s="9"/>
      <c r="DUN1" s="9"/>
      <c r="DUO1" s="9"/>
      <c r="DUP1" s="9"/>
      <c r="DUQ1" s="9"/>
      <c r="DUR1" s="9"/>
      <c r="DUS1" s="9"/>
      <c r="DUT1" s="9"/>
      <c r="DUU1" s="9"/>
      <c r="DUV1" s="9"/>
      <c r="DUW1" s="9"/>
      <c r="DUX1" s="9"/>
      <c r="DUY1" s="9"/>
      <c r="DUZ1" s="9"/>
      <c r="DVA1" s="9"/>
      <c r="DVB1" s="9"/>
      <c r="DVC1" s="9"/>
      <c r="DVD1" s="9"/>
      <c r="DVE1" s="9"/>
      <c r="DVF1" s="9"/>
      <c r="DVG1" s="9"/>
      <c r="DVH1" s="9"/>
      <c r="DVI1" s="9"/>
      <c r="DVJ1" s="9"/>
      <c r="DVK1" s="9"/>
      <c r="DVL1" s="9"/>
      <c r="DVM1" s="9"/>
      <c r="DVN1" s="9"/>
      <c r="DVO1" s="9"/>
      <c r="DVP1" s="9"/>
      <c r="DVQ1" s="9"/>
      <c r="DVR1" s="9"/>
      <c r="DVS1" s="9"/>
      <c r="DVT1" s="9"/>
      <c r="DVU1" s="9"/>
      <c r="DVV1" s="9"/>
      <c r="DVW1" s="9"/>
      <c r="DVX1" s="9"/>
      <c r="DVY1" s="9"/>
      <c r="DVZ1" s="9"/>
      <c r="DWA1" s="9"/>
      <c r="DWB1" s="9"/>
      <c r="DWC1" s="9"/>
      <c r="DWD1" s="9"/>
      <c r="DWE1" s="9"/>
      <c r="DWF1" s="9"/>
      <c r="DWG1" s="9"/>
      <c r="DWH1" s="9"/>
      <c r="DWI1" s="9"/>
      <c r="DWJ1" s="9"/>
      <c r="DWK1" s="9"/>
      <c r="DWL1" s="9"/>
      <c r="DWM1" s="9"/>
      <c r="DWN1" s="9"/>
      <c r="DWO1" s="9"/>
      <c r="DWP1" s="9"/>
      <c r="DWQ1" s="9"/>
      <c r="DWR1" s="9"/>
      <c r="DWS1" s="9"/>
      <c r="DWT1" s="9"/>
      <c r="DWU1" s="9"/>
      <c r="DWV1" s="9"/>
      <c r="DWW1" s="9"/>
      <c r="DWX1" s="9"/>
      <c r="DWY1" s="9"/>
      <c r="DWZ1" s="9"/>
      <c r="DXA1" s="9"/>
      <c r="DXB1" s="9"/>
      <c r="DXC1" s="9"/>
      <c r="DXD1" s="9"/>
      <c r="DXE1" s="9"/>
      <c r="DXF1" s="9"/>
      <c r="DXG1" s="9"/>
      <c r="DXH1" s="9"/>
      <c r="DXI1" s="9"/>
      <c r="DXJ1" s="9"/>
      <c r="DXK1" s="9"/>
      <c r="DXL1" s="9"/>
      <c r="DXM1" s="9"/>
      <c r="DXN1" s="9"/>
      <c r="DXO1" s="9"/>
      <c r="DXP1" s="9"/>
      <c r="DXQ1" s="9"/>
      <c r="DXR1" s="9"/>
      <c r="DXS1" s="9"/>
      <c r="DXT1" s="9"/>
      <c r="DXU1" s="9"/>
      <c r="DXV1" s="9"/>
      <c r="DXW1" s="9"/>
      <c r="DXX1" s="9"/>
      <c r="DXY1" s="9"/>
      <c r="DXZ1" s="9"/>
      <c r="DYA1" s="9"/>
      <c r="DYB1" s="9"/>
      <c r="DYC1" s="9"/>
      <c r="DYD1" s="9"/>
      <c r="DYE1" s="9"/>
      <c r="DYF1" s="9"/>
      <c r="DYG1" s="9"/>
      <c r="DYH1" s="9"/>
      <c r="DYI1" s="9"/>
      <c r="DYJ1" s="9"/>
      <c r="DYK1" s="9"/>
      <c r="DYL1" s="9"/>
      <c r="DYM1" s="9"/>
      <c r="DYN1" s="9"/>
      <c r="DYO1" s="9"/>
      <c r="DYP1" s="9"/>
      <c r="DYQ1" s="9"/>
      <c r="DYR1" s="9"/>
      <c r="DYS1" s="9"/>
      <c r="DYT1" s="9"/>
      <c r="DYU1" s="9"/>
      <c r="DYV1" s="9"/>
      <c r="DYW1" s="9"/>
      <c r="DYX1" s="9"/>
      <c r="DYY1" s="9"/>
      <c r="DYZ1" s="9"/>
      <c r="DZA1" s="9"/>
      <c r="DZB1" s="9"/>
      <c r="DZC1" s="9"/>
      <c r="DZD1" s="9"/>
      <c r="DZE1" s="9"/>
      <c r="DZF1" s="9"/>
      <c r="DZG1" s="9"/>
      <c r="DZH1" s="9"/>
      <c r="DZI1" s="9"/>
      <c r="DZJ1" s="9"/>
      <c r="DZK1" s="9"/>
      <c r="DZL1" s="9"/>
      <c r="DZM1" s="9"/>
      <c r="DZN1" s="9"/>
      <c r="DZO1" s="9"/>
      <c r="DZP1" s="9"/>
      <c r="DZQ1" s="9"/>
      <c r="DZR1" s="9"/>
      <c r="DZS1" s="9"/>
      <c r="DZT1" s="9"/>
      <c r="DZU1" s="9"/>
      <c r="DZV1" s="9"/>
      <c r="DZW1" s="9"/>
      <c r="DZX1" s="9"/>
      <c r="DZY1" s="9"/>
      <c r="DZZ1" s="9"/>
      <c r="EAA1" s="9"/>
      <c r="EAB1" s="9"/>
      <c r="EAC1" s="9"/>
      <c r="EAD1" s="9"/>
      <c r="EAE1" s="9"/>
      <c r="EAF1" s="9"/>
      <c r="EAG1" s="9"/>
      <c r="EAH1" s="9"/>
      <c r="EAI1" s="9"/>
      <c r="EAJ1" s="9"/>
      <c r="EAK1" s="9"/>
      <c r="EAL1" s="9"/>
      <c r="EAM1" s="9"/>
      <c r="EAN1" s="9"/>
      <c r="EAO1" s="9"/>
      <c r="EAP1" s="9"/>
      <c r="EAQ1" s="9"/>
      <c r="EAR1" s="9"/>
      <c r="EAS1" s="9"/>
      <c r="EAT1" s="9"/>
      <c r="EAU1" s="9"/>
      <c r="EAV1" s="9"/>
      <c r="EAW1" s="9"/>
      <c r="EAX1" s="9"/>
      <c r="EAY1" s="9"/>
      <c r="EAZ1" s="9"/>
      <c r="EBA1" s="9"/>
      <c r="EBB1" s="9"/>
      <c r="EBC1" s="9"/>
      <c r="EBD1" s="9"/>
      <c r="EBE1" s="9"/>
      <c r="EBF1" s="9"/>
      <c r="EBG1" s="9"/>
      <c r="EBH1" s="9"/>
      <c r="EBI1" s="9"/>
      <c r="EBJ1" s="9"/>
      <c r="EBK1" s="9"/>
      <c r="EBL1" s="9"/>
      <c r="EBM1" s="9"/>
      <c r="EBN1" s="9"/>
      <c r="EBO1" s="9"/>
      <c r="EBP1" s="9"/>
      <c r="EBQ1" s="9"/>
      <c r="EBR1" s="9"/>
      <c r="EBS1" s="9"/>
      <c r="EBT1" s="9"/>
      <c r="EBU1" s="9"/>
      <c r="EBV1" s="9"/>
      <c r="EBW1" s="9"/>
      <c r="EBX1" s="9"/>
      <c r="EBY1" s="9"/>
      <c r="EBZ1" s="9"/>
      <c r="ECA1" s="9"/>
      <c r="ECB1" s="9"/>
      <c r="ECC1" s="9"/>
      <c r="ECD1" s="9"/>
      <c r="ECE1" s="9"/>
      <c r="ECF1" s="9"/>
      <c r="ECG1" s="9"/>
      <c r="ECH1" s="9"/>
      <c r="ECI1" s="9"/>
      <c r="ECJ1" s="9"/>
      <c r="ECK1" s="9"/>
      <c r="ECL1" s="9"/>
      <c r="ECM1" s="9"/>
      <c r="ECN1" s="9"/>
      <c r="ECO1" s="9"/>
      <c r="ECP1" s="9"/>
      <c r="ECQ1" s="9"/>
      <c r="ECR1" s="9"/>
      <c r="ECS1" s="9"/>
      <c r="ECT1" s="9"/>
      <c r="ECU1" s="9"/>
      <c r="ECV1" s="9"/>
      <c r="ECW1" s="9"/>
      <c r="ECX1" s="9"/>
      <c r="ECY1" s="9"/>
      <c r="ECZ1" s="9"/>
      <c r="EDA1" s="9"/>
      <c r="EDB1" s="9"/>
      <c r="EDC1" s="9"/>
      <c r="EDD1" s="9"/>
      <c r="EDE1" s="9"/>
      <c r="EDF1" s="9"/>
      <c r="EDG1" s="9"/>
      <c r="EDH1" s="9"/>
      <c r="EDI1" s="9"/>
      <c r="EDJ1" s="9"/>
      <c r="EDK1" s="9"/>
      <c r="EDL1" s="9"/>
      <c r="EDM1" s="9"/>
      <c r="EDN1" s="9"/>
      <c r="EDO1" s="9"/>
      <c r="EDP1" s="9"/>
      <c r="EDQ1" s="9"/>
      <c r="EDR1" s="9"/>
      <c r="EDS1" s="9"/>
      <c r="EDT1" s="9"/>
      <c r="EDU1" s="9"/>
      <c r="EDV1" s="9"/>
      <c r="EDW1" s="9"/>
      <c r="EDX1" s="9"/>
      <c r="EDY1" s="9"/>
      <c r="EDZ1" s="9"/>
      <c r="EEA1" s="9"/>
      <c r="EEB1" s="9"/>
      <c r="EEC1" s="9"/>
      <c r="EED1" s="9"/>
      <c r="EEE1" s="9"/>
      <c r="EEF1" s="9"/>
      <c r="EEG1" s="9"/>
      <c r="EEH1" s="9"/>
      <c r="EEI1" s="9"/>
      <c r="EEJ1" s="9"/>
      <c r="EEK1" s="9"/>
      <c r="EEL1" s="9"/>
      <c r="EEM1" s="9"/>
      <c r="EEN1" s="9"/>
      <c r="EEO1" s="9"/>
      <c r="EEP1" s="9"/>
      <c r="EEQ1" s="9"/>
      <c r="EER1" s="9"/>
      <c r="EES1" s="9"/>
      <c r="EET1" s="9"/>
      <c r="EEU1" s="9"/>
      <c r="EEV1" s="9"/>
      <c r="EEW1" s="9"/>
      <c r="EEX1" s="9"/>
      <c r="EEY1" s="9"/>
      <c r="EEZ1" s="9"/>
      <c r="EFA1" s="9"/>
      <c r="EFB1" s="9"/>
      <c r="EFC1" s="9"/>
      <c r="EFD1" s="9"/>
      <c r="EFE1" s="9"/>
      <c r="EFF1" s="9"/>
      <c r="EFG1" s="9"/>
      <c r="EFH1" s="9"/>
      <c r="EFI1" s="9"/>
      <c r="EFJ1" s="9"/>
      <c r="EFK1" s="9"/>
      <c r="EFL1" s="9"/>
      <c r="EFM1" s="9"/>
      <c r="EFN1" s="9"/>
      <c r="EFO1" s="9"/>
      <c r="EFP1" s="9"/>
      <c r="EFQ1" s="9"/>
      <c r="EFR1" s="9"/>
      <c r="EFS1" s="9"/>
      <c r="EFT1" s="9"/>
      <c r="EFU1" s="9"/>
      <c r="EFV1" s="9"/>
      <c r="EFW1" s="9"/>
      <c r="EFX1" s="9"/>
      <c r="EFY1" s="9"/>
      <c r="EFZ1" s="9"/>
      <c r="EGA1" s="9"/>
      <c r="EGB1" s="9"/>
      <c r="EGC1" s="9"/>
      <c r="EGD1" s="9"/>
      <c r="EGE1" s="9"/>
      <c r="EGF1" s="9"/>
      <c r="EGG1" s="9"/>
      <c r="EGH1" s="9"/>
      <c r="EGI1" s="9"/>
      <c r="EGJ1" s="9"/>
      <c r="EGK1" s="9"/>
      <c r="EGL1" s="9"/>
      <c r="EGM1" s="9"/>
      <c r="EGN1" s="9"/>
      <c r="EGO1" s="9"/>
      <c r="EGP1" s="9"/>
      <c r="EGQ1" s="9"/>
      <c r="EGR1" s="9"/>
      <c r="EGS1" s="9"/>
      <c r="EGT1" s="9"/>
      <c r="EGU1" s="9"/>
      <c r="EGV1" s="9"/>
      <c r="EGW1" s="9"/>
      <c r="EGX1" s="9"/>
      <c r="EGY1" s="9"/>
      <c r="EGZ1" s="9"/>
      <c r="EHA1" s="9"/>
      <c r="EHB1" s="9"/>
      <c r="EHC1" s="9"/>
      <c r="EHD1" s="9"/>
      <c r="EHE1" s="9"/>
      <c r="EHF1" s="9"/>
      <c r="EHG1" s="9"/>
      <c r="EHH1" s="9"/>
      <c r="EHI1" s="9"/>
      <c r="EHJ1" s="9"/>
      <c r="EHK1" s="9"/>
      <c r="EHL1" s="9"/>
      <c r="EHM1" s="9"/>
      <c r="EHN1" s="9"/>
      <c r="EHO1" s="9"/>
      <c r="EHP1" s="9"/>
      <c r="EHQ1" s="9"/>
      <c r="EHR1" s="9"/>
      <c r="EHS1" s="9"/>
      <c r="EHT1" s="9"/>
      <c r="EHU1" s="9"/>
      <c r="EHV1" s="9"/>
      <c r="EHW1" s="9"/>
      <c r="EHX1" s="9"/>
      <c r="EHY1" s="9"/>
      <c r="EHZ1" s="9"/>
      <c r="EIA1" s="9"/>
      <c r="EIB1" s="9"/>
      <c r="EIC1" s="9"/>
      <c r="EID1" s="9"/>
      <c r="EIE1" s="9"/>
      <c r="EIF1" s="9"/>
      <c r="EIG1" s="9"/>
      <c r="EIH1" s="9"/>
      <c r="EII1" s="9"/>
      <c r="EIJ1" s="9"/>
      <c r="EIK1" s="9"/>
      <c r="EIL1" s="9"/>
      <c r="EIM1" s="9"/>
      <c r="EIN1" s="9"/>
      <c r="EIO1" s="9"/>
      <c r="EIP1" s="9"/>
      <c r="EIQ1" s="9"/>
      <c r="EIR1" s="9"/>
      <c r="EIS1" s="9"/>
      <c r="EIT1" s="9"/>
      <c r="EIU1" s="9"/>
      <c r="EIV1" s="9"/>
      <c r="EIW1" s="9"/>
      <c r="EIX1" s="9"/>
      <c r="EIY1" s="9"/>
      <c r="EIZ1" s="9"/>
      <c r="EJA1" s="9"/>
      <c r="EJB1" s="9"/>
      <c r="EJC1" s="9"/>
      <c r="EJD1" s="9"/>
      <c r="EJE1" s="9"/>
      <c r="EJF1" s="9"/>
      <c r="EJG1" s="9"/>
      <c r="EJH1" s="9"/>
      <c r="EJI1" s="9"/>
      <c r="EJJ1" s="9"/>
      <c r="EJK1" s="9"/>
      <c r="EJL1" s="9"/>
      <c r="EJM1" s="9"/>
      <c r="EJN1" s="9"/>
      <c r="EJO1" s="9"/>
      <c r="EJP1" s="9"/>
      <c r="EJQ1" s="9"/>
      <c r="EJR1" s="9"/>
      <c r="EJS1" s="9"/>
      <c r="EJT1" s="9"/>
      <c r="EJU1" s="9"/>
      <c r="EJV1" s="9"/>
      <c r="EJW1" s="9"/>
      <c r="EJX1" s="9"/>
      <c r="EJY1" s="9"/>
      <c r="EJZ1" s="9"/>
      <c r="EKA1" s="9"/>
      <c r="EKB1" s="9"/>
      <c r="EKC1" s="9"/>
      <c r="EKD1" s="9"/>
      <c r="EKE1" s="9"/>
      <c r="EKF1" s="9"/>
      <c r="EKG1" s="9"/>
      <c r="EKH1" s="9"/>
      <c r="EKI1" s="9"/>
      <c r="EKJ1" s="9"/>
      <c r="EKK1" s="9"/>
      <c r="EKL1" s="9"/>
      <c r="EKM1" s="9"/>
      <c r="EKN1" s="9"/>
      <c r="EKO1" s="9"/>
      <c r="EKP1" s="9"/>
      <c r="EKQ1" s="9"/>
      <c r="EKR1" s="9"/>
      <c r="EKS1" s="9"/>
      <c r="EKT1" s="9"/>
      <c r="EKU1" s="9"/>
      <c r="EKV1" s="9"/>
      <c r="EKW1" s="9"/>
      <c r="EKX1" s="9"/>
      <c r="EKY1" s="9"/>
      <c r="EKZ1" s="9"/>
      <c r="ELA1" s="9"/>
      <c r="ELB1" s="9"/>
      <c r="ELC1" s="9"/>
      <c r="ELD1" s="9"/>
      <c r="ELE1" s="9"/>
      <c r="ELF1" s="9"/>
      <c r="ELG1" s="9"/>
      <c r="ELH1" s="9"/>
      <c r="ELI1" s="9"/>
      <c r="ELJ1" s="9"/>
      <c r="ELK1" s="9"/>
      <c r="ELL1" s="9"/>
      <c r="ELM1" s="9"/>
      <c r="ELN1" s="9"/>
      <c r="ELO1" s="9"/>
      <c r="ELP1" s="9"/>
      <c r="ELQ1" s="9"/>
      <c r="ELR1" s="9"/>
      <c r="ELS1" s="9"/>
      <c r="ELT1" s="9"/>
      <c r="ELU1" s="9"/>
      <c r="ELV1" s="9"/>
      <c r="ELW1" s="9"/>
      <c r="ELX1" s="9"/>
      <c r="ELY1" s="9"/>
      <c r="ELZ1" s="9"/>
      <c r="EMA1" s="9"/>
      <c r="EMB1" s="9"/>
      <c r="EMC1" s="9"/>
      <c r="EMD1" s="9"/>
      <c r="EME1" s="9"/>
      <c r="EMF1" s="9"/>
      <c r="EMG1" s="9"/>
      <c r="EMH1" s="9"/>
      <c r="EMI1" s="9"/>
      <c r="EMJ1" s="9"/>
      <c r="EMK1" s="9"/>
      <c r="EML1" s="9"/>
      <c r="EMM1" s="9"/>
      <c r="EMN1" s="9"/>
      <c r="EMO1" s="9"/>
      <c r="EMP1" s="9"/>
      <c r="EMQ1" s="9"/>
      <c r="EMR1" s="9"/>
      <c r="EMS1" s="9"/>
      <c r="EMT1" s="9"/>
      <c r="EMU1" s="9"/>
      <c r="EMV1" s="9"/>
      <c r="EMW1" s="9"/>
      <c r="EMX1" s="9"/>
      <c r="EMY1" s="9"/>
      <c r="EMZ1" s="9"/>
      <c r="ENA1" s="9"/>
      <c r="ENB1" s="9"/>
      <c r="ENC1" s="9"/>
      <c r="END1" s="9"/>
      <c r="ENE1" s="9"/>
      <c r="ENF1" s="9"/>
      <c r="ENG1" s="9"/>
      <c r="ENH1" s="9"/>
      <c r="ENI1" s="9"/>
      <c r="ENJ1" s="9"/>
      <c r="ENK1" s="9"/>
      <c r="ENL1" s="9"/>
      <c r="ENM1" s="9"/>
      <c r="ENN1" s="9"/>
      <c r="ENO1" s="9"/>
      <c r="ENP1" s="9"/>
      <c r="ENQ1" s="9"/>
      <c r="ENR1" s="9"/>
      <c r="ENS1" s="9"/>
      <c r="ENT1" s="9"/>
      <c r="ENU1" s="9"/>
      <c r="ENV1" s="9"/>
      <c r="ENW1" s="9"/>
      <c r="ENX1" s="9"/>
      <c r="ENY1" s="9"/>
      <c r="ENZ1" s="9"/>
      <c r="EOA1" s="9"/>
      <c r="EOB1" s="9"/>
      <c r="EOC1" s="9"/>
      <c r="EOD1" s="9"/>
      <c r="EOE1" s="9"/>
      <c r="EOF1" s="9"/>
      <c r="EOG1" s="9"/>
      <c r="EOH1" s="9"/>
      <c r="EOI1" s="9"/>
      <c r="EOJ1" s="9"/>
      <c r="EOK1" s="9"/>
      <c r="EOL1" s="9"/>
      <c r="EOM1" s="9"/>
      <c r="EON1" s="9"/>
      <c r="EOO1" s="9"/>
      <c r="EOP1" s="9"/>
      <c r="EOQ1" s="9"/>
      <c r="EOR1" s="9"/>
      <c r="EOS1" s="9"/>
      <c r="EOT1" s="9"/>
      <c r="EOU1" s="9"/>
      <c r="EOV1" s="9"/>
      <c r="EOW1" s="9"/>
      <c r="EOX1" s="9"/>
      <c r="EOY1" s="9"/>
      <c r="EOZ1" s="9"/>
      <c r="EPA1" s="9"/>
      <c r="EPB1" s="9"/>
      <c r="EPC1" s="9"/>
      <c r="EPD1" s="9"/>
      <c r="EPE1" s="9"/>
      <c r="EPF1" s="9"/>
      <c r="EPG1" s="9"/>
      <c r="EPH1" s="9"/>
      <c r="EPI1" s="9"/>
      <c r="EPJ1" s="9"/>
      <c r="EPK1" s="9"/>
      <c r="EPL1" s="9"/>
      <c r="EPM1" s="9"/>
      <c r="EPN1" s="9"/>
      <c r="EPO1" s="9"/>
      <c r="EPP1" s="9"/>
      <c r="EPQ1" s="9"/>
      <c r="EPR1" s="9"/>
      <c r="EPS1" s="9"/>
      <c r="EPT1" s="9"/>
      <c r="EPU1" s="9"/>
      <c r="EPV1" s="9"/>
      <c r="EPW1" s="9"/>
      <c r="EPX1" s="9"/>
      <c r="EPY1" s="9"/>
      <c r="EPZ1" s="9"/>
      <c r="EQA1" s="9"/>
      <c r="EQB1" s="9"/>
      <c r="EQC1" s="9"/>
      <c r="EQD1" s="9"/>
      <c r="EQE1" s="9"/>
      <c r="EQF1" s="9"/>
      <c r="EQG1" s="9"/>
      <c r="EQH1" s="9"/>
      <c r="EQI1" s="9"/>
      <c r="EQJ1" s="9"/>
      <c r="EQK1" s="9"/>
      <c r="EQL1" s="9"/>
      <c r="EQM1" s="9"/>
      <c r="EQN1" s="9"/>
      <c r="EQO1" s="9"/>
      <c r="EQP1" s="9"/>
      <c r="EQQ1" s="9"/>
      <c r="EQR1" s="9"/>
      <c r="EQS1" s="9"/>
      <c r="EQT1" s="9"/>
      <c r="EQU1" s="9"/>
      <c r="EQV1" s="9"/>
      <c r="EQW1" s="9"/>
      <c r="EQX1" s="9"/>
      <c r="EQY1" s="9"/>
      <c r="EQZ1" s="9"/>
      <c r="ERA1" s="9"/>
      <c r="ERB1" s="9"/>
      <c r="ERC1" s="9"/>
      <c r="ERD1" s="9"/>
      <c r="ERE1" s="9"/>
      <c r="ERF1" s="9"/>
      <c r="ERG1" s="9"/>
      <c r="ERH1" s="9"/>
      <c r="ERI1" s="9"/>
      <c r="ERJ1" s="9"/>
      <c r="ERK1" s="9"/>
      <c r="ERL1" s="9"/>
      <c r="ERM1" s="9"/>
      <c r="ERN1" s="9"/>
      <c r="ERO1" s="9"/>
      <c r="ERP1" s="9"/>
      <c r="ERQ1" s="9"/>
      <c r="ERR1" s="9"/>
      <c r="ERS1" s="9"/>
      <c r="ERT1" s="9"/>
      <c r="ERU1" s="9"/>
      <c r="ERV1" s="9"/>
      <c r="ERW1" s="9"/>
      <c r="ERX1" s="9"/>
      <c r="ERY1" s="9"/>
      <c r="ERZ1" s="9"/>
      <c r="ESA1" s="9"/>
      <c r="ESB1" s="9"/>
      <c r="ESC1" s="9"/>
      <c r="ESD1" s="9"/>
      <c r="ESE1" s="9"/>
      <c r="ESF1" s="9"/>
      <c r="ESG1" s="9"/>
      <c r="ESH1" s="9"/>
      <c r="ESI1" s="9"/>
      <c r="ESJ1" s="9"/>
      <c r="ESK1" s="9"/>
      <c r="ESL1" s="9"/>
      <c r="ESM1" s="9"/>
      <c r="ESN1" s="9"/>
      <c r="ESO1" s="9"/>
      <c r="ESP1" s="9"/>
      <c r="ESQ1" s="9"/>
      <c r="ESR1" s="9"/>
      <c r="ESS1" s="9"/>
      <c r="EST1" s="9"/>
      <c r="ESU1" s="9"/>
      <c r="ESV1" s="9"/>
      <c r="ESW1" s="9"/>
      <c r="ESX1" s="9"/>
      <c r="ESY1" s="9"/>
      <c r="ESZ1" s="9"/>
      <c r="ETA1" s="9"/>
      <c r="ETB1" s="9"/>
      <c r="ETC1" s="9"/>
      <c r="ETD1" s="9"/>
      <c r="ETE1" s="9"/>
      <c r="ETF1" s="9"/>
      <c r="ETG1" s="9"/>
      <c r="ETH1" s="9"/>
      <c r="ETI1" s="9"/>
      <c r="ETJ1" s="9"/>
      <c r="ETK1" s="9"/>
      <c r="ETL1" s="9"/>
      <c r="ETM1" s="9"/>
      <c r="ETN1" s="9"/>
      <c r="ETO1" s="9"/>
      <c r="ETP1" s="9"/>
      <c r="ETQ1" s="9"/>
      <c r="ETR1" s="9"/>
      <c r="ETS1" s="9"/>
      <c r="ETT1" s="9"/>
      <c r="ETU1" s="9"/>
      <c r="ETV1" s="9"/>
      <c r="ETW1" s="9"/>
      <c r="ETX1" s="9"/>
      <c r="ETY1" s="9"/>
      <c r="ETZ1" s="9"/>
      <c r="EUA1" s="9"/>
      <c r="EUB1" s="9"/>
      <c r="EUC1" s="9"/>
      <c r="EUD1" s="9"/>
      <c r="EUE1" s="9"/>
      <c r="EUF1" s="9"/>
      <c r="EUG1" s="9"/>
      <c r="EUH1" s="9"/>
      <c r="EUI1" s="9"/>
      <c r="EUJ1" s="9"/>
      <c r="EUK1" s="9"/>
      <c r="EUL1" s="9"/>
      <c r="EUM1" s="9"/>
      <c r="EUN1" s="9"/>
      <c r="EUO1" s="9"/>
      <c r="EUP1" s="9"/>
      <c r="EUQ1" s="9"/>
      <c r="EUR1" s="9"/>
      <c r="EUS1" s="9"/>
      <c r="EUT1" s="9"/>
      <c r="EUU1" s="9"/>
      <c r="EUV1" s="9"/>
      <c r="EUW1" s="9"/>
      <c r="EUX1" s="9"/>
      <c r="EUY1" s="9"/>
      <c r="EUZ1" s="9"/>
      <c r="EVA1" s="9"/>
      <c r="EVB1" s="9"/>
      <c r="EVC1" s="9"/>
      <c r="EVD1" s="9"/>
      <c r="EVE1" s="9"/>
      <c r="EVF1" s="9"/>
      <c r="EVG1" s="9"/>
      <c r="EVH1" s="9"/>
      <c r="EVI1" s="9"/>
      <c r="EVJ1" s="9"/>
      <c r="EVK1" s="9"/>
      <c r="EVL1" s="9"/>
      <c r="EVM1" s="9"/>
      <c r="EVN1" s="9"/>
      <c r="EVO1" s="9"/>
      <c r="EVP1" s="9"/>
      <c r="EVQ1" s="9"/>
      <c r="EVR1" s="9"/>
      <c r="EVS1" s="9"/>
      <c r="EVT1" s="9"/>
      <c r="EVU1" s="9"/>
      <c r="EVV1" s="9"/>
      <c r="EVW1" s="9"/>
      <c r="EVX1" s="9"/>
      <c r="EVY1" s="9"/>
      <c r="EVZ1" s="9"/>
      <c r="EWA1" s="9"/>
      <c r="EWB1" s="9"/>
      <c r="EWC1" s="9"/>
      <c r="EWD1" s="9"/>
      <c r="EWE1" s="9"/>
      <c r="EWF1" s="9"/>
      <c r="EWG1" s="9"/>
      <c r="EWH1" s="9"/>
      <c r="EWI1" s="9"/>
      <c r="EWJ1" s="9"/>
      <c r="EWK1" s="9"/>
      <c r="EWL1" s="9"/>
      <c r="EWM1" s="9"/>
      <c r="EWN1" s="9"/>
      <c r="EWO1" s="9"/>
      <c r="EWP1" s="9"/>
      <c r="EWQ1" s="9"/>
      <c r="EWR1" s="9"/>
      <c r="EWS1" s="9"/>
      <c r="EWT1" s="9"/>
      <c r="EWU1" s="9"/>
      <c r="EWV1" s="9"/>
      <c r="EWW1" s="9"/>
      <c r="EWX1" s="9"/>
      <c r="EWY1" s="9"/>
      <c r="EWZ1" s="9"/>
      <c r="EXA1" s="9"/>
      <c r="EXB1" s="9"/>
      <c r="EXC1" s="9"/>
      <c r="EXD1" s="9"/>
      <c r="EXE1" s="9"/>
      <c r="EXF1" s="9"/>
      <c r="EXG1" s="9"/>
      <c r="EXH1" s="9"/>
      <c r="EXI1" s="9"/>
      <c r="EXJ1" s="9"/>
      <c r="EXK1" s="9"/>
      <c r="EXL1" s="9"/>
      <c r="EXM1" s="9"/>
      <c r="EXN1" s="9"/>
      <c r="EXO1" s="9"/>
      <c r="EXP1" s="9"/>
      <c r="EXQ1" s="9"/>
      <c r="EXR1" s="9"/>
      <c r="EXS1" s="9"/>
      <c r="EXT1" s="9"/>
      <c r="EXU1" s="9"/>
      <c r="EXV1" s="9"/>
      <c r="EXW1" s="9"/>
      <c r="EXX1" s="9"/>
      <c r="EXY1" s="9"/>
      <c r="EXZ1" s="9"/>
      <c r="EYA1" s="9"/>
      <c r="EYB1" s="9"/>
      <c r="EYC1" s="9"/>
      <c r="EYD1" s="9"/>
      <c r="EYE1" s="9"/>
      <c r="EYF1" s="9"/>
      <c r="EYG1" s="9"/>
      <c r="EYH1" s="9"/>
      <c r="EYI1" s="9"/>
      <c r="EYJ1" s="9"/>
      <c r="EYK1" s="9"/>
      <c r="EYL1" s="9"/>
      <c r="EYM1" s="9"/>
      <c r="EYN1" s="9"/>
      <c r="EYO1" s="9"/>
      <c r="EYP1" s="9"/>
      <c r="EYQ1" s="9"/>
      <c r="EYR1" s="9"/>
      <c r="EYS1" s="9"/>
      <c r="EYT1" s="9"/>
      <c r="EYU1" s="9"/>
      <c r="EYV1" s="9"/>
      <c r="EYW1" s="9"/>
      <c r="EYX1" s="9"/>
      <c r="EYY1" s="9"/>
      <c r="EYZ1" s="9"/>
      <c r="EZA1" s="9"/>
      <c r="EZB1" s="9"/>
      <c r="EZC1" s="9"/>
      <c r="EZD1" s="9"/>
      <c r="EZE1" s="9"/>
      <c r="EZF1" s="9"/>
      <c r="EZG1" s="9"/>
      <c r="EZH1" s="9"/>
      <c r="EZI1" s="9"/>
      <c r="EZJ1" s="9"/>
      <c r="EZK1" s="9"/>
      <c r="EZL1" s="9"/>
      <c r="EZM1" s="9"/>
      <c r="EZN1" s="9"/>
      <c r="EZO1" s="9"/>
      <c r="EZP1" s="9"/>
      <c r="EZQ1" s="9"/>
      <c r="EZR1" s="9"/>
      <c r="EZS1" s="9"/>
      <c r="EZT1" s="9"/>
      <c r="EZU1" s="9"/>
      <c r="EZV1" s="9"/>
      <c r="EZW1" s="9"/>
      <c r="EZX1" s="9"/>
      <c r="EZY1" s="9"/>
      <c r="EZZ1" s="9"/>
      <c r="FAA1" s="9"/>
      <c r="FAB1" s="9"/>
      <c r="FAC1" s="9"/>
      <c r="FAD1" s="9"/>
      <c r="FAE1" s="9"/>
      <c r="FAF1" s="9"/>
      <c r="FAG1" s="9"/>
      <c r="FAH1" s="9"/>
      <c r="FAI1" s="9"/>
      <c r="FAJ1" s="9"/>
      <c r="FAK1" s="9"/>
      <c r="FAL1" s="9"/>
      <c r="FAM1" s="9"/>
      <c r="FAN1" s="9"/>
      <c r="FAO1" s="9"/>
      <c r="FAP1" s="9"/>
      <c r="FAQ1" s="9"/>
      <c r="FAR1" s="9"/>
      <c r="FAS1" s="9"/>
      <c r="FAT1" s="9"/>
      <c r="FAU1" s="9"/>
      <c r="FAV1" s="9"/>
      <c r="FAW1" s="9"/>
      <c r="FAX1" s="9"/>
      <c r="FAY1" s="9"/>
      <c r="FAZ1" s="9"/>
      <c r="FBA1" s="9"/>
      <c r="FBB1" s="9"/>
      <c r="FBC1" s="9"/>
      <c r="FBD1" s="9"/>
      <c r="FBE1" s="9"/>
      <c r="FBF1" s="9"/>
      <c r="FBG1" s="9"/>
      <c r="FBH1" s="9"/>
      <c r="FBI1" s="9"/>
      <c r="FBJ1" s="9"/>
      <c r="FBK1" s="9"/>
      <c r="FBL1" s="9"/>
      <c r="FBM1" s="9"/>
      <c r="FBN1" s="9"/>
      <c r="FBO1" s="9"/>
      <c r="FBP1" s="9"/>
      <c r="FBQ1" s="9"/>
      <c r="FBR1" s="9"/>
      <c r="FBS1" s="9"/>
      <c r="FBT1" s="9"/>
      <c r="FBU1" s="9"/>
      <c r="FBV1" s="9"/>
      <c r="FBW1" s="9"/>
      <c r="FBX1" s="9"/>
      <c r="FBY1" s="9"/>
      <c r="FBZ1" s="9"/>
      <c r="FCA1" s="9"/>
      <c r="FCB1" s="9"/>
      <c r="FCC1" s="9"/>
      <c r="FCD1" s="9"/>
      <c r="FCE1" s="9"/>
      <c r="FCF1" s="9"/>
      <c r="FCG1" s="9"/>
      <c r="FCH1" s="9"/>
      <c r="FCI1" s="9"/>
      <c r="FCJ1" s="9"/>
      <c r="FCK1" s="9"/>
      <c r="FCL1" s="9"/>
      <c r="FCM1" s="9"/>
      <c r="FCN1" s="9"/>
      <c r="FCO1" s="9"/>
      <c r="FCP1" s="9"/>
      <c r="FCQ1" s="9"/>
      <c r="FCR1" s="9"/>
      <c r="FCS1" s="9"/>
      <c r="FCT1" s="9"/>
      <c r="FCU1" s="9"/>
      <c r="FCV1" s="9"/>
      <c r="FCW1" s="9"/>
      <c r="FCX1" s="9"/>
      <c r="FCY1" s="9"/>
      <c r="FCZ1" s="9"/>
      <c r="FDA1" s="9"/>
      <c r="FDB1" s="9"/>
      <c r="FDC1" s="9"/>
      <c r="FDD1" s="9"/>
      <c r="FDE1" s="9"/>
      <c r="FDF1" s="9"/>
      <c r="FDG1" s="9"/>
      <c r="FDH1" s="9"/>
      <c r="FDI1" s="9"/>
      <c r="FDJ1" s="9"/>
      <c r="FDK1" s="9"/>
      <c r="FDL1" s="9"/>
      <c r="FDM1" s="9"/>
      <c r="FDN1" s="9"/>
      <c r="FDO1" s="9"/>
      <c r="FDP1" s="9"/>
      <c r="FDQ1" s="9"/>
      <c r="FDR1" s="9"/>
      <c r="FDS1" s="9"/>
      <c r="FDT1" s="9"/>
      <c r="FDU1" s="9"/>
      <c r="FDV1" s="9"/>
      <c r="FDW1" s="9"/>
      <c r="FDX1" s="9"/>
      <c r="FDY1" s="9"/>
      <c r="FDZ1" s="9"/>
      <c r="FEA1" s="9"/>
      <c r="FEB1" s="9"/>
      <c r="FEC1" s="9"/>
      <c r="FED1" s="9"/>
      <c r="FEE1" s="9"/>
      <c r="FEF1" s="9"/>
      <c r="FEG1" s="9"/>
      <c r="FEH1" s="9"/>
      <c r="FEI1" s="9"/>
      <c r="FEJ1" s="9"/>
      <c r="FEK1" s="9"/>
      <c r="FEL1" s="9"/>
      <c r="FEM1" s="9"/>
      <c r="FEN1" s="9"/>
      <c r="FEO1" s="9"/>
      <c r="FEP1" s="9"/>
      <c r="FEQ1" s="9"/>
      <c r="FER1" s="9"/>
      <c r="FES1" s="9"/>
      <c r="FET1" s="9"/>
      <c r="FEU1" s="9"/>
      <c r="FEV1" s="9"/>
      <c r="FEW1" s="9"/>
      <c r="FEX1" s="9"/>
      <c r="FEY1" s="9"/>
      <c r="FEZ1" s="9"/>
      <c r="FFA1" s="9"/>
      <c r="FFB1" s="9"/>
      <c r="FFC1" s="9"/>
      <c r="FFD1" s="9"/>
      <c r="FFE1" s="9"/>
      <c r="FFF1" s="9"/>
      <c r="FFG1" s="9"/>
      <c r="FFH1" s="9"/>
      <c r="FFI1" s="9"/>
      <c r="FFJ1" s="9"/>
      <c r="FFK1" s="9"/>
      <c r="FFL1" s="9"/>
      <c r="FFM1" s="9"/>
      <c r="FFN1" s="9"/>
      <c r="FFO1" s="9"/>
      <c r="FFP1" s="9"/>
      <c r="FFQ1" s="9"/>
      <c r="FFR1" s="9"/>
      <c r="FFS1" s="9"/>
      <c r="FFT1" s="9"/>
      <c r="FFU1" s="9"/>
      <c r="FFV1" s="9"/>
      <c r="FFW1" s="9"/>
      <c r="FFX1" s="9"/>
      <c r="FFY1" s="9"/>
      <c r="FFZ1" s="9"/>
      <c r="FGA1" s="9"/>
      <c r="FGB1" s="9"/>
      <c r="FGC1" s="9"/>
      <c r="FGD1" s="9"/>
      <c r="FGE1" s="9"/>
      <c r="FGF1" s="9"/>
      <c r="FGG1" s="9"/>
      <c r="FGH1" s="9"/>
      <c r="FGI1" s="9"/>
      <c r="FGJ1" s="9"/>
      <c r="FGK1" s="9"/>
      <c r="FGL1" s="9"/>
      <c r="FGM1" s="9"/>
      <c r="FGN1" s="9"/>
      <c r="FGO1" s="9"/>
      <c r="FGP1" s="9"/>
      <c r="FGQ1" s="9"/>
      <c r="FGR1" s="9"/>
      <c r="FGS1" s="9"/>
      <c r="FGT1" s="9"/>
      <c r="FGU1" s="9"/>
      <c r="FGV1" s="9"/>
      <c r="FGW1" s="9"/>
      <c r="FGX1" s="9"/>
      <c r="FGY1" s="9"/>
      <c r="FGZ1" s="9"/>
      <c r="FHA1" s="9"/>
      <c r="FHB1" s="9"/>
      <c r="FHC1" s="9"/>
      <c r="FHD1" s="9"/>
      <c r="FHE1" s="9"/>
      <c r="FHF1" s="9"/>
      <c r="FHG1" s="9"/>
      <c r="FHH1" s="9"/>
      <c r="FHI1" s="9"/>
      <c r="FHJ1" s="9"/>
      <c r="FHK1" s="9"/>
      <c r="FHL1" s="9"/>
      <c r="FHM1" s="9"/>
      <c r="FHN1" s="9"/>
      <c r="FHO1" s="9"/>
      <c r="FHP1" s="9"/>
      <c r="FHQ1" s="9"/>
      <c r="FHR1" s="9"/>
      <c r="FHS1" s="9"/>
      <c r="FHT1" s="9"/>
      <c r="FHU1" s="9"/>
      <c r="FHV1" s="9"/>
      <c r="FHW1" s="9"/>
      <c r="FHX1" s="9"/>
      <c r="FHY1" s="9"/>
      <c r="FHZ1" s="9"/>
      <c r="FIA1" s="9"/>
      <c r="FIB1" s="9"/>
      <c r="FIC1" s="9"/>
      <c r="FID1" s="9"/>
      <c r="FIE1" s="9"/>
      <c r="FIF1" s="9"/>
      <c r="FIG1" s="9"/>
      <c r="FIH1" s="9"/>
      <c r="FII1" s="9"/>
      <c r="FIJ1" s="9"/>
      <c r="FIK1" s="9"/>
      <c r="FIL1" s="9"/>
      <c r="FIM1" s="9"/>
      <c r="FIN1" s="9"/>
      <c r="FIO1" s="9"/>
      <c r="FIP1" s="9"/>
      <c r="FIQ1" s="9"/>
      <c r="FIR1" s="9"/>
      <c r="FIS1" s="9"/>
      <c r="FIT1" s="9"/>
      <c r="FIU1" s="9"/>
      <c r="FIV1" s="9"/>
      <c r="FIW1" s="9"/>
      <c r="FIX1" s="9"/>
      <c r="FIY1" s="9"/>
      <c r="FIZ1" s="9"/>
      <c r="FJA1" s="9"/>
      <c r="FJB1" s="9"/>
      <c r="FJC1" s="9"/>
      <c r="FJD1" s="9"/>
      <c r="FJE1" s="9"/>
      <c r="FJF1" s="9"/>
      <c r="FJG1" s="9"/>
      <c r="FJH1" s="9"/>
      <c r="FJI1" s="9"/>
      <c r="FJJ1" s="9"/>
      <c r="FJK1" s="9"/>
      <c r="FJL1" s="9"/>
      <c r="FJM1" s="9"/>
      <c r="FJN1" s="9"/>
      <c r="FJO1" s="9"/>
      <c r="FJP1" s="9"/>
      <c r="FJQ1" s="9"/>
      <c r="FJR1" s="9"/>
      <c r="FJS1" s="9"/>
      <c r="FJT1" s="9"/>
      <c r="FJU1" s="9"/>
      <c r="FJV1" s="9"/>
      <c r="FJW1" s="9"/>
      <c r="FJX1" s="9"/>
      <c r="FJY1" s="9"/>
      <c r="FJZ1" s="9"/>
      <c r="FKA1" s="9"/>
      <c r="FKB1" s="9"/>
      <c r="FKC1" s="9"/>
      <c r="FKD1" s="9"/>
      <c r="FKE1" s="9"/>
      <c r="FKF1" s="9"/>
      <c r="FKG1" s="9"/>
      <c r="FKH1" s="9"/>
      <c r="FKI1" s="9"/>
      <c r="FKJ1" s="9"/>
      <c r="FKK1" s="9"/>
      <c r="FKL1" s="9"/>
      <c r="FKM1" s="9"/>
      <c r="FKN1" s="9"/>
      <c r="FKO1" s="9"/>
      <c r="FKP1" s="9"/>
      <c r="FKQ1" s="9"/>
      <c r="FKR1" s="9"/>
      <c r="FKS1" s="9"/>
      <c r="FKT1" s="9"/>
      <c r="FKU1" s="9"/>
      <c r="FKV1" s="9"/>
      <c r="FKW1" s="9"/>
      <c r="FKX1" s="9"/>
      <c r="FKY1" s="9"/>
      <c r="FKZ1" s="9"/>
      <c r="FLA1" s="9"/>
      <c r="FLB1" s="9"/>
      <c r="FLC1" s="9"/>
      <c r="FLD1" s="9"/>
      <c r="FLE1" s="9"/>
      <c r="FLF1" s="9"/>
      <c r="FLG1" s="9"/>
      <c r="FLH1" s="9"/>
      <c r="FLI1" s="9"/>
      <c r="FLJ1" s="9"/>
      <c r="FLK1" s="9"/>
      <c r="FLL1" s="9"/>
      <c r="FLM1" s="9"/>
      <c r="FLN1" s="9"/>
      <c r="FLO1" s="9"/>
      <c r="FLP1" s="9"/>
      <c r="FLQ1" s="9"/>
      <c r="FLR1" s="9"/>
      <c r="FLS1" s="9"/>
      <c r="FLT1" s="9"/>
      <c r="FLU1" s="9"/>
      <c r="FLV1" s="9"/>
      <c r="FLW1" s="9"/>
      <c r="FLX1" s="9"/>
      <c r="FLY1" s="9"/>
      <c r="FLZ1" s="9"/>
      <c r="FMA1" s="9"/>
      <c r="FMB1" s="9"/>
      <c r="FMC1" s="9"/>
      <c r="FMD1" s="9"/>
      <c r="FME1" s="9"/>
      <c r="FMF1" s="9"/>
      <c r="FMG1" s="9"/>
      <c r="FMH1" s="9"/>
      <c r="FMI1" s="9"/>
      <c r="FMJ1" s="9"/>
      <c r="FMK1" s="9"/>
      <c r="FML1" s="9"/>
      <c r="FMM1" s="9"/>
      <c r="FMN1" s="9"/>
      <c r="FMO1" s="9"/>
      <c r="FMP1" s="9"/>
      <c r="FMQ1" s="9"/>
      <c r="FMR1" s="9"/>
      <c r="FMS1" s="9"/>
      <c r="FMT1" s="9"/>
      <c r="FMU1" s="9"/>
      <c r="FMV1" s="9"/>
      <c r="FMW1" s="9"/>
      <c r="FMX1" s="9"/>
      <c r="FMY1" s="9"/>
      <c r="FMZ1" s="9"/>
      <c r="FNA1" s="9"/>
      <c r="FNB1" s="9"/>
      <c r="FNC1" s="9"/>
      <c r="FND1" s="9"/>
      <c r="FNE1" s="9"/>
      <c r="FNF1" s="9"/>
      <c r="FNG1" s="9"/>
      <c r="FNH1" s="9"/>
      <c r="FNI1" s="9"/>
      <c r="FNJ1" s="9"/>
      <c r="FNK1" s="9"/>
      <c r="FNL1" s="9"/>
      <c r="FNM1" s="9"/>
      <c r="FNN1" s="9"/>
      <c r="FNO1" s="9"/>
      <c r="FNP1" s="9"/>
      <c r="FNQ1" s="9"/>
      <c r="FNR1" s="9"/>
      <c r="FNS1" s="9"/>
      <c r="FNT1" s="9"/>
      <c r="FNU1" s="9"/>
      <c r="FNV1" s="9"/>
      <c r="FNW1" s="9"/>
      <c r="FNX1" s="9"/>
      <c r="FNY1" s="9"/>
      <c r="FNZ1" s="9"/>
      <c r="FOA1" s="9"/>
      <c r="FOB1" s="9"/>
      <c r="FOC1" s="9"/>
      <c r="FOD1" s="9"/>
      <c r="FOE1" s="9"/>
      <c r="FOF1" s="9"/>
      <c r="FOG1" s="9"/>
      <c r="FOH1" s="9"/>
      <c r="FOI1" s="9"/>
      <c r="FOJ1" s="9"/>
      <c r="FOK1" s="9"/>
      <c r="FOL1" s="9"/>
      <c r="FOM1" s="9"/>
      <c r="FON1" s="9"/>
      <c r="FOO1" s="9"/>
      <c r="FOP1" s="9"/>
      <c r="FOQ1" s="9"/>
      <c r="FOR1" s="9"/>
      <c r="FOS1" s="9"/>
      <c r="FOT1" s="9"/>
      <c r="FOU1" s="9"/>
      <c r="FOV1" s="9"/>
      <c r="FOW1" s="9"/>
      <c r="FOX1" s="9"/>
      <c r="FOY1" s="9"/>
      <c r="FOZ1" s="9"/>
      <c r="FPA1" s="9"/>
      <c r="FPB1" s="9"/>
      <c r="FPC1" s="9"/>
      <c r="FPD1" s="9"/>
      <c r="FPE1" s="9"/>
      <c r="FPF1" s="9"/>
      <c r="FPG1" s="9"/>
      <c r="FPH1" s="9"/>
      <c r="FPI1" s="9"/>
      <c r="FPJ1" s="9"/>
      <c r="FPK1" s="9"/>
      <c r="FPL1" s="9"/>
      <c r="FPM1" s="9"/>
      <c r="FPN1" s="9"/>
      <c r="FPO1" s="9"/>
      <c r="FPP1" s="9"/>
      <c r="FPQ1" s="9"/>
      <c r="FPR1" s="9"/>
      <c r="FPS1" s="9"/>
      <c r="FPT1" s="9"/>
      <c r="FPU1" s="9"/>
      <c r="FPV1" s="9"/>
      <c r="FPW1" s="9"/>
      <c r="FPX1" s="9"/>
      <c r="FPY1" s="9"/>
      <c r="FPZ1" s="9"/>
      <c r="FQA1" s="9"/>
      <c r="FQB1" s="9"/>
      <c r="FQC1" s="9"/>
      <c r="FQD1" s="9"/>
      <c r="FQE1" s="9"/>
      <c r="FQF1" s="9"/>
      <c r="FQG1" s="9"/>
      <c r="FQH1" s="9"/>
      <c r="FQI1" s="9"/>
      <c r="FQJ1" s="9"/>
      <c r="FQK1" s="9"/>
      <c r="FQL1" s="9"/>
      <c r="FQM1" s="9"/>
      <c r="FQN1" s="9"/>
      <c r="FQO1" s="9"/>
      <c r="FQP1" s="9"/>
      <c r="FQQ1" s="9"/>
      <c r="FQR1" s="9"/>
      <c r="FQS1" s="9"/>
      <c r="FQT1" s="9"/>
      <c r="FQU1" s="9"/>
      <c r="FQV1" s="9"/>
      <c r="FQW1" s="9"/>
      <c r="FQX1" s="9"/>
      <c r="FQY1" s="9"/>
      <c r="FQZ1" s="9"/>
      <c r="FRA1" s="9"/>
      <c r="FRB1" s="9"/>
      <c r="FRC1" s="9"/>
      <c r="FRD1" s="9"/>
      <c r="FRE1" s="9"/>
      <c r="FRF1" s="9"/>
      <c r="FRG1" s="9"/>
      <c r="FRH1" s="9"/>
      <c r="FRI1" s="9"/>
      <c r="FRJ1" s="9"/>
      <c r="FRK1" s="9"/>
      <c r="FRL1" s="9"/>
      <c r="FRM1" s="9"/>
      <c r="FRN1" s="9"/>
      <c r="FRO1" s="9"/>
      <c r="FRP1" s="9"/>
      <c r="FRQ1" s="9"/>
      <c r="FRR1" s="9"/>
      <c r="FRS1" s="9"/>
      <c r="FRT1" s="9"/>
      <c r="FRU1" s="9"/>
      <c r="FRV1" s="9"/>
      <c r="FRW1" s="9"/>
      <c r="FRX1" s="9"/>
      <c r="FRY1" s="9"/>
      <c r="FRZ1" s="9"/>
      <c r="FSA1" s="9"/>
      <c r="FSB1" s="9"/>
      <c r="FSC1" s="9"/>
      <c r="FSD1" s="9"/>
      <c r="FSE1" s="9"/>
      <c r="FSF1" s="9"/>
      <c r="FSG1" s="9"/>
      <c r="FSH1" s="9"/>
      <c r="FSI1" s="9"/>
      <c r="FSJ1" s="9"/>
      <c r="FSK1" s="9"/>
      <c r="FSL1" s="9"/>
      <c r="FSM1" s="9"/>
      <c r="FSN1" s="9"/>
      <c r="FSO1" s="9"/>
      <c r="FSP1" s="9"/>
      <c r="FSQ1" s="9"/>
      <c r="FSR1" s="9"/>
      <c r="FSS1" s="9"/>
      <c r="FST1" s="9"/>
      <c r="FSU1" s="9"/>
      <c r="FSV1" s="9"/>
      <c r="FSW1" s="9"/>
      <c r="FSX1" s="9"/>
      <c r="FSY1" s="9"/>
      <c r="FSZ1" s="9"/>
      <c r="FTA1" s="9"/>
      <c r="FTB1" s="9"/>
      <c r="FTC1" s="9"/>
      <c r="FTD1" s="9"/>
      <c r="FTE1" s="9"/>
      <c r="FTF1" s="9"/>
      <c r="FTG1" s="9"/>
      <c r="FTH1" s="9"/>
      <c r="FTI1" s="9"/>
      <c r="FTJ1" s="9"/>
      <c r="FTK1" s="9"/>
      <c r="FTL1" s="9"/>
      <c r="FTM1" s="9"/>
      <c r="FTN1" s="9"/>
      <c r="FTO1" s="9"/>
      <c r="FTP1" s="9"/>
      <c r="FTQ1" s="9"/>
      <c r="FTR1" s="9"/>
      <c r="FTS1" s="9"/>
      <c r="FTT1" s="9"/>
      <c r="FTU1" s="9"/>
      <c r="FTV1" s="9"/>
      <c r="FTW1" s="9"/>
      <c r="FTX1" s="9"/>
      <c r="FTY1" s="9"/>
      <c r="FTZ1" s="9"/>
      <c r="FUA1" s="9"/>
      <c r="FUB1" s="9"/>
      <c r="FUC1" s="9"/>
      <c r="FUD1" s="9"/>
      <c r="FUE1" s="9"/>
      <c r="FUF1" s="9"/>
      <c r="FUG1" s="9"/>
      <c r="FUH1" s="9"/>
      <c r="FUI1" s="9"/>
      <c r="FUJ1" s="9"/>
      <c r="FUK1" s="9"/>
      <c r="FUL1" s="9"/>
      <c r="FUM1" s="9"/>
      <c r="FUN1" s="9"/>
      <c r="FUO1" s="9"/>
      <c r="FUP1" s="9"/>
      <c r="FUQ1" s="9"/>
      <c r="FUR1" s="9"/>
      <c r="FUS1" s="9"/>
      <c r="FUT1" s="9"/>
      <c r="FUU1" s="9"/>
      <c r="FUV1" s="9"/>
      <c r="FUW1" s="9"/>
      <c r="FUX1" s="9"/>
      <c r="FUY1" s="9"/>
      <c r="FUZ1" s="9"/>
      <c r="FVA1" s="9"/>
      <c r="FVB1" s="9"/>
      <c r="FVC1" s="9"/>
      <c r="FVD1" s="9"/>
      <c r="FVE1" s="9"/>
      <c r="FVF1" s="9"/>
      <c r="FVG1" s="9"/>
      <c r="FVH1" s="9"/>
      <c r="FVI1" s="9"/>
      <c r="FVJ1" s="9"/>
      <c r="FVK1" s="9"/>
      <c r="FVL1" s="9"/>
      <c r="FVM1" s="9"/>
      <c r="FVN1" s="9"/>
      <c r="FVO1" s="9"/>
      <c r="FVP1" s="9"/>
      <c r="FVQ1" s="9"/>
      <c r="FVR1" s="9"/>
      <c r="FVS1" s="9"/>
      <c r="FVT1" s="9"/>
      <c r="FVU1" s="9"/>
      <c r="FVV1" s="9"/>
      <c r="FVW1" s="9"/>
      <c r="FVX1" s="9"/>
      <c r="FVY1" s="9"/>
      <c r="FVZ1" s="9"/>
      <c r="FWA1" s="9"/>
      <c r="FWB1" s="9"/>
      <c r="FWC1" s="9"/>
      <c r="FWD1" s="9"/>
      <c r="FWE1" s="9"/>
      <c r="FWF1" s="9"/>
      <c r="FWG1" s="9"/>
      <c r="FWH1" s="9"/>
      <c r="FWI1" s="9"/>
      <c r="FWJ1" s="9"/>
      <c r="FWK1" s="9"/>
      <c r="FWL1" s="9"/>
      <c r="FWM1" s="9"/>
      <c r="FWN1" s="9"/>
      <c r="FWO1" s="9"/>
      <c r="FWP1" s="9"/>
      <c r="FWQ1" s="9"/>
      <c r="FWR1" s="9"/>
      <c r="FWS1" s="9"/>
      <c r="FWT1" s="9"/>
      <c r="FWU1" s="9"/>
      <c r="FWV1" s="9"/>
      <c r="FWW1" s="9"/>
      <c r="FWX1" s="9"/>
      <c r="FWY1" s="9"/>
      <c r="FWZ1" s="9"/>
      <c r="FXA1" s="9"/>
      <c r="FXB1" s="9"/>
      <c r="FXC1" s="9"/>
      <c r="FXD1" s="9"/>
      <c r="FXE1" s="9"/>
      <c r="FXF1" s="9"/>
      <c r="FXG1" s="9"/>
      <c r="FXH1" s="9"/>
      <c r="FXI1" s="9"/>
      <c r="FXJ1" s="9"/>
      <c r="FXK1" s="9"/>
      <c r="FXL1" s="9"/>
      <c r="FXM1" s="9"/>
      <c r="FXN1" s="9"/>
      <c r="FXO1" s="9"/>
      <c r="FXP1" s="9"/>
      <c r="FXQ1" s="9"/>
      <c r="FXR1" s="9"/>
      <c r="FXS1" s="9"/>
      <c r="FXT1" s="9"/>
      <c r="FXU1" s="9"/>
      <c r="FXV1" s="9"/>
      <c r="FXW1" s="9"/>
      <c r="FXX1" s="9"/>
      <c r="FXY1" s="9"/>
      <c r="FXZ1" s="9"/>
      <c r="FYA1" s="9"/>
      <c r="FYB1" s="9"/>
      <c r="FYC1" s="9"/>
      <c r="FYD1" s="9"/>
      <c r="FYE1" s="9"/>
      <c r="FYF1" s="9"/>
      <c r="FYG1" s="9"/>
      <c r="FYH1" s="9"/>
      <c r="FYI1" s="9"/>
      <c r="FYJ1" s="9"/>
      <c r="FYK1" s="9"/>
      <c r="FYL1" s="9"/>
      <c r="FYM1" s="9"/>
      <c r="FYN1" s="9"/>
      <c r="FYO1" s="9"/>
      <c r="FYP1" s="9"/>
      <c r="FYQ1" s="9"/>
      <c r="FYR1" s="9"/>
      <c r="FYS1" s="9"/>
      <c r="FYT1" s="9"/>
      <c r="FYU1" s="9"/>
      <c r="FYV1" s="9"/>
      <c r="FYW1" s="9"/>
      <c r="FYX1" s="9"/>
      <c r="FYY1" s="9"/>
      <c r="FYZ1" s="9"/>
      <c r="FZA1" s="9"/>
      <c r="FZB1" s="9"/>
      <c r="FZC1" s="9"/>
      <c r="FZD1" s="9"/>
      <c r="FZE1" s="9"/>
      <c r="FZF1" s="9"/>
      <c r="FZG1" s="9"/>
      <c r="FZH1" s="9"/>
      <c r="FZI1" s="9"/>
      <c r="FZJ1" s="9"/>
      <c r="FZK1" s="9"/>
      <c r="FZL1" s="9"/>
      <c r="FZM1" s="9"/>
      <c r="FZN1" s="9"/>
      <c r="FZO1" s="9"/>
      <c r="FZP1" s="9"/>
      <c r="FZQ1" s="9"/>
      <c r="FZR1" s="9"/>
      <c r="FZS1" s="9"/>
      <c r="FZT1" s="9"/>
      <c r="FZU1" s="9"/>
      <c r="FZV1" s="9"/>
      <c r="FZW1" s="9"/>
      <c r="FZX1" s="9"/>
      <c r="FZY1" s="9"/>
      <c r="FZZ1" s="9"/>
      <c r="GAA1" s="9"/>
      <c r="GAB1" s="9"/>
      <c r="GAC1" s="9"/>
      <c r="GAD1" s="9"/>
      <c r="GAE1" s="9"/>
      <c r="GAF1" s="9"/>
      <c r="GAG1" s="9"/>
      <c r="GAH1" s="9"/>
      <c r="GAI1" s="9"/>
      <c r="GAJ1" s="9"/>
      <c r="GAK1" s="9"/>
      <c r="GAL1" s="9"/>
      <c r="GAM1" s="9"/>
      <c r="GAN1" s="9"/>
      <c r="GAO1" s="9"/>
      <c r="GAP1" s="9"/>
      <c r="GAQ1" s="9"/>
      <c r="GAR1" s="9"/>
      <c r="GAS1" s="9"/>
      <c r="GAT1" s="9"/>
      <c r="GAU1" s="9"/>
      <c r="GAV1" s="9"/>
      <c r="GAW1" s="9"/>
      <c r="GAX1" s="9"/>
      <c r="GAY1" s="9"/>
      <c r="GAZ1" s="9"/>
      <c r="GBA1" s="9"/>
      <c r="GBB1" s="9"/>
      <c r="GBC1" s="9"/>
      <c r="GBD1" s="9"/>
      <c r="GBE1" s="9"/>
      <c r="GBF1" s="9"/>
      <c r="GBG1" s="9"/>
      <c r="GBH1" s="9"/>
      <c r="GBI1" s="9"/>
      <c r="GBJ1" s="9"/>
      <c r="GBK1" s="9"/>
      <c r="GBL1" s="9"/>
      <c r="GBM1" s="9"/>
      <c r="GBN1" s="9"/>
      <c r="GBO1" s="9"/>
      <c r="GBP1" s="9"/>
      <c r="GBQ1" s="9"/>
      <c r="GBR1" s="9"/>
      <c r="GBS1" s="9"/>
      <c r="GBT1" s="9"/>
      <c r="GBU1" s="9"/>
      <c r="GBV1" s="9"/>
      <c r="GBW1" s="9"/>
      <c r="GBX1" s="9"/>
      <c r="GBY1" s="9"/>
      <c r="GBZ1" s="9"/>
      <c r="GCA1" s="9"/>
      <c r="GCB1" s="9"/>
      <c r="GCC1" s="9"/>
      <c r="GCD1" s="9"/>
      <c r="GCE1" s="9"/>
      <c r="GCF1" s="9"/>
      <c r="GCG1" s="9"/>
      <c r="GCH1" s="9"/>
      <c r="GCI1" s="9"/>
      <c r="GCJ1" s="9"/>
      <c r="GCK1" s="9"/>
      <c r="GCL1" s="9"/>
      <c r="GCM1" s="9"/>
      <c r="GCN1" s="9"/>
      <c r="GCO1" s="9"/>
      <c r="GCP1" s="9"/>
      <c r="GCQ1" s="9"/>
      <c r="GCR1" s="9"/>
      <c r="GCS1" s="9"/>
      <c r="GCT1" s="9"/>
      <c r="GCU1" s="9"/>
      <c r="GCV1" s="9"/>
      <c r="GCW1" s="9"/>
      <c r="GCX1" s="9"/>
      <c r="GCY1" s="9"/>
      <c r="GCZ1" s="9"/>
      <c r="GDA1" s="9"/>
      <c r="GDB1" s="9"/>
      <c r="GDC1" s="9"/>
      <c r="GDD1" s="9"/>
      <c r="GDE1" s="9"/>
      <c r="GDF1" s="9"/>
      <c r="GDG1" s="9"/>
      <c r="GDH1" s="9"/>
      <c r="GDI1" s="9"/>
      <c r="GDJ1" s="9"/>
      <c r="GDK1" s="9"/>
      <c r="GDL1" s="9"/>
      <c r="GDM1" s="9"/>
      <c r="GDN1" s="9"/>
      <c r="GDO1" s="9"/>
      <c r="GDP1" s="9"/>
      <c r="GDQ1" s="9"/>
      <c r="GDR1" s="9"/>
      <c r="GDS1" s="9"/>
      <c r="GDT1" s="9"/>
      <c r="GDU1" s="9"/>
      <c r="GDV1" s="9"/>
      <c r="GDW1" s="9"/>
      <c r="GDX1" s="9"/>
      <c r="GDY1" s="9"/>
      <c r="GDZ1" s="9"/>
      <c r="GEA1" s="9"/>
      <c r="GEB1" s="9"/>
      <c r="GEC1" s="9"/>
      <c r="GED1" s="9"/>
      <c r="GEE1" s="9"/>
      <c r="GEF1" s="9"/>
      <c r="GEG1" s="9"/>
      <c r="GEH1" s="9"/>
      <c r="GEI1" s="9"/>
      <c r="GEJ1" s="9"/>
      <c r="GEK1" s="9"/>
      <c r="GEL1" s="9"/>
      <c r="GEM1" s="9"/>
      <c r="GEN1" s="9"/>
      <c r="GEO1" s="9"/>
      <c r="GEP1" s="9"/>
      <c r="GEQ1" s="9"/>
      <c r="GER1" s="9"/>
      <c r="GES1" s="9"/>
      <c r="GET1" s="9"/>
      <c r="GEU1" s="9"/>
      <c r="GEV1" s="9"/>
      <c r="GEW1" s="9"/>
      <c r="GEX1" s="9"/>
      <c r="GEY1" s="9"/>
      <c r="GEZ1" s="9"/>
      <c r="GFA1" s="9"/>
      <c r="GFB1" s="9"/>
      <c r="GFC1" s="9"/>
      <c r="GFD1" s="9"/>
      <c r="GFE1" s="9"/>
      <c r="GFF1" s="9"/>
      <c r="GFG1" s="9"/>
      <c r="GFH1" s="9"/>
      <c r="GFI1" s="9"/>
      <c r="GFJ1" s="9"/>
      <c r="GFK1" s="9"/>
      <c r="GFL1" s="9"/>
      <c r="GFM1" s="9"/>
      <c r="GFN1" s="9"/>
      <c r="GFO1" s="9"/>
      <c r="GFP1" s="9"/>
      <c r="GFQ1" s="9"/>
      <c r="GFR1" s="9"/>
      <c r="GFS1" s="9"/>
      <c r="GFT1" s="9"/>
      <c r="GFU1" s="9"/>
      <c r="GFV1" s="9"/>
      <c r="GFW1" s="9"/>
      <c r="GFX1" s="9"/>
      <c r="GFY1" s="9"/>
      <c r="GFZ1" s="9"/>
      <c r="GGA1" s="9"/>
      <c r="GGB1" s="9"/>
      <c r="GGC1" s="9"/>
      <c r="GGD1" s="9"/>
      <c r="GGE1" s="9"/>
      <c r="GGF1" s="9"/>
      <c r="GGG1" s="9"/>
      <c r="GGH1" s="9"/>
      <c r="GGI1" s="9"/>
      <c r="GGJ1" s="9"/>
      <c r="GGK1" s="9"/>
      <c r="GGL1" s="9"/>
      <c r="GGM1" s="9"/>
      <c r="GGN1" s="9"/>
      <c r="GGO1" s="9"/>
      <c r="GGP1" s="9"/>
      <c r="GGQ1" s="9"/>
      <c r="GGR1" s="9"/>
      <c r="GGS1" s="9"/>
      <c r="GGT1" s="9"/>
      <c r="GGU1" s="9"/>
      <c r="GGV1" s="9"/>
      <c r="GGW1" s="9"/>
      <c r="GGX1" s="9"/>
      <c r="GGY1" s="9"/>
      <c r="GGZ1" s="9"/>
      <c r="GHA1" s="9"/>
      <c r="GHB1" s="9"/>
      <c r="GHC1" s="9"/>
      <c r="GHD1" s="9"/>
      <c r="GHE1" s="9"/>
      <c r="GHF1" s="9"/>
      <c r="GHG1" s="9"/>
      <c r="GHH1" s="9"/>
      <c r="GHI1" s="9"/>
      <c r="GHJ1" s="9"/>
      <c r="GHK1" s="9"/>
      <c r="GHL1" s="9"/>
      <c r="GHM1" s="9"/>
      <c r="GHN1" s="9"/>
      <c r="GHO1" s="9"/>
      <c r="GHP1" s="9"/>
      <c r="GHQ1" s="9"/>
      <c r="GHR1" s="9"/>
      <c r="GHS1" s="9"/>
      <c r="GHT1" s="9"/>
      <c r="GHU1" s="9"/>
      <c r="GHV1" s="9"/>
      <c r="GHW1" s="9"/>
      <c r="GHX1" s="9"/>
      <c r="GHY1" s="9"/>
      <c r="GHZ1" s="9"/>
      <c r="GIA1" s="9"/>
      <c r="GIB1" s="9"/>
      <c r="GIC1" s="9"/>
      <c r="GID1" s="9"/>
      <c r="GIE1" s="9"/>
      <c r="GIF1" s="9"/>
      <c r="GIG1" s="9"/>
      <c r="GIH1" s="9"/>
      <c r="GII1" s="9"/>
      <c r="GIJ1" s="9"/>
      <c r="GIK1" s="9"/>
      <c r="GIL1" s="9"/>
      <c r="GIM1" s="9"/>
      <c r="GIN1" s="9"/>
      <c r="GIO1" s="9"/>
      <c r="GIP1" s="9"/>
      <c r="GIQ1" s="9"/>
      <c r="GIR1" s="9"/>
      <c r="GIS1" s="9"/>
      <c r="GIT1" s="9"/>
      <c r="GIU1" s="9"/>
      <c r="GIV1" s="9"/>
      <c r="GIW1" s="9"/>
      <c r="GIX1" s="9"/>
      <c r="GIY1" s="9"/>
      <c r="GIZ1" s="9"/>
      <c r="GJA1" s="9"/>
      <c r="GJB1" s="9"/>
      <c r="GJC1" s="9"/>
      <c r="GJD1" s="9"/>
      <c r="GJE1" s="9"/>
      <c r="GJF1" s="9"/>
      <c r="GJG1" s="9"/>
      <c r="GJH1" s="9"/>
      <c r="GJI1" s="9"/>
      <c r="GJJ1" s="9"/>
      <c r="GJK1" s="9"/>
      <c r="GJL1" s="9"/>
      <c r="GJM1" s="9"/>
      <c r="GJN1" s="9"/>
      <c r="GJO1" s="9"/>
      <c r="GJP1" s="9"/>
      <c r="GJQ1" s="9"/>
      <c r="GJR1" s="9"/>
      <c r="GJS1" s="9"/>
      <c r="GJT1" s="9"/>
      <c r="GJU1" s="9"/>
      <c r="GJV1" s="9"/>
      <c r="GJW1" s="9"/>
      <c r="GJX1" s="9"/>
      <c r="GJY1" s="9"/>
      <c r="GJZ1" s="9"/>
      <c r="GKA1" s="9"/>
      <c r="GKB1" s="9"/>
      <c r="GKC1" s="9"/>
      <c r="GKD1" s="9"/>
      <c r="GKE1" s="9"/>
      <c r="GKF1" s="9"/>
      <c r="GKG1" s="9"/>
      <c r="GKH1" s="9"/>
      <c r="GKI1" s="9"/>
      <c r="GKJ1" s="9"/>
      <c r="GKK1" s="9"/>
      <c r="GKL1" s="9"/>
      <c r="GKM1" s="9"/>
      <c r="GKN1" s="9"/>
      <c r="GKO1" s="9"/>
      <c r="GKP1" s="9"/>
      <c r="GKQ1" s="9"/>
      <c r="GKR1" s="9"/>
      <c r="GKS1" s="9"/>
      <c r="GKT1" s="9"/>
      <c r="GKU1" s="9"/>
      <c r="GKV1" s="9"/>
      <c r="GKW1" s="9"/>
      <c r="GKX1" s="9"/>
      <c r="GKY1" s="9"/>
      <c r="GKZ1" s="9"/>
      <c r="GLA1" s="9"/>
      <c r="GLB1" s="9"/>
      <c r="GLC1" s="9"/>
      <c r="GLD1" s="9"/>
      <c r="GLE1" s="9"/>
      <c r="GLF1" s="9"/>
      <c r="GLG1" s="9"/>
      <c r="GLH1" s="9"/>
      <c r="GLI1" s="9"/>
      <c r="GLJ1" s="9"/>
      <c r="GLK1" s="9"/>
      <c r="GLL1" s="9"/>
      <c r="GLM1" s="9"/>
      <c r="GLN1" s="9"/>
      <c r="GLO1" s="9"/>
      <c r="GLP1" s="9"/>
      <c r="GLQ1" s="9"/>
      <c r="GLR1" s="9"/>
      <c r="GLS1" s="9"/>
      <c r="GLT1" s="9"/>
      <c r="GLU1" s="9"/>
      <c r="GLV1" s="9"/>
      <c r="GLW1" s="9"/>
      <c r="GLX1" s="9"/>
      <c r="GLY1" s="9"/>
      <c r="GLZ1" s="9"/>
      <c r="GMA1" s="9"/>
      <c r="GMB1" s="9"/>
      <c r="GMC1" s="9"/>
      <c r="GMD1" s="9"/>
      <c r="GME1" s="9"/>
      <c r="GMF1" s="9"/>
      <c r="GMG1" s="9"/>
      <c r="GMH1" s="9"/>
      <c r="GMI1" s="9"/>
      <c r="GMJ1" s="9"/>
      <c r="GMK1" s="9"/>
      <c r="GML1" s="9"/>
      <c r="GMM1" s="9"/>
      <c r="GMN1" s="9"/>
      <c r="GMO1" s="9"/>
      <c r="GMP1" s="9"/>
      <c r="GMQ1" s="9"/>
      <c r="GMR1" s="9"/>
      <c r="GMS1" s="9"/>
      <c r="GMT1" s="9"/>
      <c r="GMU1" s="9"/>
      <c r="GMV1" s="9"/>
      <c r="GMW1" s="9"/>
      <c r="GMX1" s="9"/>
      <c r="GMY1" s="9"/>
      <c r="GMZ1" s="9"/>
      <c r="GNA1" s="9"/>
      <c r="GNB1" s="9"/>
      <c r="GNC1" s="9"/>
      <c r="GND1" s="9"/>
      <c r="GNE1" s="9"/>
      <c r="GNF1" s="9"/>
      <c r="GNG1" s="9"/>
      <c r="GNH1" s="9"/>
      <c r="GNI1" s="9"/>
      <c r="GNJ1" s="9"/>
      <c r="GNK1" s="9"/>
      <c r="GNL1" s="9"/>
      <c r="GNM1" s="9"/>
      <c r="GNN1" s="9"/>
      <c r="GNO1" s="9"/>
      <c r="GNP1" s="9"/>
      <c r="GNQ1" s="9"/>
      <c r="GNR1" s="9"/>
      <c r="GNS1" s="9"/>
      <c r="GNT1" s="9"/>
      <c r="GNU1" s="9"/>
      <c r="GNV1" s="9"/>
      <c r="GNW1" s="9"/>
      <c r="GNX1" s="9"/>
      <c r="GNY1" s="9"/>
      <c r="GNZ1" s="9"/>
      <c r="GOA1" s="9"/>
      <c r="GOB1" s="9"/>
      <c r="GOC1" s="9"/>
      <c r="GOD1" s="9"/>
      <c r="GOE1" s="9"/>
      <c r="GOF1" s="9"/>
      <c r="GOG1" s="9"/>
      <c r="GOH1" s="9"/>
      <c r="GOI1" s="9"/>
      <c r="GOJ1" s="9"/>
      <c r="GOK1" s="9"/>
      <c r="GOL1" s="9"/>
      <c r="GOM1" s="9"/>
      <c r="GON1" s="9"/>
      <c r="GOO1" s="9"/>
      <c r="GOP1" s="9"/>
      <c r="GOQ1" s="9"/>
      <c r="GOR1" s="9"/>
      <c r="GOS1" s="9"/>
      <c r="GOT1" s="9"/>
      <c r="GOU1" s="9"/>
      <c r="GOV1" s="9"/>
      <c r="GOW1" s="9"/>
      <c r="GOX1" s="9"/>
      <c r="GOY1" s="9"/>
      <c r="GOZ1" s="9"/>
      <c r="GPA1" s="9"/>
      <c r="GPB1" s="9"/>
      <c r="GPC1" s="9"/>
      <c r="GPD1" s="9"/>
      <c r="GPE1" s="9"/>
      <c r="GPF1" s="9"/>
      <c r="GPG1" s="9"/>
      <c r="GPH1" s="9"/>
      <c r="GPI1" s="9"/>
      <c r="GPJ1" s="9"/>
      <c r="GPK1" s="9"/>
      <c r="GPL1" s="9"/>
      <c r="GPM1" s="9"/>
      <c r="GPN1" s="9"/>
      <c r="GPO1" s="9"/>
      <c r="GPP1" s="9"/>
      <c r="GPQ1" s="9"/>
      <c r="GPR1" s="9"/>
      <c r="GPS1" s="9"/>
      <c r="GPT1" s="9"/>
      <c r="GPU1" s="9"/>
      <c r="GPV1" s="9"/>
      <c r="GPW1" s="9"/>
      <c r="GPX1" s="9"/>
      <c r="GPY1" s="9"/>
      <c r="GPZ1" s="9"/>
      <c r="GQA1" s="9"/>
      <c r="GQB1" s="9"/>
      <c r="GQC1" s="9"/>
      <c r="GQD1" s="9"/>
      <c r="GQE1" s="9"/>
      <c r="GQF1" s="9"/>
      <c r="GQG1" s="9"/>
      <c r="GQH1" s="9"/>
      <c r="GQI1" s="9"/>
      <c r="GQJ1" s="9"/>
      <c r="GQK1" s="9"/>
      <c r="GQL1" s="9"/>
      <c r="GQM1" s="9"/>
      <c r="GQN1" s="9"/>
      <c r="GQO1" s="9"/>
      <c r="GQP1" s="9"/>
      <c r="GQQ1" s="9"/>
      <c r="GQR1" s="9"/>
      <c r="GQS1" s="9"/>
      <c r="GQT1" s="9"/>
      <c r="GQU1" s="9"/>
      <c r="GQV1" s="9"/>
      <c r="GQW1" s="9"/>
      <c r="GQX1" s="9"/>
      <c r="GQY1" s="9"/>
      <c r="GQZ1" s="9"/>
      <c r="GRA1" s="9"/>
      <c r="GRB1" s="9"/>
      <c r="GRC1" s="9"/>
      <c r="GRD1" s="9"/>
      <c r="GRE1" s="9"/>
      <c r="GRF1" s="9"/>
      <c r="GRG1" s="9"/>
      <c r="GRH1" s="9"/>
      <c r="GRI1" s="9"/>
      <c r="GRJ1" s="9"/>
      <c r="GRK1" s="9"/>
      <c r="GRL1" s="9"/>
      <c r="GRM1" s="9"/>
      <c r="GRN1" s="9"/>
      <c r="GRO1" s="9"/>
      <c r="GRP1" s="9"/>
      <c r="GRQ1" s="9"/>
      <c r="GRR1" s="9"/>
      <c r="GRS1" s="9"/>
      <c r="GRT1" s="9"/>
      <c r="GRU1" s="9"/>
      <c r="GRV1" s="9"/>
      <c r="GRW1" s="9"/>
      <c r="GRX1" s="9"/>
      <c r="GRY1" s="9"/>
      <c r="GRZ1" s="9"/>
      <c r="GSA1" s="9"/>
      <c r="GSB1" s="9"/>
      <c r="GSC1" s="9"/>
      <c r="GSD1" s="9"/>
      <c r="GSE1" s="9"/>
      <c r="GSF1" s="9"/>
      <c r="GSG1" s="9"/>
      <c r="GSH1" s="9"/>
      <c r="GSI1" s="9"/>
      <c r="GSJ1" s="9"/>
      <c r="GSK1" s="9"/>
      <c r="GSL1" s="9"/>
      <c r="GSM1" s="9"/>
      <c r="GSN1" s="9"/>
      <c r="GSO1" s="9"/>
      <c r="GSP1" s="9"/>
      <c r="GSQ1" s="9"/>
      <c r="GSR1" s="9"/>
      <c r="GSS1" s="9"/>
      <c r="GST1" s="9"/>
      <c r="GSU1" s="9"/>
      <c r="GSV1" s="9"/>
      <c r="GSW1" s="9"/>
      <c r="GSX1" s="9"/>
      <c r="GSY1" s="9"/>
      <c r="GSZ1" s="9"/>
      <c r="GTA1" s="9"/>
      <c r="GTB1" s="9"/>
      <c r="GTC1" s="9"/>
      <c r="GTD1" s="9"/>
      <c r="GTE1" s="9"/>
      <c r="GTF1" s="9"/>
      <c r="GTG1" s="9"/>
      <c r="GTH1" s="9"/>
      <c r="GTI1" s="9"/>
      <c r="GTJ1" s="9"/>
      <c r="GTK1" s="9"/>
      <c r="GTL1" s="9"/>
      <c r="GTM1" s="9"/>
      <c r="GTN1" s="9"/>
      <c r="GTO1" s="9"/>
      <c r="GTP1" s="9"/>
      <c r="GTQ1" s="9"/>
      <c r="GTR1" s="9"/>
      <c r="GTS1" s="9"/>
      <c r="GTT1" s="9"/>
      <c r="GTU1" s="9"/>
      <c r="GTV1" s="9"/>
      <c r="GTW1" s="9"/>
      <c r="GTX1" s="9"/>
      <c r="GTY1" s="9"/>
      <c r="GTZ1" s="9"/>
      <c r="GUA1" s="9"/>
      <c r="GUB1" s="9"/>
      <c r="GUC1" s="9"/>
      <c r="GUD1" s="9"/>
      <c r="GUE1" s="9"/>
      <c r="GUF1" s="9"/>
      <c r="GUG1" s="9"/>
      <c r="GUH1" s="9"/>
      <c r="GUI1" s="9"/>
      <c r="GUJ1" s="9"/>
      <c r="GUK1" s="9"/>
      <c r="GUL1" s="9"/>
      <c r="GUM1" s="9"/>
      <c r="GUN1" s="9"/>
      <c r="GUO1" s="9"/>
      <c r="GUP1" s="9"/>
      <c r="GUQ1" s="9"/>
      <c r="GUR1" s="9"/>
      <c r="GUS1" s="9"/>
      <c r="GUT1" s="9"/>
      <c r="GUU1" s="9"/>
      <c r="GUV1" s="9"/>
      <c r="GUW1" s="9"/>
      <c r="GUX1" s="9"/>
      <c r="GUY1" s="9"/>
      <c r="GUZ1" s="9"/>
      <c r="GVA1" s="9"/>
      <c r="GVB1" s="9"/>
      <c r="GVC1" s="9"/>
      <c r="GVD1" s="9"/>
      <c r="GVE1" s="9"/>
      <c r="GVF1" s="9"/>
      <c r="GVG1" s="9"/>
      <c r="GVH1" s="9"/>
      <c r="GVI1" s="9"/>
      <c r="GVJ1" s="9"/>
      <c r="GVK1" s="9"/>
      <c r="GVL1" s="9"/>
      <c r="GVM1" s="9"/>
      <c r="GVN1" s="9"/>
      <c r="GVO1" s="9"/>
      <c r="GVP1" s="9"/>
      <c r="GVQ1" s="9"/>
      <c r="GVR1" s="9"/>
      <c r="GVS1" s="9"/>
      <c r="GVT1" s="9"/>
      <c r="GVU1" s="9"/>
      <c r="GVV1" s="9"/>
      <c r="GVW1" s="9"/>
      <c r="GVX1" s="9"/>
      <c r="GVY1" s="9"/>
      <c r="GVZ1" s="9"/>
      <c r="GWA1" s="9"/>
      <c r="GWB1" s="9"/>
      <c r="GWC1" s="9"/>
      <c r="GWD1" s="9"/>
      <c r="GWE1" s="9"/>
      <c r="GWF1" s="9"/>
      <c r="GWG1" s="9"/>
      <c r="GWH1" s="9"/>
      <c r="GWI1" s="9"/>
      <c r="GWJ1" s="9"/>
      <c r="GWK1" s="9"/>
      <c r="GWL1" s="9"/>
      <c r="GWM1" s="9"/>
      <c r="GWN1" s="9"/>
      <c r="GWO1" s="9"/>
      <c r="GWP1" s="9"/>
      <c r="GWQ1" s="9"/>
      <c r="GWR1" s="9"/>
      <c r="GWS1" s="9"/>
      <c r="GWT1" s="9"/>
      <c r="GWU1" s="9"/>
      <c r="GWV1" s="9"/>
      <c r="GWW1" s="9"/>
      <c r="GWX1" s="9"/>
      <c r="GWY1" s="9"/>
      <c r="GWZ1" s="9"/>
      <c r="GXA1" s="9"/>
      <c r="GXB1" s="9"/>
      <c r="GXC1" s="9"/>
      <c r="GXD1" s="9"/>
      <c r="GXE1" s="9"/>
      <c r="GXF1" s="9"/>
      <c r="GXG1" s="9"/>
      <c r="GXH1" s="9"/>
      <c r="GXI1" s="9"/>
      <c r="GXJ1" s="9"/>
      <c r="GXK1" s="9"/>
      <c r="GXL1" s="9"/>
      <c r="GXM1" s="9"/>
      <c r="GXN1" s="9"/>
      <c r="GXO1" s="9"/>
      <c r="GXP1" s="9"/>
      <c r="GXQ1" s="9"/>
      <c r="GXR1" s="9"/>
      <c r="GXS1" s="9"/>
      <c r="GXT1" s="9"/>
      <c r="GXU1" s="9"/>
      <c r="GXV1" s="9"/>
      <c r="GXW1" s="9"/>
      <c r="GXX1" s="9"/>
      <c r="GXY1" s="9"/>
      <c r="GXZ1" s="9"/>
      <c r="GYA1" s="9"/>
      <c r="GYB1" s="9"/>
      <c r="GYC1" s="9"/>
      <c r="GYD1" s="9"/>
      <c r="GYE1" s="9"/>
      <c r="GYF1" s="9"/>
      <c r="GYG1" s="9"/>
      <c r="GYH1" s="9"/>
      <c r="GYI1" s="9"/>
      <c r="GYJ1" s="9"/>
      <c r="GYK1" s="9"/>
      <c r="GYL1" s="9"/>
      <c r="GYM1" s="9"/>
      <c r="GYN1" s="9"/>
      <c r="GYO1" s="9"/>
      <c r="GYP1" s="9"/>
      <c r="GYQ1" s="9"/>
      <c r="GYR1" s="9"/>
      <c r="GYS1" s="9"/>
      <c r="GYT1" s="9"/>
      <c r="GYU1" s="9"/>
      <c r="GYV1" s="9"/>
      <c r="GYW1" s="9"/>
      <c r="GYX1" s="9"/>
      <c r="GYY1" s="9"/>
      <c r="GYZ1" s="9"/>
      <c r="GZA1" s="9"/>
      <c r="GZB1" s="9"/>
      <c r="GZC1" s="9"/>
      <c r="GZD1" s="9"/>
      <c r="GZE1" s="9"/>
      <c r="GZF1" s="9"/>
      <c r="GZG1" s="9"/>
      <c r="GZH1" s="9"/>
      <c r="GZI1" s="9"/>
      <c r="GZJ1" s="9"/>
      <c r="GZK1" s="9"/>
      <c r="GZL1" s="9"/>
      <c r="GZM1" s="9"/>
      <c r="GZN1" s="9"/>
      <c r="GZO1" s="9"/>
      <c r="GZP1" s="9"/>
      <c r="GZQ1" s="9"/>
      <c r="GZR1" s="9"/>
      <c r="GZS1" s="9"/>
      <c r="GZT1" s="9"/>
      <c r="GZU1" s="9"/>
      <c r="GZV1" s="9"/>
      <c r="GZW1" s="9"/>
      <c r="GZX1" s="9"/>
      <c r="GZY1" s="9"/>
      <c r="GZZ1" s="9"/>
      <c r="HAA1" s="9"/>
      <c r="HAB1" s="9"/>
      <c r="HAC1" s="9"/>
      <c r="HAD1" s="9"/>
      <c r="HAE1" s="9"/>
      <c r="HAF1" s="9"/>
      <c r="HAG1" s="9"/>
      <c r="HAH1" s="9"/>
      <c r="HAI1" s="9"/>
      <c r="HAJ1" s="9"/>
      <c r="HAK1" s="9"/>
      <c r="HAL1" s="9"/>
      <c r="HAM1" s="9"/>
      <c r="HAN1" s="9"/>
      <c r="HAO1" s="9"/>
      <c r="HAP1" s="9"/>
      <c r="HAQ1" s="9"/>
      <c r="HAR1" s="9"/>
      <c r="HAS1" s="9"/>
      <c r="HAT1" s="9"/>
      <c r="HAU1" s="9"/>
      <c r="HAV1" s="9"/>
      <c r="HAW1" s="9"/>
      <c r="HAX1" s="9"/>
      <c r="HAY1" s="9"/>
      <c r="HAZ1" s="9"/>
      <c r="HBA1" s="9"/>
      <c r="HBB1" s="9"/>
      <c r="HBC1" s="9"/>
      <c r="HBD1" s="9"/>
      <c r="HBE1" s="9"/>
      <c r="HBF1" s="9"/>
      <c r="HBG1" s="9"/>
      <c r="HBH1" s="9"/>
      <c r="HBI1" s="9"/>
      <c r="HBJ1" s="9"/>
      <c r="HBK1" s="9"/>
      <c r="HBL1" s="9"/>
      <c r="HBM1" s="9"/>
      <c r="HBN1" s="9"/>
      <c r="HBO1" s="9"/>
      <c r="HBP1" s="9"/>
      <c r="HBQ1" s="9"/>
      <c r="HBR1" s="9"/>
      <c r="HBS1" s="9"/>
      <c r="HBT1" s="9"/>
      <c r="HBU1" s="9"/>
      <c r="HBV1" s="9"/>
      <c r="HBW1" s="9"/>
      <c r="HBX1" s="9"/>
      <c r="HBY1" s="9"/>
      <c r="HBZ1" s="9"/>
      <c r="HCA1" s="9"/>
      <c r="HCB1" s="9"/>
      <c r="HCC1" s="9"/>
      <c r="HCD1" s="9"/>
      <c r="HCE1" s="9"/>
      <c r="HCF1" s="9"/>
      <c r="HCG1" s="9"/>
      <c r="HCH1" s="9"/>
      <c r="HCI1" s="9"/>
      <c r="HCJ1" s="9"/>
      <c r="HCK1" s="9"/>
      <c r="HCL1" s="9"/>
      <c r="HCM1" s="9"/>
      <c r="HCN1" s="9"/>
      <c r="HCO1" s="9"/>
      <c r="HCP1" s="9"/>
      <c r="HCQ1" s="9"/>
      <c r="HCR1" s="9"/>
      <c r="HCS1" s="9"/>
      <c r="HCT1" s="9"/>
      <c r="HCU1" s="9"/>
      <c r="HCV1" s="9"/>
      <c r="HCW1" s="9"/>
      <c r="HCX1" s="9"/>
      <c r="HCY1" s="9"/>
      <c r="HCZ1" s="9"/>
      <c r="HDA1" s="9"/>
      <c r="HDB1" s="9"/>
      <c r="HDC1" s="9"/>
      <c r="HDD1" s="9"/>
      <c r="HDE1" s="9"/>
      <c r="HDF1" s="9"/>
      <c r="HDG1" s="9"/>
      <c r="HDH1" s="9"/>
      <c r="HDI1" s="9"/>
      <c r="HDJ1" s="9"/>
      <c r="HDK1" s="9"/>
      <c r="HDL1" s="9"/>
      <c r="HDM1" s="9"/>
      <c r="HDN1" s="9"/>
      <c r="HDO1" s="9"/>
      <c r="HDP1" s="9"/>
      <c r="HDQ1" s="9"/>
      <c r="HDR1" s="9"/>
      <c r="HDS1" s="9"/>
      <c r="HDT1" s="9"/>
      <c r="HDU1" s="9"/>
      <c r="HDV1" s="9"/>
      <c r="HDW1" s="9"/>
      <c r="HDX1" s="9"/>
      <c r="HDY1" s="9"/>
      <c r="HDZ1" s="9"/>
      <c r="HEA1" s="9"/>
      <c r="HEB1" s="9"/>
      <c r="HEC1" s="9"/>
      <c r="HED1" s="9"/>
      <c r="HEE1" s="9"/>
      <c r="HEF1" s="9"/>
      <c r="HEG1" s="9"/>
      <c r="HEH1" s="9"/>
      <c r="HEI1" s="9"/>
      <c r="HEJ1" s="9"/>
      <c r="HEK1" s="9"/>
      <c r="HEL1" s="9"/>
      <c r="HEM1" s="9"/>
      <c r="HEN1" s="9"/>
      <c r="HEO1" s="9"/>
      <c r="HEP1" s="9"/>
      <c r="HEQ1" s="9"/>
      <c r="HER1" s="9"/>
      <c r="HES1" s="9"/>
      <c r="HET1" s="9"/>
      <c r="HEU1" s="9"/>
      <c r="HEV1" s="9"/>
      <c r="HEW1" s="9"/>
      <c r="HEX1" s="9"/>
      <c r="HEY1" s="9"/>
      <c r="HEZ1" s="9"/>
      <c r="HFA1" s="9"/>
      <c r="HFB1" s="9"/>
      <c r="HFC1" s="9"/>
      <c r="HFD1" s="9"/>
      <c r="HFE1" s="9"/>
      <c r="HFF1" s="9"/>
      <c r="HFG1" s="9"/>
      <c r="HFH1" s="9"/>
      <c r="HFI1" s="9"/>
      <c r="HFJ1" s="9"/>
      <c r="HFK1" s="9"/>
      <c r="HFL1" s="9"/>
      <c r="HFM1" s="9"/>
      <c r="HFN1" s="9"/>
      <c r="HFO1" s="9"/>
      <c r="HFP1" s="9"/>
      <c r="HFQ1" s="9"/>
      <c r="HFR1" s="9"/>
      <c r="HFS1" s="9"/>
      <c r="HFT1" s="9"/>
      <c r="HFU1" s="9"/>
      <c r="HFV1" s="9"/>
      <c r="HFW1" s="9"/>
      <c r="HFX1" s="9"/>
      <c r="HFY1" s="9"/>
      <c r="HFZ1" s="9"/>
      <c r="HGA1" s="9"/>
      <c r="HGB1" s="9"/>
      <c r="HGC1" s="9"/>
      <c r="HGD1" s="9"/>
      <c r="HGE1" s="9"/>
      <c r="HGF1" s="9"/>
      <c r="HGG1" s="9"/>
      <c r="HGH1" s="9"/>
      <c r="HGI1" s="9"/>
      <c r="HGJ1" s="9"/>
      <c r="HGK1" s="9"/>
      <c r="HGL1" s="9"/>
      <c r="HGM1" s="9"/>
      <c r="HGN1" s="9"/>
      <c r="HGO1" s="9"/>
      <c r="HGP1" s="9"/>
      <c r="HGQ1" s="9"/>
      <c r="HGR1" s="9"/>
      <c r="HGS1" s="9"/>
      <c r="HGT1" s="9"/>
      <c r="HGU1" s="9"/>
      <c r="HGV1" s="9"/>
      <c r="HGW1" s="9"/>
      <c r="HGX1" s="9"/>
      <c r="HGY1" s="9"/>
      <c r="HGZ1" s="9"/>
      <c r="HHA1" s="9"/>
      <c r="HHB1" s="9"/>
      <c r="HHC1" s="9"/>
      <c r="HHD1" s="9"/>
      <c r="HHE1" s="9"/>
      <c r="HHF1" s="9"/>
      <c r="HHG1" s="9"/>
      <c r="HHH1" s="9"/>
      <c r="HHI1" s="9"/>
      <c r="HHJ1" s="9"/>
      <c r="HHK1" s="9"/>
      <c r="HHL1" s="9"/>
      <c r="HHM1" s="9"/>
      <c r="HHN1" s="9"/>
      <c r="HHO1" s="9"/>
      <c r="HHP1" s="9"/>
      <c r="HHQ1" s="9"/>
      <c r="HHR1" s="9"/>
      <c r="HHS1" s="9"/>
      <c r="HHT1" s="9"/>
      <c r="HHU1" s="9"/>
      <c r="HHV1" s="9"/>
      <c r="HHW1" s="9"/>
      <c r="HHX1" s="9"/>
      <c r="HHY1" s="9"/>
      <c r="HHZ1" s="9"/>
      <c r="HIA1" s="9"/>
      <c r="HIB1" s="9"/>
      <c r="HIC1" s="9"/>
      <c r="HID1" s="9"/>
      <c r="HIE1" s="9"/>
      <c r="HIF1" s="9"/>
      <c r="HIG1" s="9"/>
      <c r="HIH1" s="9"/>
      <c r="HII1" s="9"/>
      <c r="HIJ1" s="9"/>
      <c r="HIK1" s="9"/>
      <c r="HIL1" s="9"/>
      <c r="HIM1" s="9"/>
      <c r="HIN1" s="9"/>
      <c r="HIO1" s="9"/>
      <c r="HIP1" s="9"/>
      <c r="HIQ1" s="9"/>
      <c r="HIR1" s="9"/>
      <c r="HIS1" s="9"/>
      <c r="HIT1" s="9"/>
      <c r="HIU1" s="9"/>
      <c r="HIV1" s="9"/>
      <c r="HIW1" s="9"/>
      <c r="HIX1" s="9"/>
      <c r="HIY1" s="9"/>
      <c r="HIZ1" s="9"/>
      <c r="HJA1" s="9"/>
      <c r="HJB1" s="9"/>
      <c r="HJC1" s="9"/>
      <c r="HJD1" s="9"/>
      <c r="HJE1" s="9"/>
      <c r="HJF1" s="9"/>
      <c r="HJG1" s="9"/>
      <c r="HJH1" s="9"/>
      <c r="HJI1" s="9"/>
      <c r="HJJ1" s="9"/>
      <c r="HJK1" s="9"/>
      <c r="HJL1" s="9"/>
      <c r="HJM1" s="9"/>
      <c r="HJN1" s="9"/>
      <c r="HJO1" s="9"/>
      <c r="HJP1" s="9"/>
      <c r="HJQ1" s="9"/>
      <c r="HJR1" s="9"/>
      <c r="HJS1" s="9"/>
      <c r="HJT1" s="9"/>
      <c r="HJU1" s="9"/>
      <c r="HJV1" s="9"/>
      <c r="HJW1" s="9"/>
      <c r="HJX1" s="9"/>
      <c r="HJY1" s="9"/>
      <c r="HJZ1" s="9"/>
      <c r="HKA1" s="9"/>
      <c r="HKB1" s="9"/>
      <c r="HKC1" s="9"/>
      <c r="HKD1" s="9"/>
      <c r="HKE1" s="9"/>
      <c r="HKF1" s="9"/>
      <c r="HKG1" s="9"/>
      <c r="HKH1" s="9"/>
      <c r="HKI1" s="9"/>
      <c r="HKJ1" s="9"/>
      <c r="HKK1" s="9"/>
      <c r="HKL1" s="9"/>
      <c r="HKM1" s="9"/>
      <c r="HKN1" s="9"/>
      <c r="HKO1" s="9"/>
      <c r="HKP1" s="9"/>
      <c r="HKQ1" s="9"/>
      <c r="HKR1" s="9"/>
      <c r="HKS1" s="9"/>
      <c r="HKT1" s="9"/>
      <c r="HKU1" s="9"/>
      <c r="HKV1" s="9"/>
      <c r="HKW1" s="9"/>
      <c r="HKX1" s="9"/>
      <c r="HKY1" s="9"/>
      <c r="HKZ1" s="9"/>
      <c r="HLA1" s="9"/>
      <c r="HLB1" s="9"/>
      <c r="HLC1" s="9"/>
      <c r="HLD1" s="9"/>
      <c r="HLE1" s="9"/>
      <c r="HLF1" s="9"/>
      <c r="HLG1" s="9"/>
      <c r="HLH1" s="9"/>
      <c r="HLI1" s="9"/>
      <c r="HLJ1" s="9"/>
      <c r="HLK1" s="9"/>
      <c r="HLL1" s="9"/>
      <c r="HLM1" s="9"/>
      <c r="HLN1" s="9"/>
      <c r="HLO1" s="9"/>
      <c r="HLP1" s="9"/>
      <c r="HLQ1" s="9"/>
      <c r="HLR1" s="9"/>
      <c r="HLS1" s="9"/>
      <c r="HLT1" s="9"/>
      <c r="HLU1" s="9"/>
      <c r="HLV1" s="9"/>
      <c r="HLW1" s="9"/>
      <c r="HLX1" s="9"/>
      <c r="HLY1" s="9"/>
      <c r="HLZ1" s="9"/>
      <c r="HMA1" s="9"/>
      <c r="HMB1" s="9"/>
      <c r="HMC1" s="9"/>
      <c r="HMD1" s="9"/>
      <c r="HME1" s="9"/>
      <c r="HMF1" s="9"/>
      <c r="HMG1" s="9"/>
      <c r="HMH1" s="9"/>
      <c r="HMI1" s="9"/>
      <c r="HMJ1" s="9"/>
      <c r="HMK1" s="9"/>
      <c r="HML1" s="9"/>
      <c r="HMM1" s="9"/>
      <c r="HMN1" s="9"/>
      <c r="HMO1" s="9"/>
      <c r="HMP1" s="9"/>
      <c r="HMQ1" s="9"/>
      <c r="HMR1" s="9"/>
      <c r="HMS1" s="9"/>
      <c r="HMT1" s="9"/>
      <c r="HMU1" s="9"/>
      <c r="HMV1" s="9"/>
      <c r="HMW1" s="9"/>
      <c r="HMX1" s="9"/>
      <c r="HMY1" s="9"/>
      <c r="HMZ1" s="9"/>
      <c r="HNA1" s="9"/>
      <c r="HNB1" s="9"/>
      <c r="HNC1" s="9"/>
      <c r="HND1" s="9"/>
      <c r="HNE1" s="9"/>
      <c r="HNF1" s="9"/>
      <c r="HNG1" s="9"/>
      <c r="HNH1" s="9"/>
      <c r="HNI1" s="9"/>
      <c r="HNJ1" s="9"/>
      <c r="HNK1" s="9"/>
      <c r="HNL1" s="9"/>
      <c r="HNM1" s="9"/>
      <c r="HNN1" s="9"/>
      <c r="HNO1" s="9"/>
      <c r="HNP1" s="9"/>
      <c r="HNQ1" s="9"/>
      <c r="HNR1" s="9"/>
      <c r="HNS1" s="9"/>
      <c r="HNT1" s="9"/>
      <c r="HNU1" s="9"/>
      <c r="HNV1" s="9"/>
      <c r="HNW1" s="9"/>
      <c r="HNX1" s="9"/>
      <c r="HNY1" s="9"/>
      <c r="HNZ1" s="9"/>
      <c r="HOA1" s="9"/>
      <c r="HOB1" s="9"/>
      <c r="HOC1" s="9"/>
      <c r="HOD1" s="9"/>
      <c r="HOE1" s="9"/>
      <c r="HOF1" s="9"/>
      <c r="HOG1" s="9"/>
      <c r="HOH1" s="9"/>
      <c r="HOI1" s="9"/>
      <c r="HOJ1" s="9"/>
      <c r="HOK1" s="9"/>
      <c r="HOL1" s="9"/>
      <c r="HOM1" s="9"/>
      <c r="HON1" s="9"/>
      <c r="HOO1" s="9"/>
      <c r="HOP1" s="9"/>
      <c r="HOQ1" s="9"/>
      <c r="HOR1" s="9"/>
      <c r="HOS1" s="9"/>
      <c r="HOT1" s="9"/>
      <c r="HOU1" s="9"/>
      <c r="HOV1" s="9"/>
      <c r="HOW1" s="9"/>
      <c r="HOX1" s="9"/>
      <c r="HOY1" s="9"/>
      <c r="HOZ1" s="9"/>
      <c r="HPA1" s="9"/>
      <c r="HPB1" s="9"/>
      <c r="HPC1" s="9"/>
      <c r="HPD1" s="9"/>
      <c r="HPE1" s="9"/>
      <c r="HPF1" s="9"/>
      <c r="HPG1" s="9"/>
      <c r="HPH1" s="9"/>
      <c r="HPI1" s="9"/>
      <c r="HPJ1" s="9"/>
      <c r="HPK1" s="9"/>
      <c r="HPL1" s="9"/>
      <c r="HPM1" s="9"/>
      <c r="HPN1" s="9"/>
      <c r="HPO1" s="9"/>
      <c r="HPP1" s="9"/>
      <c r="HPQ1" s="9"/>
      <c r="HPR1" s="9"/>
      <c r="HPS1" s="9"/>
      <c r="HPT1" s="9"/>
      <c r="HPU1" s="9"/>
      <c r="HPV1" s="9"/>
      <c r="HPW1" s="9"/>
      <c r="HPX1" s="9"/>
      <c r="HPY1" s="9"/>
      <c r="HPZ1" s="9"/>
      <c r="HQA1" s="9"/>
      <c r="HQB1" s="9"/>
      <c r="HQC1" s="9"/>
      <c r="HQD1" s="9"/>
      <c r="HQE1" s="9"/>
      <c r="HQF1" s="9"/>
      <c r="HQG1" s="9"/>
      <c r="HQH1" s="9"/>
      <c r="HQI1" s="9"/>
      <c r="HQJ1" s="9"/>
      <c r="HQK1" s="9"/>
      <c r="HQL1" s="9"/>
      <c r="HQM1" s="9"/>
      <c r="HQN1" s="9"/>
      <c r="HQO1" s="9"/>
      <c r="HQP1" s="9"/>
      <c r="HQQ1" s="9"/>
      <c r="HQR1" s="9"/>
      <c r="HQS1" s="9"/>
      <c r="HQT1" s="9"/>
      <c r="HQU1" s="9"/>
      <c r="HQV1" s="9"/>
      <c r="HQW1" s="9"/>
      <c r="HQX1" s="9"/>
      <c r="HQY1" s="9"/>
      <c r="HQZ1" s="9"/>
      <c r="HRA1" s="9"/>
      <c r="HRB1" s="9"/>
      <c r="HRC1" s="9"/>
      <c r="HRD1" s="9"/>
      <c r="HRE1" s="9"/>
      <c r="HRF1" s="9"/>
      <c r="HRG1" s="9"/>
      <c r="HRH1" s="9"/>
      <c r="HRI1" s="9"/>
      <c r="HRJ1" s="9"/>
      <c r="HRK1" s="9"/>
      <c r="HRL1" s="9"/>
      <c r="HRM1" s="9"/>
      <c r="HRN1" s="9"/>
      <c r="HRO1" s="9"/>
      <c r="HRP1" s="9"/>
      <c r="HRQ1" s="9"/>
      <c r="HRR1" s="9"/>
      <c r="HRS1" s="9"/>
      <c r="HRT1" s="9"/>
      <c r="HRU1" s="9"/>
      <c r="HRV1" s="9"/>
      <c r="HRW1" s="9"/>
      <c r="HRX1" s="9"/>
      <c r="HRY1" s="9"/>
      <c r="HRZ1" s="9"/>
      <c r="HSA1" s="9"/>
      <c r="HSB1" s="9"/>
      <c r="HSC1" s="9"/>
      <c r="HSD1" s="9"/>
      <c r="HSE1" s="9"/>
      <c r="HSF1" s="9"/>
      <c r="HSG1" s="9"/>
      <c r="HSH1" s="9"/>
      <c r="HSI1" s="9"/>
      <c r="HSJ1" s="9"/>
      <c r="HSK1" s="9"/>
      <c r="HSL1" s="9"/>
      <c r="HSM1" s="9"/>
      <c r="HSN1" s="9"/>
      <c r="HSO1" s="9"/>
      <c r="HSP1" s="9"/>
      <c r="HSQ1" s="9"/>
      <c r="HSR1" s="9"/>
      <c r="HSS1" s="9"/>
      <c r="HST1" s="9"/>
      <c r="HSU1" s="9"/>
      <c r="HSV1" s="9"/>
      <c r="HSW1" s="9"/>
      <c r="HSX1" s="9"/>
      <c r="HSY1" s="9"/>
      <c r="HSZ1" s="9"/>
      <c r="HTA1" s="9"/>
      <c r="HTB1" s="9"/>
      <c r="HTC1" s="9"/>
      <c r="HTD1" s="9"/>
      <c r="HTE1" s="9"/>
      <c r="HTF1" s="9"/>
      <c r="HTG1" s="9"/>
      <c r="HTH1" s="9"/>
      <c r="HTI1" s="9"/>
      <c r="HTJ1" s="9"/>
      <c r="HTK1" s="9"/>
      <c r="HTL1" s="9"/>
      <c r="HTM1" s="9"/>
      <c r="HTN1" s="9"/>
      <c r="HTO1" s="9"/>
      <c r="HTP1" s="9"/>
      <c r="HTQ1" s="9"/>
      <c r="HTR1" s="9"/>
      <c r="HTS1" s="9"/>
      <c r="HTT1" s="9"/>
      <c r="HTU1" s="9"/>
      <c r="HTV1" s="9"/>
      <c r="HTW1" s="9"/>
      <c r="HTX1" s="9"/>
      <c r="HTY1" s="9"/>
      <c r="HTZ1" s="9"/>
      <c r="HUA1" s="9"/>
      <c r="HUB1" s="9"/>
      <c r="HUC1" s="9"/>
      <c r="HUD1" s="9"/>
      <c r="HUE1" s="9"/>
      <c r="HUF1" s="9"/>
      <c r="HUG1" s="9"/>
      <c r="HUH1" s="9"/>
      <c r="HUI1" s="9"/>
      <c r="HUJ1" s="9"/>
      <c r="HUK1" s="9"/>
      <c r="HUL1" s="9"/>
      <c r="HUM1" s="9"/>
      <c r="HUN1" s="9"/>
      <c r="HUO1" s="9"/>
      <c r="HUP1" s="9"/>
      <c r="HUQ1" s="9"/>
      <c r="HUR1" s="9"/>
      <c r="HUS1" s="9"/>
      <c r="HUT1" s="9"/>
      <c r="HUU1" s="9"/>
      <c r="HUV1" s="9"/>
      <c r="HUW1" s="9"/>
      <c r="HUX1" s="9"/>
      <c r="HUY1" s="9"/>
      <c r="HUZ1" s="9"/>
      <c r="HVA1" s="9"/>
      <c r="HVB1" s="9"/>
      <c r="HVC1" s="9"/>
      <c r="HVD1" s="9"/>
      <c r="HVE1" s="9"/>
      <c r="HVF1" s="9"/>
      <c r="HVG1" s="9"/>
      <c r="HVH1" s="9"/>
      <c r="HVI1" s="9"/>
      <c r="HVJ1" s="9"/>
      <c r="HVK1" s="9"/>
      <c r="HVL1" s="9"/>
      <c r="HVM1" s="9"/>
      <c r="HVN1" s="9"/>
      <c r="HVO1" s="9"/>
      <c r="HVP1" s="9"/>
      <c r="HVQ1" s="9"/>
      <c r="HVR1" s="9"/>
      <c r="HVS1" s="9"/>
      <c r="HVT1" s="9"/>
      <c r="HVU1" s="9"/>
      <c r="HVV1" s="9"/>
      <c r="HVW1" s="9"/>
      <c r="HVX1" s="9"/>
      <c r="HVY1" s="9"/>
      <c r="HVZ1" s="9"/>
      <c r="HWA1" s="9"/>
      <c r="HWB1" s="9"/>
      <c r="HWC1" s="9"/>
      <c r="HWD1" s="9"/>
      <c r="HWE1" s="9"/>
      <c r="HWF1" s="9"/>
      <c r="HWG1" s="9"/>
      <c r="HWH1" s="9"/>
      <c r="HWI1" s="9"/>
      <c r="HWJ1" s="9"/>
      <c r="HWK1" s="9"/>
      <c r="HWL1" s="9"/>
      <c r="HWM1" s="9"/>
      <c r="HWN1" s="9"/>
      <c r="HWO1" s="9"/>
      <c r="HWP1" s="9"/>
      <c r="HWQ1" s="9"/>
      <c r="HWR1" s="9"/>
      <c r="HWS1" s="9"/>
      <c r="HWT1" s="9"/>
      <c r="HWU1" s="9"/>
      <c r="HWV1" s="9"/>
      <c r="HWW1" s="9"/>
      <c r="HWX1" s="9"/>
      <c r="HWY1" s="9"/>
      <c r="HWZ1" s="9"/>
      <c r="HXA1" s="9"/>
      <c r="HXB1" s="9"/>
      <c r="HXC1" s="9"/>
      <c r="HXD1" s="9"/>
      <c r="HXE1" s="9"/>
      <c r="HXF1" s="9"/>
      <c r="HXG1" s="9"/>
      <c r="HXH1" s="9"/>
      <c r="HXI1" s="9"/>
      <c r="HXJ1" s="9"/>
      <c r="HXK1" s="9"/>
      <c r="HXL1" s="9"/>
      <c r="HXM1" s="9"/>
      <c r="HXN1" s="9"/>
      <c r="HXO1" s="9"/>
      <c r="HXP1" s="9"/>
      <c r="HXQ1" s="9"/>
      <c r="HXR1" s="9"/>
      <c r="HXS1" s="9"/>
      <c r="HXT1" s="9"/>
      <c r="HXU1" s="9"/>
      <c r="HXV1" s="9"/>
      <c r="HXW1" s="9"/>
      <c r="HXX1" s="9"/>
      <c r="HXY1" s="9"/>
      <c r="HXZ1" s="9"/>
      <c r="HYA1" s="9"/>
      <c r="HYB1" s="9"/>
      <c r="HYC1" s="9"/>
      <c r="HYD1" s="9"/>
      <c r="HYE1" s="9"/>
      <c r="HYF1" s="9"/>
      <c r="HYG1" s="9"/>
      <c r="HYH1" s="9"/>
      <c r="HYI1" s="9"/>
      <c r="HYJ1" s="9"/>
      <c r="HYK1" s="9"/>
      <c r="HYL1" s="9"/>
      <c r="HYM1" s="9"/>
      <c r="HYN1" s="9"/>
      <c r="HYO1" s="9"/>
      <c r="HYP1" s="9"/>
      <c r="HYQ1" s="9"/>
      <c r="HYR1" s="9"/>
      <c r="HYS1" s="9"/>
      <c r="HYT1" s="9"/>
      <c r="HYU1" s="9"/>
      <c r="HYV1" s="9"/>
      <c r="HYW1" s="9"/>
      <c r="HYX1" s="9"/>
      <c r="HYY1" s="9"/>
      <c r="HYZ1" s="9"/>
      <c r="HZA1" s="9"/>
      <c r="HZB1" s="9"/>
      <c r="HZC1" s="9"/>
      <c r="HZD1" s="9"/>
      <c r="HZE1" s="9"/>
      <c r="HZF1" s="9"/>
      <c r="HZG1" s="9"/>
      <c r="HZH1" s="9"/>
      <c r="HZI1" s="9"/>
      <c r="HZJ1" s="9"/>
      <c r="HZK1" s="9"/>
      <c r="HZL1" s="9"/>
      <c r="HZM1" s="9"/>
      <c r="HZN1" s="9"/>
      <c r="HZO1" s="9"/>
      <c r="HZP1" s="9"/>
      <c r="HZQ1" s="9"/>
      <c r="HZR1" s="9"/>
      <c r="HZS1" s="9"/>
      <c r="HZT1" s="9"/>
      <c r="HZU1" s="9"/>
      <c r="HZV1" s="9"/>
      <c r="HZW1" s="9"/>
      <c r="HZX1" s="9"/>
      <c r="HZY1" s="9"/>
      <c r="HZZ1" s="9"/>
      <c r="IAA1" s="9"/>
      <c r="IAB1" s="9"/>
      <c r="IAC1" s="9"/>
      <c r="IAD1" s="9"/>
      <c r="IAE1" s="9"/>
      <c r="IAF1" s="9"/>
      <c r="IAG1" s="9"/>
      <c r="IAH1" s="9"/>
      <c r="IAI1" s="9"/>
      <c r="IAJ1" s="9"/>
      <c r="IAK1" s="9"/>
      <c r="IAL1" s="9"/>
      <c r="IAM1" s="9"/>
      <c r="IAN1" s="9"/>
      <c r="IAO1" s="9"/>
      <c r="IAP1" s="9"/>
      <c r="IAQ1" s="9"/>
      <c r="IAR1" s="9"/>
      <c r="IAS1" s="9"/>
      <c r="IAT1" s="9"/>
      <c r="IAU1" s="9"/>
      <c r="IAV1" s="9"/>
      <c r="IAW1" s="9"/>
      <c r="IAX1" s="9"/>
      <c r="IAY1" s="9"/>
      <c r="IAZ1" s="9"/>
      <c r="IBA1" s="9"/>
      <c r="IBB1" s="9"/>
      <c r="IBC1" s="9"/>
      <c r="IBD1" s="9"/>
      <c r="IBE1" s="9"/>
      <c r="IBF1" s="9"/>
      <c r="IBG1" s="9"/>
      <c r="IBH1" s="9"/>
      <c r="IBI1" s="9"/>
      <c r="IBJ1" s="9"/>
      <c r="IBK1" s="9"/>
      <c r="IBL1" s="9"/>
      <c r="IBM1" s="9"/>
      <c r="IBN1" s="9"/>
      <c r="IBO1" s="9"/>
      <c r="IBP1" s="9"/>
      <c r="IBQ1" s="9"/>
      <c r="IBR1" s="9"/>
      <c r="IBS1" s="9"/>
      <c r="IBT1" s="9"/>
      <c r="IBU1" s="9"/>
      <c r="IBV1" s="9"/>
      <c r="IBW1" s="9"/>
      <c r="IBX1" s="9"/>
      <c r="IBY1" s="9"/>
      <c r="IBZ1" s="9"/>
      <c r="ICA1" s="9"/>
      <c r="ICB1" s="9"/>
      <c r="ICC1" s="9"/>
      <c r="ICD1" s="9"/>
      <c r="ICE1" s="9"/>
      <c r="ICF1" s="9"/>
      <c r="ICG1" s="9"/>
      <c r="ICH1" s="9"/>
      <c r="ICI1" s="9"/>
      <c r="ICJ1" s="9"/>
      <c r="ICK1" s="9"/>
      <c r="ICL1" s="9"/>
      <c r="ICM1" s="9"/>
      <c r="ICN1" s="9"/>
      <c r="ICO1" s="9"/>
      <c r="ICP1" s="9"/>
      <c r="ICQ1" s="9"/>
      <c r="ICR1" s="9"/>
      <c r="ICS1" s="9"/>
      <c r="ICT1" s="9"/>
      <c r="ICU1" s="9"/>
      <c r="ICV1" s="9"/>
      <c r="ICW1" s="9"/>
      <c r="ICX1" s="9"/>
      <c r="ICY1" s="9"/>
      <c r="ICZ1" s="9"/>
      <c r="IDA1" s="9"/>
      <c r="IDB1" s="9"/>
      <c r="IDC1" s="9"/>
      <c r="IDD1" s="9"/>
      <c r="IDE1" s="9"/>
      <c r="IDF1" s="9"/>
      <c r="IDG1" s="9"/>
      <c r="IDH1" s="9"/>
      <c r="IDI1" s="9"/>
      <c r="IDJ1" s="9"/>
      <c r="IDK1" s="9"/>
      <c r="IDL1" s="9"/>
      <c r="IDM1" s="9"/>
      <c r="IDN1" s="9"/>
      <c r="IDO1" s="9"/>
      <c r="IDP1" s="9"/>
      <c r="IDQ1" s="9"/>
      <c r="IDR1" s="9"/>
      <c r="IDS1" s="9"/>
      <c r="IDT1" s="9"/>
      <c r="IDU1" s="9"/>
      <c r="IDV1" s="9"/>
      <c r="IDW1" s="9"/>
      <c r="IDX1" s="9"/>
      <c r="IDY1" s="9"/>
      <c r="IDZ1" s="9"/>
      <c r="IEA1" s="9"/>
      <c r="IEB1" s="9"/>
      <c r="IEC1" s="9"/>
      <c r="IED1" s="9"/>
      <c r="IEE1" s="9"/>
      <c r="IEF1" s="9"/>
      <c r="IEG1" s="9"/>
      <c r="IEH1" s="9"/>
      <c r="IEI1" s="9"/>
      <c r="IEJ1" s="9"/>
      <c r="IEK1" s="9"/>
      <c r="IEL1" s="9"/>
      <c r="IEM1" s="9"/>
      <c r="IEN1" s="9"/>
      <c r="IEO1" s="9"/>
      <c r="IEP1" s="9"/>
      <c r="IEQ1" s="9"/>
      <c r="IER1" s="9"/>
      <c r="IES1" s="9"/>
      <c r="IET1" s="9"/>
      <c r="IEU1" s="9"/>
      <c r="IEV1" s="9"/>
      <c r="IEW1" s="9"/>
      <c r="IEX1" s="9"/>
      <c r="IEY1" s="9"/>
      <c r="IEZ1" s="9"/>
      <c r="IFA1" s="9"/>
      <c r="IFB1" s="9"/>
      <c r="IFC1" s="9"/>
      <c r="IFD1" s="9"/>
      <c r="IFE1" s="9"/>
      <c r="IFF1" s="9"/>
      <c r="IFG1" s="9"/>
      <c r="IFH1" s="9"/>
      <c r="IFI1" s="9"/>
      <c r="IFJ1" s="9"/>
      <c r="IFK1" s="9"/>
      <c r="IFL1" s="9"/>
      <c r="IFM1" s="9"/>
      <c r="IFN1" s="9"/>
      <c r="IFO1" s="9"/>
      <c r="IFP1" s="9"/>
      <c r="IFQ1" s="9"/>
      <c r="IFR1" s="9"/>
      <c r="IFS1" s="9"/>
      <c r="IFT1" s="9"/>
      <c r="IFU1" s="9"/>
      <c r="IFV1" s="9"/>
      <c r="IFW1" s="9"/>
      <c r="IFX1" s="9"/>
      <c r="IFY1" s="9"/>
      <c r="IFZ1" s="9"/>
      <c r="IGA1" s="9"/>
      <c r="IGB1" s="9"/>
      <c r="IGC1" s="9"/>
      <c r="IGD1" s="9"/>
      <c r="IGE1" s="9"/>
      <c r="IGF1" s="9"/>
      <c r="IGG1" s="9"/>
      <c r="IGH1" s="9"/>
      <c r="IGI1" s="9"/>
      <c r="IGJ1" s="9"/>
      <c r="IGK1" s="9"/>
      <c r="IGL1" s="9"/>
      <c r="IGM1" s="9"/>
      <c r="IGN1" s="9"/>
      <c r="IGO1" s="9"/>
      <c r="IGP1" s="9"/>
      <c r="IGQ1" s="9"/>
      <c r="IGR1" s="9"/>
      <c r="IGS1" s="9"/>
      <c r="IGT1" s="9"/>
      <c r="IGU1" s="9"/>
      <c r="IGV1" s="9"/>
      <c r="IGW1" s="9"/>
      <c r="IGX1" s="9"/>
      <c r="IGY1" s="9"/>
      <c r="IGZ1" s="9"/>
      <c r="IHA1" s="9"/>
      <c r="IHB1" s="9"/>
      <c r="IHC1" s="9"/>
      <c r="IHD1" s="9"/>
      <c r="IHE1" s="9"/>
      <c r="IHF1" s="9"/>
      <c r="IHG1" s="9"/>
      <c r="IHH1" s="9"/>
      <c r="IHI1" s="9"/>
      <c r="IHJ1" s="9"/>
      <c r="IHK1" s="9"/>
      <c r="IHL1" s="9"/>
      <c r="IHM1" s="9"/>
      <c r="IHN1" s="9"/>
      <c r="IHO1" s="9"/>
      <c r="IHP1" s="9"/>
      <c r="IHQ1" s="9"/>
      <c r="IHR1" s="9"/>
      <c r="IHS1" s="9"/>
      <c r="IHT1" s="9"/>
      <c r="IHU1" s="9"/>
      <c r="IHV1" s="9"/>
      <c r="IHW1" s="9"/>
      <c r="IHX1" s="9"/>
      <c r="IHY1" s="9"/>
      <c r="IHZ1" s="9"/>
      <c r="IIA1" s="9"/>
      <c r="IIB1" s="9"/>
      <c r="IIC1" s="9"/>
      <c r="IID1" s="9"/>
      <c r="IIE1" s="9"/>
      <c r="IIF1" s="9"/>
      <c r="IIG1" s="9"/>
      <c r="IIH1" s="9"/>
      <c r="III1" s="9"/>
      <c r="IIJ1" s="9"/>
      <c r="IIK1" s="9"/>
      <c r="IIL1" s="9"/>
      <c r="IIM1" s="9"/>
      <c r="IIN1" s="9"/>
      <c r="IIO1" s="9"/>
      <c r="IIP1" s="9"/>
      <c r="IIQ1" s="9"/>
      <c r="IIR1" s="9"/>
      <c r="IIS1" s="9"/>
      <c r="IIT1" s="9"/>
      <c r="IIU1" s="9"/>
      <c r="IIV1" s="9"/>
      <c r="IIW1" s="9"/>
      <c r="IIX1" s="9"/>
      <c r="IIY1" s="9"/>
      <c r="IIZ1" s="9"/>
      <c r="IJA1" s="9"/>
      <c r="IJB1" s="9"/>
      <c r="IJC1" s="9"/>
      <c r="IJD1" s="9"/>
      <c r="IJE1" s="9"/>
      <c r="IJF1" s="9"/>
      <c r="IJG1" s="9"/>
      <c r="IJH1" s="9"/>
      <c r="IJI1" s="9"/>
      <c r="IJJ1" s="9"/>
      <c r="IJK1" s="9"/>
      <c r="IJL1" s="9"/>
      <c r="IJM1" s="9"/>
      <c r="IJN1" s="9"/>
      <c r="IJO1" s="9"/>
      <c r="IJP1" s="9"/>
      <c r="IJQ1" s="9"/>
      <c r="IJR1" s="9"/>
      <c r="IJS1" s="9"/>
      <c r="IJT1" s="9"/>
      <c r="IJU1" s="9"/>
      <c r="IJV1" s="9"/>
      <c r="IJW1" s="9"/>
      <c r="IJX1" s="9"/>
      <c r="IJY1" s="9"/>
      <c r="IJZ1" s="9"/>
      <c r="IKA1" s="9"/>
      <c r="IKB1" s="9"/>
      <c r="IKC1" s="9"/>
      <c r="IKD1" s="9"/>
      <c r="IKE1" s="9"/>
      <c r="IKF1" s="9"/>
      <c r="IKG1" s="9"/>
      <c r="IKH1" s="9"/>
      <c r="IKI1" s="9"/>
      <c r="IKJ1" s="9"/>
      <c r="IKK1" s="9"/>
      <c r="IKL1" s="9"/>
      <c r="IKM1" s="9"/>
      <c r="IKN1" s="9"/>
      <c r="IKO1" s="9"/>
      <c r="IKP1" s="9"/>
      <c r="IKQ1" s="9"/>
      <c r="IKR1" s="9"/>
      <c r="IKS1" s="9"/>
      <c r="IKT1" s="9"/>
      <c r="IKU1" s="9"/>
      <c r="IKV1" s="9"/>
      <c r="IKW1" s="9"/>
      <c r="IKX1" s="9"/>
      <c r="IKY1" s="9"/>
      <c r="IKZ1" s="9"/>
      <c r="ILA1" s="9"/>
      <c r="ILB1" s="9"/>
      <c r="ILC1" s="9"/>
      <c r="ILD1" s="9"/>
      <c r="ILE1" s="9"/>
      <c r="ILF1" s="9"/>
      <c r="ILG1" s="9"/>
      <c r="ILH1" s="9"/>
      <c r="ILI1" s="9"/>
      <c r="ILJ1" s="9"/>
      <c r="ILK1" s="9"/>
      <c r="ILL1" s="9"/>
      <c r="ILM1" s="9"/>
      <c r="ILN1" s="9"/>
      <c r="ILO1" s="9"/>
      <c r="ILP1" s="9"/>
      <c r="ILQ1" s="9"/>
      <c r="ILR1" s="9"/>
      <c r="ILS1" s="9"/>
      <c r="ILT1" s="9"/>
      <c r="ILU1" s="9"/>
      <c r="ILV1" s="9"/>
      <c r="ILW1" s="9"/>
      <c r="ILX1" s="9"/>
      <c r="ILY1" s="9"/>
      <c r="ILZ1" s="9"/>
      <c r="IMA1" s="9"/>
      <c r="IMB1" s="9"/>
      <c r="IMC1" s="9"/>
      <c r="IMD1" s="9"/>
      <c r="IME1" s="9"/>
      <c r="IMF1" s="9"/>
      <c r="IMG1" s="9"/>
      <c r="IMH1" s="9"/>
      <c r="IMI1" s="9"/>
      <c r="IMJ1" s="9"/>
      <c r="IMK1" s="9"/>
      <c r="IML1" s="9"/>
      <c r="IMM1" s="9"/>
      <c r="IMN1" s="9"/>
      <c r="IMO1" s="9"/>
      <c r="IMP1" s="9"/>
      <c r="IMQ1" s="9"/>
      <c r="IMR1" s="9"/>
      <c r="IMS1" s="9"/>
      <c r="IMT1" s="9"/>
      <c r="IMU1" s="9"/>
      <c r="IMV1" s="9"/>
      <c r="IMW1" s="9"/>
      <c r="IMX1" s="9"/>
      <c r="IMY1" s="9"/>
      <c r="IMZ1" s="9"/>
      <c r="INA1" s="9"/>
      <c r="INB1" s="9"/>
      <c r="INC1" s="9"/>
      <c r="IND1" s="9"/>
      <c r="INE1" s="9"/>
      <c r="INF1" s="9"/>
      <c r="ING1" s="9"/>
      <c r="INH1" s="9"/>
      <c r="INI1" s="9"/>
      <c r="INJ1" s="9"/>
      <c r="INK1" s="9"/>
      <c r="INL1" s="9"/>
      <c r="INM1" s="9"/>
      <c r="INN1" s="9"/>
      <c r="INO1" s="9"/>
      <c r="INP1" s="9"/>
      <c r="INQ1" s="9"/>
      <c r="INR1" s="9"/>
      <c r="INS1" s="9"/>
      <c r="INT1" s="9"/>
      <c r="INU1" s="9"/>
      <c r="INV1" s="9"/>
      <c r="INW1" s="9"/>
      <c r="INX1" s="9"/>
      <c r="INY1" s="9"/>
      <c r="INZ1" s="9"/>
      <c r="IOA1" s="9"/>
      <c r="IOB1" s="9"/>
      <c r="IOC1" s="9"/>
      <c r="IOD1" s="9"/>
      <c r="IOE1" s="9"/>
      <c r="IOF1" s="9"/>
      <c r="IOG1" s="9"/>
      <c r="IOH1" s="9"/>
      <c r="IOI1" s="9"/>
      <c r="IOJ1" s="9"/>
      <c r="IOK1" s="9"/>
      <c r="IOL1" s="9"/>
      <c r="IOM1" s="9"/>
      <c r="ION1" s="9"/>
      <c r="IOO1" s="9"/>
      <c r="IOP1" s="9"/>
      <c r="IOQ1" s="9"/>
      <c r="IOR1" s="9"/>
      <c r="IOS1" s="9"/>
      <c r="IOT1" s="9"/>
      <c r="IOU1" s="9"/>
      <c r="IOV1" s="9"/>
      <c r="IOW1" s="9"/>
      <c r="IOX1" s="9"/>
      <c r="IOY1" s="9"/>
      <c r="IOZ1" s="9"/>
      <c r="IPA1" s="9"/>
      <c r="IPB1" s="9"/>
      <c r="IPC1" s="9"/>
      <c r="IPD1" s="9"/>
      <c r="IPE1" s="9"/>
      <c r="IPF1" s="9"/>
      <c r="IPG1" s="9"/>
      <c r="IPH1" s="9"/>
      <c r="IPI1" s="9"/>
      <c r="IPJ1" s="9"/>
      <c r="IPK1" s="9"/>
      <c r="IPL1" s="9"/>
      <c r="IPM1" s="9"/>
      <c r="IPN1" s="9"/>
      <c r="IPO1" s="9"/>
      <c r="IPP1" s="9"/>
      <c r="IPQ1" s="9"/>
      <c r="IPR1" s="9"/>
      <c r="IPS1" s="9"/>
      <c r="IPT1" s="9"/>
      <c r="IPU1" s="9"/>
      <c r="IPV1" s="9"/>
      <c r="IPW1" s="9"/>
      <c r="IPX1" s="9"/>
      <c r="IPY1" s="9"/>
      <c r="IPZ1" s="9"/>
      <c r="IQA1" s="9"/>
      <c r="IQB1" s="9"/>
      <c r="IQC1" s="9"/>
      <c r="IQD1" s="9"/>
      <c r="IQE1" s="9"/>
      <c r="IQF1" s="9"/>
      <c r="IQG1" s="9"/>
      <c r="IQH1" s="9"/>
      <c r="IQI1" s="9"/>
      <c r="IQJ1" s="9"/>
      <c r="IQK1" s="9"/>
      <c r="IQL1" s="9"/>
      <c r="IQM1" s="9"/>
      <c r="IQN1" s="9"/>
      <c r="IQO1" s="9"/>
      <c r="IQP1" s="9"/>
      <c r="IQQ1" s="9"/>
      <c r="IQR1" s="9"/>
      <c r="IQS1" s="9"/>
      <c r="IQT1" s="9"/>
      <c r="IQU1" s="9"/>
      <c r="IQV1" s="9"/>
      <c r="IQW1" s="9"/>
      <c r="IQX1" s="9"/>
      <c r="IQY1" s="9"/>
      <c r="IQZ1" s="9"/>
      <c r="IRA1" s="9"/>
      <c r="IRB1" s="9"/>
      <c r="IRC1" s="9"/>
      <c r="IRD1" s="9"/>
      <c r="IRE1" s="9"/>
      <c r="IRF1" s="9"/>
      <c r="IRG1" s="9"/>
      <c r="IRH1" s="9"/>
      <c r="IRI1" s="9"/>
      <c r="IRJ1" s="9"/>
      <c r="IRK1" s="9"/>
      <c r="IRL1" s="9"/>
      <c r="IRM1" s="9"/>
      <c r="IRN1" s="9"/>
      <c r="IRO1" s="9"/>
      <c r="IRP1" s="9"/>
      <c r="IRQ1" s="9"/>
      <c r="IRR1" s="9"/>
      <c r="IRS1" s="9"/>
      <c r="IRT1" s="9"/>
      <c r="IRU1" s="9"/>
      <c r="IRV1" s="9"/>
      <c r="IRW1" s="9"/>
      <c r="IRX1" s="9"/>
      <c r="IRY1" s="9"/>
      <c r="IRZ1" s="9"/>
      <c r="ISA1" s="9"/>
      <c r="ISB1" s="9"/>
      <c r="ISC1" s="9"/>
      <c r="ISD1" s="9"/>
      <c r="ISE1" s="9"/>
      <c r="ISF1" s="9"/>
      <c r="ISG1" s="9"/>
      <c r="ISH1" s="9"/>
      <c r="ISI1" s="9"/>
      <c r="ISJ1" s="9"/>
      <c r="ISK1" s="9"/>
      <c r="ISL1" s="9"/>
      <c r="ISM1" s="9"/>
      <c r="ISN1" s="9"/>
      <c r="ISO1" s="9"/>
      <c r="ISP1" s="9"/>
      <c r="ISQ1" s="9"/>
      <c r="ISR1" s="9"/>
      <c r="ISS1" s="9"/>
      <c r="IST1" s="9"/>
      <c r="ISU1" s="9"/>
      <c r="ISV1" s="9"/>
      <c r="ISW1" s="9"/>
      <c r="ISX1" s="9"/>
      <c r="ISY1" s="9"/>
      <c r="ISZ1" s="9"/>
      <c r="ITA1" s="9"/>
      <c r="ITB1" s="9"/>
      <c r="ITC1" s="9"/>
      <c r="ITD1" s="9"/>
      <c r="ITE1" s="9"/>
      <c r="ITF1" s="9"/>
      <c r="ITG1" s="9"/>
      <c r="ITH1" s="9"/>
      <c r="ITI1" s="9"/>
      <c r="ITJ1" s="9"/>
      <c r="ITK1" s="9"/>
      <c r="ITL1" s="9"/>
      <c r="ITM1" s="9"/>
      <c r="ITN1" s="9"/>
      <c r="ITO1" s="9"/>
      <c r="ITP1" s="9"/>
      <c r="ITQ1" s="9"/>
      <c r="ITR1" s="9"/>
      <c r="ITS1" s="9"/>
      <c r="ITT1" s="9"/>
      <c r="ITU1" s="9"/>
      <c r="ITV1" s="9"/>
      <c r="ITW1" s="9"/>
      <c r="ITX1" s="9"/>
      <c r="ITY1" s="9"/>
      <c r="ITZ1" s="9"/>
      <c r="IUA1" s="9"/>
      <c r="IUB1" s="9"/>
      <c r="IUC1" s="9"/>
      <c r="IUD1" s="9"/>
      <c r="IUE1" s="9"/>
      <c r="IUF1" s="9"/>
      <c r="IUG1" s="9"/>
      <c r="IUH1" s="9"/>
      <c r="IUI1" s="9"/>
      <c r="IUJ1" s="9"/>
      <c r="IUK1" s="9"/>
      <c r="IUL1" s="9"/>
      <c r="IUM1" s="9"/>
      <c r="IUN1" s="9"/>
      <c r="IUO1" s="9"/>
      <c r="IUP1" s="9"/>
      <c r="IUQ1" s="9"/>
      <c r="IUR1" s="9"/>
      <c r="IUS1" s="9"/>
      <c r="IUT1" s="9"/>
      <c r="IUU1" s="9"/>
      <c r="IUV1" s="9"/>
      <c r="IUW1" s="9"/>
      <c r="IUX1" s="9"/>
      <c r="IUY1" s="9"/>
      <c r="IUZ1" s="9"/>
      <c r="IVA1" s="9"/>
      <c r="IVB1" s="9"/>
      <c r="IVC1" s="9"/>
      <c r="IVD1" s="9"/>
      <c r="IVE1" s="9"/>
      <c r="IVF1" s="9"/>
      <c r="IVG1" s="9"/>
      <c r="IVH1" s="9"/>
      <c r="IVI1" s="9"/>
      <c r="IVJ1" s="9"/>
      <c r="IVK1" s="9"/>
      <c r="IVL1" s="9"/>
      <c r="IVM1" s="9"/>
      <c r="IVN1" s="9"/>
      <c r="IVO1" s="9"/>
      <c r="IVP1" s="9"/>
      <c r="IVQ1" s="9"/>
      <c r="IVR1" s="9"/>
      <c r="IVS1" s="9"/>
      <c r="IVT1" s="9"/>
      <c r="IVU1" s="9"/>
      <c r="IVV1" s="9"/>
      <c r="IVW1" s="9"/>
      <c r="IVX1" s="9"/>
      <c r="IVY1" s="9"/>
      <c r="IVZ1" s="9"/>
      <c r="IWA1" s="9"/>
      <c r="IWB1" s="9"/>
      <c r="IWC1" s="9"/>
      <c r="IWD1" s="9"/>
      <c r="IWE1" s="9"/>
      <c r="IWF1" s="9"/>
      <c r="IWG1" s="9"/>
      <c r="IWH1" s="9"/>
      <c r="IWI1" s="9"/>
      <c r="IWJ1" s="9"/>
      <c r="IWK1" s="9"/>
      <c r="IWL1" s="9"/>
      <c r="IWM1" s="9"/>
      <c r="IWN1" s="9"/>
      <c r="IWO1" s="9"/>
      <c r="IWP1" s="9"/>
      <c r="IWQ1" s="9"/>
      <c r="IWR1" s="9"/>
      <c r="IWS1" s="9"/>
      <c r="IWT1" s="9"/>
      <c r="IWU1" s="9"/>
      <c r="IWV1" s="9"/>
      <c r="IWW1" s="9"/>
      <c r="IWX1" s="9"/>
      <c r="IWY1" s="9"/>
      <c r="IWZ1" s="9"/>
      <c r="IXA1" s="9"/>
      <c r="IXB1" s="9"/>
      <c r="IXC1" s="9"/>
      <c r="IXD1" s="9"/>
      <c r="IXE1" s="9"/>
      <c r="IXF1" s="9"/>
      <c r="IXG1" s="9"/>
      <c r="IXH1" s="9"/>
      <c r="IXI1" s="9"/>
      <c r="IXJ1" s="9"/>
      <c r="IXK1" s="9"/>
      <c r="IXL1" s="9"/>
      <c r="IXM1" s="9"/>
      <c r="IXN1" s="9"/>
      <c r="IXO1" s="9"/>
      <c r="IXP1" s="9"/>
      <c r="IXQ1" s="9"/>
      <c r="IXR1" s="9"/>
      <c r="IXS1" s="9"/>
      <c r="IXT1" s="9"/>
      <c r="IXU1" s="9"/>
      <c r="IXV1" s="9"/>
      <c r="IXW1" s="9"/>
      <c r="IXX1" s="9"/>
      <c r="IXY1" s="9"/>
      <c r="IXZ1" s="9"/>
      <c r="IYA1" s="9"/>
      <c r="IYB1" s="9"/>
      <c r="IYC1" s="9"/>
      <c r="IYD1" s="9"/>
      <c r="IYE1" s="9"/>
      <c r="IYF1" s="9"/>
      <c r="IYG1" s="9"/>
      <c r="IYH1" s="9"/>
      <c r="IYI1" s="9"/>
      <c r="IYJ1" s="9"/>
      <c r="IYK1" s="9"/>
      <c r="IYL1" s="9"/>
      <c r="IYM1" s="9"/>
      <c r="IYN1" s="9"/>
      <c r="IYO1" s="9"/>
      <c r="IYP1" s="9"/>
      <c r="IYQ1" s="9"/>
      <c r="IYR1" s="9"/>
      <c r="IYS1" s="9"/>
      <c r="IYT1" s="9"/>
      <c r="IYU1" s="9"/>
      <c r="IYV1" s="9"/>
      <c r="IYW1" s="9"/>
      <c r="IYX1" s="9"/>
      <c r="IYY1" s="9"/>
      <c r="IYZ1" s="9"/>
      <c r="IZA1" s="9"/>
      <c r="IZB1" s="9"/>
      <c r="IZC1" s="9"/>
      <c r="IZD1" s="9"/>
      <c r="IZE1" s="9"/>
      <c r="IZF1" s="9"/>
      <c r="IZG1" s="9"/>
      <c r="IZH1" s="9"/>
      <c r="IZI1" s="9"/>
      <c r="IZJ1" s="9"/>
      <c r="IZK1" s="9"/>
      <c r="IZL1" s="9"/>
      <c r="IZM1" s="9"/>
      <c r="IZN1" s="9"/>
      <c r="IZO1" s="9"/>
      <c r="IZP1" s="9"/>
      <c r="IZQ1" s="9"/>
      <c r="IZR1" s="9"/>
      <c r="IZS1" s="9"/>
      <c r="IZT1" s="9"/>
      <c r="IZU1" s="9"/>
      <c r="IZV1" s="9"/>
      <c r="IZW1" s="9"/>
      <c r="IZX1" s="9"/>
      <c r="IZY1" s="9"/>
      <c r="IZZ1" s="9"/>
      <c r="JAA1" s="9"/>
      <c r="JAB1" s="9"/>
      <c r="JAC1" s="9"/>
      <c r="JAD1" s="9"/>
      <c r="JAE1" s="9"/>
      <c r="JAF1" s="9"/>
      <c r="JAG1" s="9"/>
      <c r="JAH1" s="9"/>
      <c r="JAI1" s="9"/>
      <c r="JAJ1" s="9"/>
      <c r="JAK1" s="9"/>
      <c r="JAL1" s="9"/>
      <c r="JAM1" s="9"/>
      <c r="JAN1" s="9"/>
      <c r="JAO1" s="9"/>
      <c r="JAP1" s="9"/>
      <c r="JAQ1" s="9"/>
      <c r="JAR1" s="9"/>
      <c r="JAS1" s="9"/>
      <c r="JAT1" s="9"/>
      <c r="JAU1" s="9"/>
      <c r="JAV1" s="9"/>
      <c r="JAW1" s="9"/>
      <c r="JAX1" s="9"/>
      <c r="JAY1" s="9"/>
      <c r="JAZ1" s="9"/>
      <c r="JBA1" s="9"/>
      <c r="JBB1" s="9"/>
      <c r="JBC1" s="9"/>
      <c r="JBD1" s="9"/>
      <c r="JBE1" s="9"/>
      <c r="JBF1" s="9"/>
      <c r="JBG1" s="9"/>
      <c r="JBH1" s="9"/>
      <c r="JBI1" s="9"/>
      <c r="JBJ1" s="9"/>
      <c r="JBK1" s="9"/>
      <c r="JBL1" s="9"/>
      <c r="JBM1" s="9"/>
      <c r="JBN1" s="9"/>
      <c r="JBO1" s="9"/>
      <c r="JBP1" s="9"/>
      <c r="JBQ1" s="9"/>
      <c r="JBR1" s="9"/>
      <c r="JBS1" s="9"/>
      <c r="JBT1" s="9"/>
      <c r="JBU1" s="9"/>
      <c r="JBV1" s="9"/>
      <c r="JBW1" s="9"/>
      <c r="JBX1" s="9"/>
      <c r="JBY1" s="9"/>
      <c r="JBZ1" s="9"/>
      <c r="JCA1" s="9"/>
      <c r="JCB1" s="9"/>
      <c r="JCC1" s="9"/>
      <c r="JCD1" s="9"/>
      <c r="JCE1" s="9"/>
      <c r="JCF1" s="9"/>
      <c r="JCG1" s="9"/>
      <c r="JCH1" s="9"/>
      <c r="JCI1" s="9"/>
      <c r="JCJ1" s="9"/>
      <c r="JCK1" s="9"/>
      <c r="JCL1" s="9"/>
      <c r="JCM1" s="9"/>
      <c r="JCN1" s="9"/>
      <c r="JCO1" s="9"/>
      <c r="JCP1" s="9"/>
      <c r="JCQ1" s="9"/>
      <c r="JCR1" s="9"/>
      <c r="JCS1" s="9"/>
      <c r="JCT1" s="9"/>
      <c r="JCU1" s="9"/>
      <c r="JCV1" s="9"/>
      <c r="JCW1" s="9"/>
      <c r="JCX1" s="9"/>
      <c r="JCY1" s="9"/>
      <c r="JCZ1" s="9"/>
      <c r="JDA1" s="9"/>
      <c r="JDB1" s="9"/>
      <c r="JDC1" s="9"/>
      <c r="JDD1" s="9"/>
      <c r="JDE1" s="9"/>
      <c r="JDF1" s="9"/>
      <c r="JDG1" s="9"/>
      <c r="JDH1" s="9"/>
      <c r="JDI1" s="9"/>
      <c r="JDJ1" s="9"/>
      <c r="JDK1" s="9"/>
      <c r="JDL1" s="9"/>
      <c r="JDM1" s="9"/>
      <c r="JDN1" s="9"/>
      <c r="JDO1" s="9"/>
      <c r="JDP1" s="9"/>
      <c r="JDQ1" s="9"/>
      <c r="JDR1" s="9"/>
      <c r="JDS1" s="9"/>
      <c r="JDT1" s="9"/>
      <c r="JDU1" s="9"/>
      <c r="JDV1" s="9"/>
      <c r="JDW1" s="9"/>
      <c r="JDX1" s="9"/>
      <c r="JDY1" s="9"/>
      <c r="JDZ1" s="9"/>
      <c r="JEA1" s="9"/>
      <c r="JEB1" s="9"/>
      <c r="JEC1" s="9"/>
      <c r="JED1" s="9"/>
      <c r="JEE1" s="9"/>
      <c r="JEF1" s="9"/>
      <c r="JEG1" s="9"/>
      <c r="JEH1" s="9"/>
      <c r="JEI1" s="9"/>
      <c r="JEJ1" s="9"/>
      <c r="JEK1" s="9"/>
      <c r="JEL1" s="9"/>
      <c r="JEM1" s="9"/>
      <c r="JEN1" s="9"/>
      <c r="JEO1" s="9"/>
      <c r="JEP1" s="9"/>
      <c r="JEQ1" s="9"/>
      <c r="JER1" s="9"/>
      <c r="JES1" s="9"/>
      <c r="JET1" s="9"/>
      <c r="JEU1" s="9"/>
      <c r="JEV1" s="9"/>
      <c r="JEW1" s="9"/>
      <c r="JEX1" s="9"/>
      <c r="JEY1" s="9"/>
      <c r="JEZ1" s="9"/>
      <c r="JFA1" s="9"/>
      <c r="JFB1" s="9"/>
      <c r="JFC1" s="9"/>
      <c r="JFD1" s="9"/>
      <c r="JFE1" s="9"/>
      <c r="JFF1" s="9"/>
      <c r="JFG1" s="9"/>
      <c r="JFH1" s="9"/>
      <c r="JFI1" s="9"/>
      <c r="JFJ1" s="9"/>
      <c r="JFK1" s="9"/>
      <c r="JFL1" s="9"/>
      <c r="JFM1" s="9"/>
      <c r="JFN1" s="9"/>
      <c r="JFO1" s="9"/>
      <c r="JFP1" s="9"/>
      <c r="JFQ1" s="9"/>
      <c r="JFR1" s="9"/>
      <c r="JFS1" s="9"/>
      <c r="JFT1" s="9"/>
      <c r="JFU1" s="9"/>
      <c r="JFV1" s="9"/>
      <c r="JFW1" s="9"/>
      <c r="JFX1" s="9"/>
      <c r="JFY1" s="9"/>
      <c r="JFZ1" s="9"/>
      <c r="JGA1" s="9"/>
      <c r="JGB1" s="9"/>
      <c r="JGC1" s="9"/>
      <c r="JGD1" s="9"/>
      <c r="JGE1" s="9"/>
      <c r="JGF1" s="9"/>
      <c r="JGG1" s="9"/>
      <c r="JGH1" s="9"/>
      <c r="JGI1" s="9"/>
      <c r="JGJ1" s="9"/>
      <c r="JGK1" s="9"/>
      <c r="JGL1" s="9"/>
      <c r="JGM1" s="9"/>
      <c r="JGN1" s="9"/>
      <c r="JGO1" s="9"/>
      <c r="JGP1" s="9"/>
      <c r="JGQ1" s="9"/>
      <c r="JGR1" s="9"/>
      <c r="JGS1" s="9"/>
      <c r="JGT1" s="9"/>
      <c r="JGU1" s="9"/>
      <c r="JGV1" s="9"/>
      <c r="JGW1" s="9"/>
      <c r="JGX1" s="9"/>
      <c r="JGY1" s="9"/>
      <c r="JGZ1" s="9"/>
      <c r="JHA1" s="9"/>
      <c r="JHB1" s="9"/>
      <c r="JHC1" s="9"/>
      <c r="JHD1" s="9"/>
      <c r="JHE1" s="9"/>
      <c r="JHF1" s="9"/>
      <c r="JHG1" s="9"/>
      <c r="JHH1" s="9"/>
      <c r="JHI1" s="9"/>
      <c r="JHJ1" s="9"/>
      <c r="JHK1" s="9"/>
      <c r="JHL1" s="9"/>
      <c r="JHM1" s="9"/>
      <c r="JHN1" s="9"/>
      <c r="JHO1" s="9"/>
      <c r="JHP1" s="9"/>
      <c r="JHQ1" s="9"/>
      <c r="JHR1" s="9"/>
      <c r="JHS1" s="9"/>
      <c r="JHT1" s="9"/>
      <c r="JHU1" s="9"/>
      <c r="JHV1" s="9"/>
      <c r="JHW1" s="9"/>
      <c r="JHX1" s="9"/>
      <c r="JHY1" s="9"/>
      <c r="JHZ1" s="9"/>
      <c r="JIA1" s="9"/>
      <c r="JIB1" s="9"/>
      <c r="JIC1" s="9"/>
      <c r="JID1" s="9"/>
      <c r="JIE1" s="9"/>
      <c r="JIF1" s="9"/>
      <c r="JIG1" s="9"/>
      <c r="JIH1" s="9"/>
      <c r="JII1" s="9"/>
      <c r="JIJ1" s="9"/>
      <c r="JIK1" s="9"/>
      <c r="JIL1" s="9"/>
      <c r="JIM1" s="9"/>
      <c r="JIN1" s="9"/>
      <c r="JIO1" s="9"/>
      <c r="JIP1" s="9"/>
      <c r="JIQ1" s="9"/>
      <c r="JIR1" s="9"/>
      <c r="JIS1" s="9"/>
      <c r="JIT1" s="9"/>
      <c r="JIU1" s="9"/>
      <c r="JIV1" s="9"/>
      <c r="JIW1" s="9"/>
      <c r="JIX1" s="9"/>
      <c r="JIY1" s="9"/>
      <c r="JIZ1" s="9"/>
      <c r="JJA1" s="9"/>
      <c r="JJB1" s="9"/>
      <c r="JJC1" s="9"/>
      <c r="JJD1" s="9"/>
      <c r="JJE1" s="9"/>
      <c r="JJF1" s="9"/>
      <c r="JJG1" s="9"/>
      <c r="JJH1" s="9"/>
      <c r="JJI1" s="9"/>
      <c r="JJJ1" s="9"/>
      <c r="JJK1" s="9"/>
      <c r="JJL1" s="9"/>
      <c r="JJM1" s="9"/>
      <c r="JJN1" s="9"/>
      <c r="JJO1" s="9"/>
      <c r="JJP1" s="9"/>
      <c r="JJQ1" s="9"/>
      <c r="JJR1" s="9"/>
      <c r="JJS1" s="9"/>
      <c r="JJT1" s="9"/>
      <c r="JJU1" s="9"/>
      <c r="JJV1" s="9"/>
      <c r="JJW1" s="9"/>
      <c r="JJX1" s="9"/>
      <c r="JJY1" s="9"/>
      <c r="JJZ1" s="9"/>
      <c r="JKA1" s="9"/>
      <c r="JKB1" s="9"/>
      <c r="JKC1" s="9"/>
      <c r="JKD1" s="9"/>
      <c r="JKE1" s="9"/>
      <c r="JKF1" s="9"/>
      <c r="JKG1" s="9"/>
      <c r="JKH1" s="9"/>
      <c r="JKI1" s="9"/>
      <c r="JKJ1" s="9"/>
      <c r="JKK1" s="9"/>
      <c r="JKL1" s="9"/>
      <c r="JKM1" s="9"/>
      <c r="JKN1" s="9"/>
      <c r="JKO1" s="9"/>
      <c r="JKP1" s="9"/>
      <c r="JKQ1" s="9"/>
      <c r="JKR1" s="9"/>
      <c r="JKS1" s="9"/>
      <c r="JKT1" s="9"/>
      <c r="JKU1" s="9"/>
      <c r="JKV1" s="9"/>
      <c r="JKW1" s="9"/>
      <c r="JKX1" s="9"/>
      <c r="JKY1" s="9"/>
      <c r="JKZ1" s="9"/>
      <c r="JLA1" s="9"/>
      <c r="JLB1" s="9"/>
      <c r="JLC1" s="9"/>
      <c r="JLD1" s="9"/>
      <c r="JLE1" s="9"/>
      <c r="JLF1" s="9"/>
      <c r="JLG1" s="9"/>
      <c r="JLH1" s="9"/>
      <c r="JLI1" s="9"/>
      <c r="JLJ1" s="9"/>
      <c r="JLK1" s="9"/>
      <c r="JLL1" s="9"/>
      <c r="JLM1" s="9"/>
      <c r="JLN1" s="9"/>
      <c r="JLO1" s="9"/>
      <c r="JLP1" s="9"/>
      <c r="JLQ1" s="9"/>
      <c r="JLR1" s="9"/>
      <c r="JLS1" s="9"/>
      <c r="JLT1" s="9"/>
      <c r="JLU1" s="9"/>
      <c r="JLV1" s="9"/>
      <c r="JLW1" s="9"/>
      <c r="JLX1" s="9"/>
      <c r="JLY1" s="9"/>
      <c r="JLZ1" s="9"/>
      <c r="JMA1" s="9"/>
      <c r="JMB1" s="9"/>
      <c r="JMC1" s="9"/>
      <c r="JMD1" s="9"/>
      <c r="JME1" s="9"/>
      <c r="JMF1" s="9"/>
      <c r="JMG1" s="9"/>
      <c r="JMH1" s="9"/>
      <c r="JMI1" s="9"/>
      <c r="JMJ1" s="9"/>
      <c r="JMK1" s="9"/>
      <c r="JML1" s="9"/>
      <c r="JMM1" s="9"/>
      <c r="JMN1" s="9"/>
      <c r="JMO1" s="9"/>
      <c r="JMP1" s="9"/>
      <c r="JMQ1" s="9"/>
      <c r="JMR1" s="9"/>
      <c r="JMS1" s="9"/>
      <c r="JMT1" s="9"/>
      <c r="JMU1" s="9"/>
      <c r="JMV1" s="9"/>
      <c r="JMW1" s="9"/>
      <c r="JMX1" s="9"/>
      <c r="JMY1" s="9"/>
      <c r="JMZ1" s="9"/>
      <c r="JNA1" s="9"/>
      <c r="JNB1" s="9"/>
      <c r="JNC1" s="9"/>
      <c r="JND1" s="9"/>
      <c r="JNE1" s="9"/>
      <c r="JNF1" s="9"/>
      <c r="JNG1" s="9"/>
      <c r="JNH1" s="9"/>
      <c r="JNI1" s="9"/>
      <c r="JNJ1" s="9"/>
      <c r="JNK1" s="9"/>
      <c r="JNL1" s="9"/>
      <c r="JNM1" s="9"/>
      <c r="JNN1" s="9"/>
      <c r="JNO1" s="9"/>
      <c r="JNP1" s="9"/>
      <c r="JNQ1" s="9"/>
      <c r="JNR1" s="9"/>
      <c r="JNS1" s="9"/>
      <c r="JNT1" s="9"/>
      <c r="JNU1" s="9"/>
      <c r="JNV1" s="9"/>
      <c r="JNW1" s="9"/>
      <c r="JNX1" s="9"/>
      <c r="JNY1" s="9"/>
      <c r="JNZ1" s="9"/>
      <c r="JOA1" s="9"/>
      <c r="JOB1" s="9"/>
      <c r="JOC1" s="9"/>
      <c r="JOD1" s="9"/>
      <c r="JOE1" s="9"/>
      <c r="JOF1" s="9"/>
      <c r="JOG1" s="9"/>
      <c r="JOH1" s="9"/>
      <c r="JOI1" s="9"/>
      <c r="JOJ1" s="9"/>
      <c r="JOK1" s="9"/>
      <c r="JOL1" s="9"/>
      <c r="JOM1" s="9"/>
      <c r="JON1" s="9"/>
      <c r="JOO1" s="9"/>
      <c r="JOP1" s="9"/>
      <c r="JOQ1" s="9"/>
      <c r="JOR1" s="9"/>
      <c r="JOS1" s="9"/>
      <c r="JOT1" s="9"/>
      <c r="JOU1" s="9"/>
      <c r="JOV1" s="9"/>
      <c r="JOW1" s="9"/>
      <c r="JOX1" s="9"/>
      <c r="JOY1" s="9"/>
      <c r="JOZ1" s="9"/>
      <c r="JPA1" s="9"/>
      <c r="JPB1" s="9"/>
      <c r="JPC1" s="9"/>
      <c r="JPD1" s="9"/>
      <c r="JPE1" s="9"/>
      <c r="JPF1" s="9"/>
      <c r="JPG1" s="9"/>
      <c r="JPH1" s="9"/>
      <c r="JPI1" s="9"/>
      <c r="JPJ1" s="9"/>
      <c r="JPK1" s="9"/>
      <c r="JPL1" s="9"/>
      <c r="JPM1" s="9"/>
      <c r="JPN1" s="9"/>
      <c r="JPO1" s="9"/>
      <c r="JPP1" s="9"/>
      <c r="JPQ1" s="9"/>
      <c r="JPR1" s="9"/>
      <c r="JPS1" s="9"/>
      <c r="JPT1" s="9"/>
      <c r="JPU1" s="9"/>
      <c r="JPV1" s="9"/>
      <c r="JPW1" s="9"/>
      <c r="JPX1" s="9"/>
      <c r="JPY1" s="9"/>
      <c r="JPZ1" s="9"/>
      <c r="JQA1" s="9"/>
      <c r="JQB1" s="9"/>
      <c r="JQC1" s="9"/>
      <c r="JQD1" s="9"/>
      <c r="JQE1" s="9"/>
      <c r="JQF1" s="9"/>
      <c r="JQG1" s="9"/>
      <c r="JQH1" s="9"/>
      <c r="JQI1" s="9"/>
      <c r="JQJ1" s="9"/>
      <c r="JQK1" s="9"/>
      <c r="JQL1" s="9"/>
      <c r="JQM1" s="9"/>
      <c r="JQN1" s="9"/>
      <c r="JQO1" s="9"/>
      <c r="JQP1" s="9"/>
      <c r="JQQ1" s="9"/>
      <c r="JQR1" s="9"/>
      <c r="JQS1" s="9"/>
      <c r="JQT1" s="9"/>
      <c r="JQU1" s="9"/>
      <c r="JQV1" s="9"/>
      <c r="JQW1" s="9"/>
      <c r="JQX1" s="9"/>
      <c r="JQY1" s="9"/>
      <c r="JQZ1" s="9"/>
      <c r="JRA1" s="9"/>
      <c r="JRB1" s="9"/>
      <c r="JRC1" s="9"/>
      <c r="JRD1" s="9"/>
      <c r="JRE1" s="9"/>
      <c r="JRF1" s="9"/>
      <c r="JRG1" s="9"/>
      <c r="JRH1" s="9"/>
      <c r="JRI1" s="9"/>
      <c r="JRJ1" s="9"/>
      <c r="JRK1" s="9"/>
      <c r="JRL1" s="9"/>
      <c r="JRM1" s="9"/>
      <c r="JRN1" s="9"/>
      <c r="JRO1" s="9"/>
      <c r="JRP1" s="9"/>
      <c r="JRQ1" s="9"/>
      <c r="JRR1" s="9"/>
      <c r="JRS1" s="9"/>
      <c r="JRT1" s="9"/>
      <c r="JRU1" s="9"/>
      <c r="JRV1" s="9"/>
      <c r="JRW1" s="9"/>
      <c r="JRX1" s="9"/>
      <c r="JRY1" s="9"/>
      <c r="JRZ1" s="9"/>
      <c r="JSA1" s="9"/>
      <c r="JSB1" s="9"/>
      <c r="JSC1" s="9"/>
      <c r="JSD1" s="9"/>
      <c r="JSE1" s="9"/>
      <c r="JSF1" s="9"/>
      <c r="JSG1" s="9"/>
      <c r="JSH1" s="9"/>
      <c r="JSI1" s="9"/>
      <c r="JSJ1" s="9"/>
      <c r="JSK1" s="9"/>
      <c r="JSL1" s="9"/>
      <c r="JSM1" s="9"/>
      <c r="JSN1" s="9"/>
      <c r="JSO1" s="9"/>
      <c r="JSP1" s="9"/>
      <c r="JSQ1" s="9"/>
      <c r="JSR1" s="9"/>
      <c r="JSS1" s="9"/>
      <c r="JST1" s="9"/>
      <c r="JSU1" s="9"/>
      <c r="JSV1" s="9"/>
      <c r="JSW1" s="9"/>
      <c r="JSX1" s="9"/>
      <c r="JSY1" s="9"/>
      <c r="JSZ1" s="9"/>
      <c r="JTA1" s="9"/>
      <c r="JTB1" s="9"/>
      <c r="JTC1" s="9"/>
      <c r="JTD1" s="9"/>
      <c r="JTE1" s="9"/>
      <c r="JTF1" s="9"/>
      <c r="JTG1" s="9"/>
      <c r="JTH1" s="9"/>
      <c r="JTI1" s="9"/>
      <c r="JTJ1" s="9"/>
      <c r="JTK1" s="9"/>
      <c r="JTL1" s="9"/>
      <c r="JTM1" s="9"/>
      <c r="JTN1" s="9"/>
      <c r="JTO1" s="9"/>
      <c r="JTP1" s="9"/>
      <c r="JTQ1" s="9"/>
      <c r="JTR1" s="9"/>
      <c r="JTS1" s="9"/>
      <c r="JTT1" s="9"/>
      <c r="JTU1" s="9"/>
      <c r="JTV1" s="9"/>
      <c r="JTW1" s="9"/>
      <c r="JTX1" s="9"/>
      <c r="JTY1" s="9"/>
      <c r="JTZ1" s="9"/>
      <c r="JUA1" s="9"/>
      <c r="JUB1" s="9"/>
      <c r="JUC1" s="9"/>
      <c r="JUD1" s="9"/>
      <c r="JUE1" s="9"/>
      <c r="JUF1" s="9"/>
      <c r="JUG1" s="9"/>
      <c r="JUH1" s="9"/>
      <c r="JUI1" s="9"/>
      <c r="JUJ1" s="9"/>
      <c r="JUK1" s="9"/>
      <c r="JUL1" s="9"/>
      <c r="JUM1" s="9"/>
      <c r="JUN1" s="9"/>
      <c r="JUO1" s="9"/>
      <c r="JUP1" s="9"/>
      <c r="JUQ1" s="9"/>
      <c r="JUR1" s="9"/>
      <c r="JUS1" s="9"/>
      <c r="JUT1" s="9"/>
      <c r="JUU1" s="9"/>
      <c r="JUV1" s="9"/>
      <c r="JUW1" s="9"/>
      <c r="JUX1" s="9"/>
      <c r="JUY1" s="9"/>
      <c r="JUZ1" s="9"/>
      <c r="JVA1" s="9"/>
      <c r="JVB1" s="9"/>
      <c r="JVC1" s="9"/>
      <c r="JVD1" s="9"/>
      <c r="JVE1" s="9"/>
      <c r="JVF1" s="9"/>
      <c r="JVG1" s="9"/>
      <c r="JVH1" s="9"/>
      <c r="JVI1" s="9"/>
      <c r="JVJ1" s="9"/>
      <c r="JVK1" s="9"/>
      <c r="JVL1" s="9"/>
      <c r="JVM1" s="9"/>
      <c r="JVN1" s="9"/>
      <c r="JVO1" s="9"/>
      <c r="JVP1" s="9"/>
      <c r="JVQ1" s="9"/>
      <c r="JVR1" s="9"/>
      <c r="JVS1" s="9"/>
      <c r="JVT1" s="9"/>
      <c r="JVU1" s="9"/>
      <c r="JVV1" s="9"/>
      <c r="JVW1" s="9"/>
      <c r="JVX1" s="9"/>
      <c r="JVY1" s="9"/>
      <c r="JVZ1" s="9"/>
      <c r="JWA1" s="9"/>
      <c r="JWB1" s="9"/>
      <c r="JWC1" s="9"/>
      <c r="JWD1" s="9"/>
      <c r="JWE1" s="9"/>
      <c r="JWF1" s="9"/>
      <c r="JWG1" s="9"/>
      <c r="JWH1" s="9"/>
      <c r="JWI1" s="9"/>
      <c r="JWJ1" s="9"/>
      <c r="JWK1" s="9"/>
      <c r="JWL1" s="9"/>
      <c r="JWM1" s="9"/>
      <c r="JWN1" s="9"/>
      <c r="JWO1" s="9"/>
      <c r="JWP1" s="9"/>
      <c r="JWQ1" s="9"/>
      <c r="JWR1" s="9"/>
      <c r="JWS1" s="9"/>
      <c r="JWT1" s="9"/>
      <c r="JWU1" s="9"/>
      <c r="JWV1" s="9"/>
      <c r="JWW1" s="9"/>
      <c r="JWX1" s="9"/>
      <c r="JWY1" s="9"/>
      <c r="JWZ1" s="9"/>
      <c r="JXA1" s="9"/>
      <c r="JXB1" s="9"/>
      <c r="JXC1" s="9"/>
      <c r="JXD1" s="9"/>
      <c r="JXE1" s="9"/>
      <c r="JXF1" s="9"/>
      <c r="JXG1" s="9"/>
      <c r="JXH1" s="9"/>
      <c r="JXI1" s="9"/>
      <c r="JXJ1" s="9"/>
      <c r="JXK1" s="9"/>
      <c r="JXL1" s="9"/>
      <c r="JXM1" s="9"/>
      <c r="JXN1" s="9"/>
      <c r="JXO1" s="9"/>
      <c r="JXP1" s="9"/>
      <c r="JXQ1" s="9"/>
      <c r="JXR1" s="9"/>
      <c r="JXS1" s="9"/>
      <c r="JXT1" s="9"/>
      <c r="JXU1" s="9"/>
      <c r="JXV1" s="9"/>
      <c r="JXW1" s="9"/>
      <c r="JXX1" s="9"/>
      <c r="JXY1" s="9"/>
      <c r="JXZ1" s="9"/>
      <c r="JYA1" s="9"/>
      <c r="JYB1" s="9"/>
      <c r="JYC1" s="9"/>
      <c r="JYD1" s="9"/>
      <c r="JYE1" s="9"/>
      <c r="JYF1" s="9"/>
      <c r="JYG1" s="9"/>
      <c r="JYH1" s="9"/>
      <c r="JYI1" s="9"/>
      <c r="JYJ1" s="9"/>
      <c r="JYK1" s="9"/>
      <c r="JYL1" s="9"/>
      <c r="JYM1" s="9"/>
      <c r="JYN1" s="9"/>
      <c r="JYO1" s="9"/>
      <c r="JYP1" s="9"/>
      <c r="JYQ1" s="9"/>
      <c r="JYR1" s="9"/>
      <c r="JYS1" s="9"/>
      <c r="JYT1" s="9"/>
      <c r="JYU1" s="9"/>
      <c r="JYV1" s="9"/>
      <c r="JYW1" s="9"/>
      <c r="JYX1" s="9"/>
      <c r="JYY1" s="9"/>
      <c r="JYZ1" s="9"/>
      <c r="JZA1" s="9"/>
      <c r="JZB1" s="9"/>
      <c r="JZC1" s="9"/>
      <c r="JZD1" s="9"/>
      <c r="JZE1" s="9"/>
      <c r="JZF1" s="9"/>
      <c r="JZG1" s="9"/>
      <c r="JZH1" s="9"/>
      <c r="JZI1" s="9"/>
      <c r="JZJ1" s="9"/>
      <c r="JZK1" s="9"/>
      <c r="JZL1" s="9"/>
      <c r="JZM1" s="9"/>
      <c r="JZN1" s="9"/>
      <c r="JZO1" s="9"/>
      <c r="JZP1" s="9"/>
      <c r="JZQ1" s="9"/>
      <c r="JZR1" s="9"/>
      <c r="JZS1" s="9"/>
      <c r="JZT1" s="9"/>
      <c r="JZU1" s="9"/>
      <c r="JZV1" s="9"/>
      <c r="JZW1" s="9"/>
      <c r="JZX1" s="9"/>
      <c r="JZY1" s="9"/>
      <c r="JZZ1" s="9"/>
      <c r="KAA1" s="9"/>
      <c r="KAB1" s="9"/>
      <c r="KAC1" s="9"/>
      <c r="KAD1" s="9"/>
      <c r="KAE1" s="9"/>
      <c r="KAF1" s="9"/>
      <c r="KAG1" s="9"/>
      <c r="KAH1" s="9"/>
      <c r="KAI1" s="9"/>
      <c r="KAJ1" s="9"/>
      <c r="KAK1" s="9"/>
      <c r="KAL1" s="9"/>
      <c r="KAM1" s="9"/>
      <c r="KAN1" s="9"/>
      <c r="KAO1" s="9"/>
      <c r="KAP1" s="9"/>
      <c r="KAQ1" s="9"/>
      <c r="KAR1" s="9"/>
      <c r="KAS1" s="9"/>
      <c r="KAT1" s="9"/>
      <c r="KAU1" s="9"/>
      <c r="KAV1" s="9"/>
      <c r="KAW1" s="9"/>
      <c r="KAX1" s="9"/>
      <c r="KAY1" s="9"/>
      <c r="KAZ1" s="9"/>
      <c r="KBA1" s="9"/>
      <c r="KBB1" s="9"/>
      <c r="KBC1" s="9"/>
      <c r="KBD1" s="9"/>
      <c r="KBE1" s="9"/>
      <c r="KBF1" s="9"/>
      <c r="KBG1" s="9"/>
      <c r="KBH1" s="9"/>
      <c r="KBI1" s="9"/>
      <c r="KBJ1" s="9"/>
      <c r="KBK1" s="9"/>
      <c r="KBL1" s="9"/>
      <c r="KBM1" s="9"/>
      <c r="KBN1" s="9"/>
      <c r="KBO1" s="9"/>
      <c r="KBP1" s="9"/>
      <c r="KBQ1" s="9"/>
      <c r="KBR1" s="9"/>
      <c r="KBS1" s="9"/>
      <c r="KBT1" s="9"/>
      <c r="KBU1" s="9"/>
      <c r="KBV1" s="9"/>
      <c r="KBW1" s="9"/>
      <c r="KBX1" s="9"/>
      <c r="KBY1" s="9"/>
      <c r="KBZ1" s="9"/>
      <c r="KCA1" s="9"/>
      <c r="KCB1" s="9"/>
      <c r="KCC1" s="9"/>
      <c r="KCD1" s="9"/>
      <c r="KCE1" s="9"/>
      <c r="KCF1" s="9"/>
      <c r="KCG1" s="9"/>
      <c r="KCH1" s="9"/>
      <c r="KCI1" s="9"/>
      <c r="KCJ1" s="9"/>
      <c r="KCK1" s="9"/>
      <c r="KCL1" s="9"/>
      <c r="KCM1" s="9"/>
      <c r="KCN1" s="9"/>
      <c r="KCO1" s="9"/>
      <c r="KCP1" s="9"/>
      <c r="KCQ1" s="9"/>
      <c r="KCR1" s="9"/>
      <c r="KCS1" s="9"/>
      <c r="KCT1" s="9"/>
      <c r="KCU1" s="9"/>
      <c r="KCV1" s="9"/>
      <c r="KCW1" s="9"/>
      <c r="KCX1" s="9"/>
      <c r="KCY1" s="9"/>
      <c r="KCZ1" s="9"/>
      <c r="KDA1" s="9"/>
      <c r="KDB1" s="9"/>
      <c r="KDC1" s="9"/>
      <c r="KDD1" s="9"/>
      <c r="KDE1" s="9"/>
      <c r="KDF1" s="9"/>
      <c r="KDG1" s="9"/>
      <c r="KDH1" s="9"/>
      <c r="KDI1" s="9"/>
      <c r="KDJ1" s="9"/>
      <c r="KDK1" s="9"/>
      <c r="KDL1" s="9"/>
      <c r="KDM1" s="9"/>
      <c r="KDN1" s="9"/>
      <c r="KDO1" s="9"/>
      <c r="KDP1" s="9"/>
      <c r="KDQ1" s="9"/>
      <c r="KDR1" s="9"/>
      <c r="KDS1" s="9"/>
      <c r="KDT1" s="9"/>
      <c r="KDU1" s="9"/>
      <c r="KDV1" s="9"/>
      <c r="KDW1" s="9"/>
      <c r="KDX1" s="9"/>
      <c r="KDY1" s="9"/>
      <c r="KDZ1" s="9"/>
      <c r="KEA1" s="9"/>
      <c r="KEB1" s="9"/>
      <c r="KEC1" s="9"/>
      <c r="KED1" s="9"/>
      <c r="KEE1" s="9"/>
      <c r="KEF1" s="9"/>
      <c r="KEG1" s="9"/>
      <c r="KEH1" s="9"/>
      <c r="KEI1" s="9"/>
      <c r="KEJ1" s="9"/>
      <c r="KEK1" s="9"/>
      <c r="KEL1" s="9"/>
      <c r="KEM1" s="9"/>
      <c r="KEN1" s="9"/>
      <c r="KEO1" s="9"/>
      <c r="KEP1" s="9"/>
      <c r="KEQ1" s="9"/>
      <c r="KER1" s="9"/>
      <c r="KES1" s="9"/>
      <c r="KET1" s="9"/>
      <c r="KEU1" s="9"/>
      <c r="KEV1" s="9"/>
      <c r="KEW1" s="9"/>
      <c r="KEX1" s="9"/>
      <c r="KEY1" s="9"/>
      <c r="KEZ1" s="9"/>
      <c r="KFA1" s="9"/>
      <c r="KFB1" s="9"/>
      <c r="KFC1" s="9"/>
      <c r="KFD1" s="9"/>
      <c r="KFE1" s="9"/>
      <c r="KFF1" s="9"/>
      <c r="KFG1" s="9"/>
      <c r="KFH1" s="9"/>
      <c r="KFI1" s="9"/>
      <c r="KFJ1" s="9"/>
      <c r="KFK1" s="9"/>
      <c r="KFL1" s="9"/>
      <c r="KFM1" s="9"/>
      <c r="KFN1" s="9"/>
      <c r="KFO1" s="9"/>
      <c r="KFP1" s="9"/>
      <c r="KFQ1" s="9"/>
      <c r="KFR1" s="9"/>
      <c r="KFS1" s="9"/>
      <c r="KFT1" s="9"/>
      <c r="KFU1" s="9"/>
      <c r="KFV1" s="9"/>
      <c r="KFW1" s="9"/>
      <c r="KFX1" s="9"/>
      <c r="KFY1" s="9"/>
      <c r="KFZ1" s="9"/>
      <c r="KGA1" s="9"/>
      <c r="KGB1" s="9"/>
      <c r="KGC1" s="9"/>
      <c r="KGD1" s="9"/>
      <c r="KGE1" s="9"/>
      <c r="KGF1" s="9"/>
      <c r="KGG1" s="9"/>
      <c r="KGH1" s="9"/>
      <c r="KGI1" s="9"/>
      <c r="KGJ1" s="9"/>
      <c r="KGK1" s="9"/>
      <c r="KGL1" s="9"/>
      <c r="KGM1" s="9"/>
      <c r="KGN1" s="9"/>
      <c r="KGO1" s="9"/>
      <c r="KGP1" s="9"/>
      <c r="KGQ1" s="9"/>
      <c r="KGR1" s="9"/>
      <c r="KGS1" s="9"/>
      <c r="KGT1" s="9"/>
      <c r="KGU1" s="9"/>
      <c r="KGV1" s="9"/>
      <c r="KGW1" s="9"/>
      <c r="KGX1" s="9"/>
      <c r="KGY1" s="9"/>
      <c r="KGZ1" s="9"/>
      <c r="KHA1" s="9"/>
      <c r="KHB1" s="9"/>
      <c r="KHC1" s="9"/>
      <c r="KHD1" s="9"/>
      <c r="KHE1" s="9"/>
      <c r="KHF1" s="9"/>
      <c r="KHG1" s="9"/>
      <c r="KHH1" s="9"/>
      <c r="KHI1" s="9"/>
      <c r="KHJ1" s="9"/>
      <c r="KHK1" s="9"/>
      <c r="KHL1" s="9"/>
      <c r="KHM1" s="9"/>
      <c r="KHN1" s="9"/>
      <c r="KHO1" s="9"/>
      <c r="KHP1" s="9"/>
      <c r="KHQ1" s="9"/>
      <c r="KHR1" s="9"/>
      <c r="KHS1" s="9"/>
      <c r="KHT1" s="9"/>
      <c r="KHU1" s="9"/>
      <c r="KHV1" s="9"/>
      <c r="KHW1" s="9"/>
      <c r="KHX1" s="9"/>
      <c r="KHY1" s="9"/>
      <c r="KHZ1" s="9"/>
      <c r="KIA1" s="9"/>
      <c r="KIB1" s="9"/>
      <c r="KIC1" s="9"/>
      <c r="KID1" s="9"/>
      <c r="KIE1" s="9"/>
      <c r="KIF1" s="9"/>
      <c r="KIG1" s="9"/>
      <c r="KIH1" s="9"/>
      <c r="KII1" s="9"/>
      <c r="KIJ1" s="9"/>
      <c r="KIK1" s="9"/>
      <c r="KIL1" s="9"/>
      <c r="KIM1" s="9"/>
      <c r="KIN1" s="9"/>
      <c r="KIO1" s="9"/>
      <c r="KIP1" s="9"/>
      <c r="KIQ1" s="9"/>
      <c r="KIR1" s="9"/>
      <c r="KIS1" s="9"/>
      <c r="KIT1" s="9"/>
      <c r="KIU1" s="9"/>
      <c r="KIV1" s="9"/>
      <c r="KIW1" s="9"/>
      <c r="KIX1" s="9"/>
      <c r="KIY1" s="9"/>
      <c r="KIZ1" s="9"/>
      <c r="KJA1" s="9"/>
      <c r="KJB1" s="9"/>
      <c r="KJC1" s="9"/>
      <c r="KJD1" s="9"/>
      <c r="KJE1" s="9"/>
      <c r="KJF1" s="9"/>
      <c r="KJG1" s="9"/>
      <c r="KJH1" s="9"/>
      <c r="KJI1" s="9"/>
      <c r="KJJ1" s="9"/>
      <c r="KJK1" s="9"/>
      <c r="KJL1" s="9"/>
      <c r="KJM1" s="9"/>
      <c r="KJN1" s="9"/>
      <c r="KJO1" s="9"/>
      <c r="KJP1" s="9"/>
      <c r="KJQ1" s="9"/>
      <c r="KJR1" s="9"/>
      <c r="KJS1" s="9"/>
      <c r="KJT1" s="9"/>
      <c r="KJU1" s="9"/>
      <c r="KJV1" s="9"/>
      <c r="KJW1" s="9"/>
      <c r="KJX1" s="9"/>
      <c r="KJY1" s="9"/>
      <c r="KJZ1" s="9"/>
      <c r="KKA1" s="9"/>
      <c r="KKB1" s="9"/>
      <c r="KKC1" s="9"/>
      <c r="KKD1" s="9"/>
      <c r="KKE1" s="9"/>
      <c r="KKF1" s="9"/>
      <c r="KKG1" s="9"/>
      <c r="KKH1" s="9"/>
      <c r="KKI1" s="9"/>
      <c r="KKJ1" s="9"/>
      <c r="KKK1" s="9"/>
      <c r="KKL1" s="9"/>
      <c r="KKM1" s="9"/>
      <c r="KKN1" s="9"/>
      <c r="KKO1" s="9"/>
      <c r="KKP1" s="9"/>
      <c r="KKQ1" s="9"/>
      <c r="KKR1" s="9"/>
      <c r="KKS1" s="9"/>
      <c r="KKT1" s="9"/>
      <c r="KKU1" s="9"/>
      <c r="KKV1" s="9"/>
      <c r="KKW1" s="9"/>
      <c r="KKX1" s="9"/>
      <c r="KKY1" s="9"/>
      <c r="KKZ1" s="9"/>
      <c r="KLA1" s="9"/>
      <c r="KLB1" s="9"/>
      <c r="KLC1" s="9"/>
      <c r="KLD1" s="9"/>
      <c r="KLE1" s="9"/>
      <c r="KLF1" s="9"/>
      <c r="KLG1" s="9"/>
      <c r="KLH1" s="9"/>
      <c r="KLI1" s="9"/>
      <c r="KLJ1" s="9"/>
      <c r="KLK1" s="9"/>
      <c r="KLL1" s="9"/>
      <c r="KLM1" s="9"/>
      <c r="KLN1" s="9"/>
      <c r="KLO1" s="9"/>
      <c r="KLP1" s="9"/>
      <c r="KLQ1" s="9"/>
      <c r="KLR1" s="9"/>
      <c r="KLS1" s="9"/>
      <c r="KLT1" s="9"/>
      <c r="KLU1" s="9"/>
      <c r="KLV1" s="9"/>
      <c r="KLW1" s="9"/>
      <c r="KLX1" s="9"/>
      <c r="KLY1" s="9"/>
      <c r="KLZ1" s="9"/>
      <c r="KMA1" s="9"/>
      <c r="KMB1" s="9"/>
      <c r="KMC1" s="9"/>
      <c r="KMD1" s="9"/>
      <c r="KME1" s="9"/>
      <c r="KMF1" s="9"/>
      <c r="KMG1" s="9"/>
      <c r="KMH1" s="9"/>
      <c r="KMI1" s="9"/>
      <c r="KMJ1" s="9"/>
      <c r="KMK1" s="9"/>
      <c r="KML1" s="9"/>
      <c r="KMM1" s="9"/>
      <c r="KMN1" s="9"/>
      <c r="KMO1" s="9"/>
      <c r="KMP1" s="9"/>
      <c r="KMQ1" s="9"/>
      <c r="KMR1" s="9"/>
      <c r="KMS1" s="9"/>
      <c r="KMT1" s="9"/>
      <c r="KMU1" s="9"/>
      <c r="KMV1" s="9"/>
      <c r="KMW1" s="9"/>
      <c r="KMX1" s="9"/>
      <c r="KMY1" s="9"/>
      <c r="KMZ1" s="9"/>
      <c r="KNA1" s="9"/>
      <c r="KNB1" s="9"/>
      <c r="KNC1" s="9"/>
      <c r="KND1" s="9"/>
      <c r="KNE1" s="9"/>
      <c r="KNF1" s="9"/>
      <c r="KNG1" s="9"/>
      <c r="KNH1" s="9"/>
      <c r="KNI1" s="9"/>
      <c r="KNJ1" s="9"/>
      <c r="KNK1" s="9"/>
      <c r="KNL1" s="9"/>
      <c r="KNM1" s="9"/>
      <c r="KNN1" s="9"/>
      <c r="KNO1" s="9"/>
      <c r="KNP1" s="9"/>
      <c r="KNQ1" s="9"/>
      <c r="KNR1" s="9"/>
      <c r="KNS1" s="9"/>
      <c r="KNT1" s="9"/>
      <c r="KNU1" s="9"/>
      <c r="KNV1" s="9"/>
      <c r="KNW1" s="9"/>
      <c r="KNX1" s="9"/>
      <c r="KNY1" s="9"/>
      <c r="KNZ1" s="9"/>
      <c r="KOA1" s="9"/>
      <c r="KOB1" s="9"/>
      <c r="KOC1" s="9"/>
      <c r="KOD1" s="9"/>
      <c r="KOE1" s="9"/>
      <c r="KOF1" s="9"/>
      <c r="KOG1" s="9"/>
      <c r="KOH1" s="9"/>
      <c r="KOI1" s="9"/>
      <c r="KOJ1" s="9"/>
      <c r="KOK1" s="9"/>
      <c r="KOL1" s="9"/>
      <c r="KOM1" s="9"/>
      <c r="KON1" s="9"/>
      <c r="KOO1" s="9"/>
      <c r="KOP1" s="9"/>
      <c r="KOQ1" s="9"/>
      <c r="KOR1" s="9"/>
      <c r="KOS1" s="9"/>
      <c r="KOT1" s="9"/>
      <c r="KOU1" s="9"/>
      <c r="KOV1" s="9"/>
      <c r="KOW1" s="9"/>
      <c r="KOX1" s="9"/>
      <c r="KOY1" s="9"/>
      <c r="KOZ1" s="9"/>
      <c r="KPA1" s="9"/>
      <c r="KPB1" s="9"/>
      <c r="KPC1" s="9"/>
      <c r="KPD1" s="9"/>
      <c r="KPE1" s="9"/>
      <c r="KPF1" s="9"/>
      <c r="KPG1" s="9"/>
      <c r="KPH1" s="9"/>
      <c r="KPI1" s="9"/>
      <c r="KPJ1" s="9"/>
      <c r="KPK1" s="9"/>
      <c r="KPL1" s="9"/>
      <c r="KPM1" s="9"/>
      <c r="KPN1" s="9"/>
      <c r="KPO1" s="9"/>
      <c r="KPP1" s="9"/>
      <c r="KPQ1" s="9"/>
      <c r="KPR1" s="9"/>
      <c r="KPS1" s="9"/>
      <c r="KPT1" s="9"/>
      <c r="KPU1" s="9"/>
      <c r="KPV1" s="9"/>
      <c r="KPW1" s="9"/>
      <c r="KPX1" s="9"/>
      <c r="KPY1" s="9"/>
      <c r="KPZ1" s="9"/>
      <c r="KQA1" s="9"/>
      <c r="KQB1" s="9"/>
      <c r="KQC1" s="9"/>
      <c r="KQD1" s="9"/>
      <c r="KQE1" s="9"/>
      <c r="KQF1" s="9"/>
      <c r="KQG1" s="9"/>
      <c r="KQH1" s="9"/>
      <c r="KQI1" s="9"/>
      <c r="KQJ1" s="9"/>
      <c r="KQK1" s="9"/>
      <c r="KQL1" s="9"/>
      <c r="KQM1" s="9"/>
      <c r="KQN1" s="9"/>
      <c r="KQO1" s="9"/>
      <c r="KQP1" s="9"/>
      <c r="KQQ1" s="9"/>
      <c r="KQR1" s="9"/>
      <c r="KQS1" s="9"/>
      <c r="KQT1" s="9"/>
      <c r="KQU1" s="9"/>
      <c r="KQV1" s="9"/>
      <c r="KQW1" s="9"/>
      <c r="KQX1" s="9"/>
      <c r="KQY1" s="9"/>
      <c r="KQZ1" s="9"/>
      <c r="KRA1" s="9"/>
      <c r="KRB1" s="9"/>
      <c r="KRC1" s="9"/>
      <c r="KRD1" s="9"/>
      <c r="KRE1" s="9"/>
      <c r="KRF1" s="9"/>
      <c r="KRG1" s="9"/>
      <c r="KRH1" s="9"/>
      <c r="KRI1" s="9"/>
      <c r="KRJ1" s="9"/>
      <c r="KRK1" s="9"/>
      <c r="KRL1" s="9"/>
      <c r="KRM1" s="9"/>
      <c r="KRN1" s="9"/>
      <c r="KRO1" s="9"/>
      <c r="KRP1" s="9"/>
      <c r="KRQ1" s="9"/>
      <c r="KRR1" s="9"/>
      <c r="KRS1" s="9"/>
      <c r="KRT1" s="9"/>
      <c r="KRU1" s="9"/>
      <c r="KRV1" s="9"/>
      <c r="KRW1" s="9"/>
      <c r="KRX1" s="9"/>
      <c r="KRY1" s="9"/>
      <c r="KRZ1" s="9"/>
      <c r="KSA1" s="9"/>
      <c r="KSB1" s="9"/>
      <c r="KSC1" s="9"/>
      <c r="KSD1" s="9"/>
      <c r="KSE1" s="9"/>
      <c r="KSF1" s="9"/>
      <c r="KSG1" s="9"/>
      <c r="KSH1" s="9"/>
      <c r="KSI1" s="9"/>
      <c r="KSJ1" s="9"/>
      <c r="KSK1" s="9"/>
      <c r="KSL1" s="9"/>
      <c r="KSM1" s="9"/>
      <c r="KSN1" s="9"/>
      <c r="KSO1" s="9"/>
      <c r="KSP1" s="9"/>
      <c r="KSQ1" s="9"/>
      <c r="KSR1" s="9"/>
      <c r="KSS1" s="9"/>
      <c r="KST1" s="9"/>
      <c r="KSU1" s="9"/>
      <c r="KSV1" s="9"/>
      <c r="KSW1" s="9"/>
      <c r="KSX1" s="9"/>
      <c r="KSY1" s="9"/>
      <c r="KSZ1" s="9"/>
      <c r="KTA1" s="9"/>
      <c r="KTB1" s="9"/>
      <c r="KTC1" s="9"/>
      <c r="KTD1" s="9"/>
      <c r="KTE1" s="9"/>
      <c r="KTF1" s="9"/>
      <c r="KTG1" s="9"/>
      <c r="KTH1" s="9"/>
      <c r="KTI1" s="9"/>
      <c r="KTJ1" s="9"/>
      <c r="KTK1" s="9"/>
      <c r="KTL1" s="9"/>
      <c r="KTM1" s="9"/>
      <c r="KTN1" s="9"/>
      <c r="KTO1" s="9"/>
      <c r="KTP1" s="9"/>
      <c r="KTQ1" s="9"/>
      <c r="KTR1" s="9"/>
      <c r="KTS1" s="9"/>
      <c r="KTT1" s="9"/>
      <c r="KTU1" s="9"/>
      <c r="KTV1" s="9"/>
      <c r="KTW1" s="9"/>
      <c r="KTX1" s="9"/>
      <c r="KTY1" s="9"/>
      <c r="KTZ1" s="9"/>
      <c r="KUA1" s="9"/>
      <c r="KUB1" s="9"/>
      <c r="KUC1" s="9"/>
      <c r="KUD1" s="9"/>
      <c r="KUE1" s="9"/>
      <c r="KUF1" s="9"/>
      <c r="KUG1" s="9"/>
      <c r="KUH1" s="9"/>
      <c r="KUI1" s="9"/>
      <c r="KUJ1" s="9"/>
      <c r="KUK1" s="9"/>
      <c r="KUL1" s="9"/>
      <c r="KUM1" s="9"/>
      <c r="KUN1" s="9"/>
      <c r="KUO1" s="9"/>
      <c r="KUP1" s="9"/>
      <c r="KUQ1" s="9"/>
      <c r="KUR1" s="9"/>
      <c r="KUS1" s="9"/>
      <c r="KUT1" s="9"/>
      <c r="KUU1" s="9"/>
      <c r="KUV1" s="9"/>
      <c r="KUW1" s="9"/>
      <c r="KUX1" s="9"/>
      <c r="KUY1" s="9"/>
      <c r="KUZ1" s="9"/>
      <c r="KVA1" s="9"/>
      <c r="KVB1" s="9"/>
      <c r="KVC1" s="9"/>
      <c r="KVD1" s="9"/>
      <c r="KVE1" s="9"/>
      <c r="KVF1" s="9"/>
      <c r="KVG1" s="9"/>
      <c r="KVH1" s="9"/>
      <c r="KVI1" s="9"/>
      <c r="KVJ1" s="9"/>
      <c r="KVK1" s="9"/>
      <c r="KVL1" s="9"/>
      <c r="KVM1" s="9"/>
      <c r="KVN1" s="9"/>
      <c r="KVO1" s="9"/>
      <c r="KVP1" s="9"/>
      <c r="KVQ1" s="9"/>
      <c r="KVR1" s="9"/>
      <c r="KVS1" s="9"/>
      <c r="KVT1" s="9"/>
      <c r="KVU1" s="9"/>
      <c r="KVV1" s="9"/>
      <c r="KVW1" s="9"/>
      <c r="KVX1" s="9"/>
      <c r="KVY1" s="9"/>
      <c r="KVZ1" s="9"/>
      <c r="KWA1" s="9"/>
      <c r="KWB1" s="9"/>
      <c r="KWC1" s="9"/>
      <c r="KWD1" s="9"/>
      <c r="KWE1" s="9"/>
      <c r="KWF1" s="9"/>
      <c r="KWG1" s="9"/>
      <c r="KWH1" s="9"/>
      <c r="KWI1" s="9"/>
      <c r="KWJ1" s="9"/>
      <c r="KWK1" s="9"/>
      <c r="KWL1" s="9"/>
      <c r="KWM1" s="9"/>
      <c r="KWN1" s="9"/>
      <c r="KWO1" s="9"/>
      <c r="KWP1" s="9"/>
      <c r="KWQ1" s="9"/>
      <c r="KWR1" s="9"/>
      <c r="KWS1" s="9"/>
      <c r="KWT1" s="9"/>
      <c r="KWU1" s="9"/>
      <c r="KWV1" s="9"/>
      <c r="KWW1" s="9"/>
      <c r="KWX1" s="9"/>
      <c r="KWY1" s="9"/>
      <c r="KWZ1" s="9"/>
      <c r="KXA1" s="9"/>
      <c r="KXB1" s="9"/>
      <c r="KXC1" s="9"/>
      <c r="KXD1" s="9"/>
      <c r="KXE1" s="9"/>
      <c r="KXF1" s="9"/>
      <c r="KXG1" s="9"/>
      <c r="KXH1" s="9"/>
      <c r="KXI1" s="9"/>
      <c r="KXJ1" s="9"/>
      <c r="KXK1" s="9"/>
      <c r="KXL1" s="9"/>
      <c r="KXM1" s="9"/>
      <c r="KXN1" s="9"/>
      <c r="KXO1" s="9"/>
      <c r="KXP1" s="9"/>
      <c r="KXQ1" s="9"/>
      <c r="KXR1" s="9"/>
      <c r="KXS1" s="9"/>
      <c r="KXT1" s="9"/>
      <c r="KXU1" s="9"/>
      <c r="KXV1" s="9"/>
      <c r="KXW1" s="9"/>
      <c r="KXX1" s="9"/>
      <c r="KXY1" s="9"/>
      <c r="KXZ1" s="9"/>
      <c r="KYA1" s="9"/>
      <c r="KYB1" s="9"/>
      <c r="KYC1" s="9"/>
      <c r="KYD1" s="9"/>
      <c r="KYE1" s="9"/>
      <c r="KYF1" s="9"/>
      <c r="KYG1" s="9"/>
      <c r="KYH1" s="9"/>
      <c r="KYI1" s="9"/>
      <c r="KYJ1" s="9"/>
      <c r="KYK1" s="9"/>
      <c r="KYL1" s="9"/>
      <c r="KYM1" s="9"/>
      <c r="KYN1" s="9"/>
      <c r="KYO1" s="9"/>
      <c r="KYP1" s="9"/>
      <c r="KYQ1" s="9"/>
      <c r="KYR1" s="9"/>
      <c r="KYS1" s="9"/>
      <c r="KYT1" s="9"/>
      <c r="KYU1" s="9"/>
      <c r="KYV1" s="9"/>
      <c r="KYW1" s="9"/>
      <c r="KYX1" s="9"/>
      <c r="KYY1" s="9"/>
      <c r="KYZ1" s="9"/>
      <c r="KZA1" s="9"/>
      <c r="KZB1" s="9"/>
      <c r="KZC1" s="9"/>
      <c r="KZD1" s="9"/>
      <c r="KZE1" s="9"/>
      <c r="KZF1" s="9"/>
      <c r="KZG1" s="9"/>
      <c r="KZH1" s="9"/>
      <c r="KZI1" s="9"/>
      <c r="KZJ1" s="9"/>
      <c r="KZK1" s="9"/>
      <c r="KZL1" s="9"/>
      <c r="KZM1" s="9"/>
      <c r="KZN1" s="9"/>
      <c r="KZO1" s="9"/>
      <c r="KZP1" s="9"/>
      <c r="KZQ1" s="9"/>
      <c r="KZR1" s="9"/>
      <c r="KZS1" s="9"/>
      <c r="KZT1" s="9"/>
      <c r="KZU1" s="9"/>
      <c r="KZV1" s="9"/>
      <c r="KZW1" s="9"/>
      <c r="KZX1" s="9"/>
      <c r="KZY1" s="9"/>
      <c r="KZZ1" s="9"/>
      <c r="LAA1" s="9"/>
      <c r="LAB1" s="9"/>
      <c r="LAC1" s="9"/>
      <c r="LAD1" s="9"/>
      <c r="LAE1" s="9"/>
      <c r="LAF1" s="9"/>
      <c r="LAG1" s="9"/>
      <c r="LAH1" s="9"/>
      <c r="LAI1" s="9"/>
      <c r="LAJ1" s="9"/>
      <c r="LAK1" s="9"/>
      <c r="LAL1" s="9"/>
      <c r="LAM1" s="9"/>
      <c r="LAN1" s="9"/>
      <c r="LAO1" s="9"/>
      <c r="LAP1" s="9"/>
      <c r="LAQ1" s="9"/>
      <c r="LAR1" s="9"/>
      <c r="LAS1" s="9"/>
      <c r="LAT1" s="9"/>
      <c r="LAU1" s="9"/>
      <c r="LAV1" s="9"/>
      <c r="LAW1" s="9"/>
      <c r="LAX1" s="9"/>
      <c r="LAY1" s="9"/>
      <c r="LAZ1" s="9"/>
      <c r="LBA1" s="9"/>
      <c r="LBB1" s="9"/>
      <c r="LBC1" s="9"/>
      <c r="LBD1" s="9"/>
      <c r="LBE1" s="9"/>
      <c r="LBF1" s="9"/>
      <c r="LBG1" s="9"/>
      <c r="LBH1" s="9"/>
      <c r="LBI1" s="9"/>
      <c r="LBJ1" s="9"/>
      <c r="LBK1" s="9"/>
      <c r="LBL1" s="9"/>
      <c r="LBM1" s="9"/>
      <c r="LBN1" s="9"/>
      <c r="LBO1" s="9"/>
      <c r="LBP1" s="9"/>
      <c r="LBQ1" s="9"/>
      <c r="LBR1" s="9"/>
      <c r="LBS1" s="9"/>
      <c r="LBT1" s="9"/>
      <c r="LBU1" s="9"/>
      <c r="LBV1" s="9"/>
      <c r="LBW1" s="9"/>
      <c r="LBX1" s="9"/>
      <c r="LBY1" s="9"/>
      <c r="LBZ1" s="9"/>
      <c r="LCA1" s="9"/>
      <c r="LCB1" s="9"/>
      <c r="LCC1" s="9"/>
      <c r="LCD1" s="9"/>
      <c r="LCE1" s="9"/>
      <c r="LCF1" s="9"/>
      <c r="LCG1" s="9"/>
      <c r="LCH1" s="9"/>
      <c r="LCI1" s="9"/>
      <c r="LCJ1" s="9"/>
      <c r="LCK1" s="9"/>
      <c r="LCL1" s="9"/>
      <c r="LCM1" s="9"/>
      <c r="LCN1" s="9"/>
      <c r="LCO1" s="9"/>
      <c r="LCP1" s="9"/>
      <c r="LCQ1" s="9"/>
      <c r="LCR1" s="9"/>
      <c r="LCS1" s="9"/>
      <c r="LCT1" s="9"/>
      <c r="LCU1" s="9"/>
      <c r="LCV1" s="9"/>
      <c r="LCW1" s="9"/>
      <c r="LCX1" s="9"/>
      <c r="LCY1" s="9"/>
      <c r="LCZ1" s="9"/>
      <c r="LDA1" s="9"/>
      <c r="LDB1" s="9"/>
      <c r="LDC1" s="9"/>
      <c r="LDD1" s="9"/>
      <c r="LDE1" s="9"/>
      <c r="LDF1" s="9"/>
      <c r="LDG1" s="9"/>
      <c r="LDH1" s="9"/>
      <c r="LDI1" s="9"/>
      <c r="LDJ1" s="9"/>
      <c r="LDK1" s="9"/>
      <c r="LDL1" s="9"/>
      <c r="LDM1" s="9"/>
      <c r="LDN1" s="9"/>
      <c r="LDO1" s="9"/>
      <c r="LDP1" s="9"/>
      <c r="LDQ1" s="9"/>
      <c r="LDR1" s="9"/>
      <c r="LDS1" s="9"/>
      <c r="LDT1" s="9"/>
      <c r="LDU1" s="9"/>
      <c r="LDV1" s="9"/>
      <c r="LDW1" s="9"/>
      <c r="LDX1" s="9"/>
      <c r="LDY1" s="9"/>
      <c r="LDZ1" s="9"/>
      <c r="LEA1" s="9"/>
      <c r="LEB1" s="9"/>
      <c r="LEC1" s="9"/>
      <c r="LED1" s="9"/>
      <c r="LEE1" s="9"/>
      <c r="LEF1" s="9"/>
      <c r="LEG1" s="9"/>
      <c r="LEH1" s="9"/>
      <c r="LEI1" s="9"/>
      <c r="LEJ1" s="9"/>
      <c r="LEK1" s="9"/>
      <c r="LEL1" s="9"/>
      <c r="LEM1" s="9"/>
      <c r="LEN1" s="9"/>
      <c r="LEO1" s="9"/>
      <c r="LEP1" s="9"/>
      <c r="LEQ1" s="9"/>
      <c r="LER1" s="9"/>
      <c r="LES1" s="9"/>
      <c r="LET1" s="9"/>
      <c r="LEU1" s="9"/>
      <c r="LEV1" s="9"/>
      <c r="LEW1" s="9"/>
      <c r="LEX1" s="9"/>
      <c r="LEY1" s="9"/>
      <c r="LEZ1" s="9"/>
      <c r="LFA1" s="9"/>
      <c r="LFB1" s="9"/>
      <c r="LFC1" s="9"/>
      <c r="LFD1" s="9"/>
      <c r="LFE1" s="9"/>
      <c r="LFF1" s="9"/>
      <c r="LFG1" s="9"/>
      <c r="LFH1" s="9"/>
      <c r="LFI1" s="9"/>
      <c r="LFJ1" s="9"/>
      <c r="LFK1" s="9"/>
      <c r="LFL1" s="9"/>
      <c r="LFM1" s="9"/>
      <c r="LFN1" s="9"/>
      <c r="LFO1" s="9"/>
      <c r="LFP1" s="9"/>
      <c r="LFQ1" s="9"/>
      <c r="LFR1" s="9"/>
      <c r="LFS1" s="9"/>
      <c r="LFT1" s="9"/>
      <c r="LFU1" s="9"/>
      <c r="LFV1" s="9"/>
      <c r="LFW1" s="9"/>
      <c r="LFX1" s="9"/>
      <c r="LFY1" s="9"/>
      <c r="LFZ1" s="9"/>
      <c r="LGA1" s="9"/>
      <c r="LGB1" s="9"/>
      <c r="LGC1" s="9"/>
      <c r="LGD1" s="9"/>
      <c r="LGE1" s="9"/>
      <c r="LGF1" s="9"/>
      <c r="LGG1" s="9"/>
      <c r="LGH1" s="9"/>
      <c r="LGI1" s="9"/>
      <c r="LGJ1" s="9"/>
      <c r="LGK1" s="9"/>
      <c r="LGL1" s="9"/>
      <c r="LGM1" s="9"/>
      <c r="LGN1" s="9"/>
      <c r="LGO1" s="9"/>
      <c r="LGP1" s="9"/>
      <c r="LGQ1" s="9"/>
      <c r="LGR1" s="9"/>
      <c r="LGS1" s="9"/>
      <c r="LGT1" s="9"/>
      <c r="LGU1" s="9"/>
      <c r="LGV1" s="9"/>
      <c r="LGW1" s="9"/>
      <c r="LGX1" s="9"/>
      <c r="LGY1" s="9"/>
      <c r="LGZ1" s="9"/>
      <c r="LHA1" s="9"/>
      <c r="LHB1" s="9"/>
      <c r="LHC1" s="9"/>
      <c r="LHD1" s="9"/>
      <c r="LHE1" s="9"/>
      <c r="LHF1" s="9"/>
      <c r="LHG1" s="9"/>
      <c r="LHH1" s="9"/>
      <c r="LHI1" s="9"/>
      <c r="LHJ1" s="9"/>
      <c r="LHK1" s="9"/>
      <c r="LHL1" s="9"/>
      <c r="LHM1" s="9"/>
      <c r="LHN1" s="9"/>
      <c r="LHO1" s="9"/>
      <c r="LHP1" s="9"/>
      <c r="LHQ1" s="9"/>
      <c r="LHR1" s="9"/>
      <c r="LHS1" s="9"/>
      <c r="LHT1" s="9"/>
      <c r="LHU1" s="9"/>
      <c r="LHV1" s="9"/>
      <c r="LHW1" s="9"/>
      <c r="LHX1" s="9"/>
      <c r="LHY1" s="9"/>
      <c r="LHZ1" s="9"/>
      <c r="LIA1" s="9"/>
      <c r="LIB1" s="9"/>
      <c r="LIC1" s="9"/>
      <c r="LID1" s="9"/>
      <c r="LIE1" s="9"/>
      <c r="LIF1" s="9"/>
      <c r="LIG1" s="9"/>
      <c r="LIH1" s="9"/>
      <c r="LII1" s="9"/>
      <c r="LIJ1" s="9"/>
      <c r="LIK1" s="9"/>
      <c r="LIL1" s="9"/>
      <c r="LIM1" s="9"/>
      <c r="LIN1" s="9"/>
      <c r="LIO1" s="9"/>
      <c r="LIP1" s="9"/>
      <c r="LIQ1" s="9"/>
      <c r="LIR1" s="9"/>
      <c r="LIS1" s="9"/>
      <c r="LIT1" s="9"/>
      <c r="LIU1" s="9"/>
      <c r="LIV1" s="9"/>
      <c r="LIW1" s="9"/>
      <c r="LIX1" s="9"/>
      <c r="LIY1" s="9"/>
      <c r="LIZ1" s="9"/>
      <c r="LJA1" s="9"/>
      <c r="LJB1" s="9"/>
      <c r="LJC1" s="9"/>
      <c r="LJD1" s="9"/>
      <c r="LJE1" s="9"/>
      <c r="LJF1" s="9"/>
      <c r="LJG1" s="9"/>
      <c r="LJH1" s="9"/>
      <c r="LJI1" s="9"/>
      <c r="LJJ1" s="9"/>
      <c r="LJK1" s="9"/>
      <c r="LJL1" s="9"/>
      <c r="LJM1" s="9"/>
      <c r="LJN1" s="9"/>
      <c r="LJO1" s="9"/>
      <c r="LJP1" s="9"/>
      <c r="LJQ1" s="9"/>
      <c r="LJR1" s="9"/>
      <c r="LJS1" s="9"/>
      <c r="LJT1" s="9"/>
      <c r="LJU1" s="9"/>
      <c r="LJV1" s="9"/>
      <c r="LJW1" s="9"/>
      <c r="LJX1" s="9"/>
      <c r="LJY1" s="9"/>
      <c r="LJZ1" s="9"/>
      <c r="LKA1" s="9"/>
      <c r="LKB1" s="9"/>
      <c r="LKC1" s="9"/>
      <c r="LKD1" s="9"/>
      <c r="LKE1" s="9"/>
      <c r="LKF1" s="9"/>
      <c r="LKG1" s="9"/>
      <c r="LKH1" s="9"/>
      <c r="LKI1" s="9"/>
      <c r="LKJ1" s="9"/>
      <c r="LKK1" s="9"/>
      <c r="LKL1" s="9"/>
      <c r="LKM1" s="9"/>
      <c r="LKN1" s="9"/>
      <c r="LKO1" s="9"/>
      <c r="LKP1" s="9"/>
      <c r="LKQ1" s="9"/>
      <c r="LKR1" s="9"/>
      <c r="LKS1" s="9"/>
      <c r="LKT1" s="9"/>
      <c r="LKU1" s="9"/>
      <c r="LKV1" s="9"/>
      <c r="LKW1" s="9"/>
      <c r="LKX1" s="9"/>
      <c r="LKY1" s="9"/>
      <c r="LKZ1" s="9"/>
      <c r="LLA1" s="9"/>
      <c r="LLB1" s="9"/>
      <c r="LLC1" s="9"/>
      <c r="LLD1" s="9"/>
      <c r="LLE1" s="9"/>
      <c r="LLF1" s="9"/>
      <c r="LLG1" s="9"/>
      <c r="LLH1" s="9"/>
      <c r="LLI1" s="9"/>
      <c r="LLJ1" s="9"/>
      <c r="LLK1" s="9"/>
      <c r="LLL1" s="9"/>
      <c r="LLM1" s="9"/>
      <c r="LLN1" s="9"/>
      <c r="LLO1" s="9"/>
      <c r="LLP1" s="9"/>
      <c r="LLQ1" s="9"/>
      <c r="LLR1" s="9"/>
      <c r="LLS1" s="9"/>
      <c r="LLT1" s="9"/>
      <c r="LLU1" s="9"/>
      <c r="LLV1" s="9"/>
      <c r="LLW1" s="9"/>
      <c r="LLX1" s="9"/>
      <c r="LLY1" s="9"/>
      <c r="LLZ1" s="9"/>
      <c r="LMA1" s="9"/>
      <c r="LMB1" s="9"/>
      <c r="LMC1" s="9"/>
      <c r="LMD1" s="9"/>
      <c r="LME1" s="9"/>
      <c r="LMF1" s="9"/>
      <c r="LMG1" s="9"/>
      <c r="LMH1" s="9"/>
      <c r="LMI1" s="9"/>
      <c r="LMJ1" s="9"/>
      <c r="LMK1" s="9"/>
      <c r="LML1" s="9"/>
      <c r="LMM1" s="9"/>
      <c r="LMN1" s="9"/>
      <c r="LMO1" s="9"/>
      <c r="LMP1" s="9"/>
      <c r="LMQ1" s="9"/>
      <c r="LMR1" s="9"/>
      <c r="LMS1" s="9"/>
      <c r="LMT1" s="9"/>
      <c r="LMU1" s="9"/>
      <c r="LMV1" s="9"/>
      <c r="LMW1" s="9"/>
      <c r="LMX1" s="9"/>
      <c r="LMY1" s="9"/>
      <c r="LMZ1" s="9"/>
      <c r="LNA1" s="9"/>
      <c r="LNB1" s="9"/>
      <c r="LNC1" s="9"/>
      <c r="LND1" s="9"/>
      <c r="LNE1" s="9"/>
      <c r="LNF1" s="9"/>
      <c r="LNG1" s="9"/>
      <c r="LNH1" s="9"/>
      <c r="LNI1" s="9"/>
      <c r="LNJ1" s="9"/>
      <c r="LNK1" s="9"/>
      <c r="LNL1" s="9"/>
      <c r="LNM1" s="9"/>
      <c r="LNN1" s="9"/>
      <c r="LNO1" s="9"/>
      <c r="LNP1" s="9"/>
      <c r="LNQ1" s="9"/>
      <c r="LNR1" s="9"/>
      <c r="LNS1" s="9"/>
      <c r="LNT1" s="9"/>
      <c r="LNU1" s="9"/>
      <c r="LNV1" s="9"/>
      <c r="LNW1" s="9"/>
      <c r="LNX1" s="9"/>
      <c r="LNY1" s="9"/>
      <c r="LNZ1" s="9"/>
      <c r="LOA1" s="9"/>
      <c r="LOB1" s="9"/>
      <c r="LOC1" s="9"/>
      <c r="LOD1" s="9"/>
      <c r="LOE1" s="9"/>
      <c r="LOF1" s="9"/>
      <c r="LOG1" s="9"/>
      <c r="LOH1" s="9"/>
      <c r="LOI1" s="9"/>
      <c r="LOJ1" s="9"/>
      <c r="LOK1" s="9"/>
      <c r="LOL1" s="9"/>
      <c r="LOM1" s="9"/>
      <c r="LON1" s="9"/>
      <c r="LOO1" s="9"/>
      <c r="LOP1" s="9"/>
      <c r="LOQ1" s="9"/>
      <c r="LOR1" s="9"/>
      <c r="LOS1" s="9"/>
      <c r="LOT1" s="9"/>
      <c r="LOU1" s="9"/>
      <c r="LOV1" s="9"/>
      <c r="LOW1" s="9"/>
      <c r="LOX1" s="9"/>
      <c r="LOY1" s="9"/>
      <c r="LOZ1" s="9"/>
      <c r="LPA1" s="9"/>
      <c r="LPB1" s="9"/>
      <c r="LPC1" s="9"/>
      <c r="LPD1" s="9"/>
      <c r="LPE1" s="9"/>
      <c r="LPF1" s="9"/>
      <c r="LPG1" s="9"/>
      <c r="LPH1" s="9"/>
      <c r="LPI1" s="9"/>
      <c r="LPJ1" s="9"/>
      <c r="LPK1" s="9"/>
      <c r="LPL1" s="9"/>
      <c r="LPM1" s="9"/>
      <c r="LPN1" s="9"/>
      <c r="LPO1" s="9"/>
      <c r="LPP1" s="9"/>
      <c r="LPQ1" s="9"/>
      <c r="LPR1" s="9"/>
      <c r="LPS1" s="9"/>
      <c r="LPT1" s="9"/>
      <c r="LPU1" s="9"/>
      <c r="LPV1" s="9"/>
      <c r="LPW1" s="9"/>
      <c r="LPX1" s="9"/>
      <c r="LPY1" s="9"/>
      <c r="LPZ1" s="9"/>
      <c r="LQA1" s="9"/>
      <c r="LQB1" s="9"/>
      <c r="LQC1" s="9"/>
      <c r="LQD1" s="9"/>
      <c r="LQE1" s="9"/>
      <c r="LQF1" s="9"/>
      <c r="LQG1" s="9"/>
      <c r="LQH1" s="9"/>
      <c r="LQI1" s="9"/>
      <c r="LQJ1" s="9"/>
      <c r="LQK1" s="9"/>
      <c r="LQL1" s="9"/>
      <c r="LQM1" s="9"/>
      <c r="LQN1" s="9"/>
      <c r="LQO1" s="9"/>
      <c r="LQP1" s="9"/>
      <c r="LQQ1" s="9"/>
      <c r="LQR1" s="9"/>
      <c r="LQS1" s="9"/>
      <c r="LQT1" s="9"/>
      <c r="LQU1" s="9"/>
      <c r="LQV1" s="9"/>
      <c r="LQW1" s="9"/>
      <c r="LQX1" s="9"/>
      <c r="LQY1" s="9"/>
      <c r="LQZ1" s="9"/>
      <c r="LRA1" s="9"/>
      <c r="LRB1" s="9"/>
      <c r="LRC1" s="9"/>
      <c r="LRD1" s="9"/>
      <c r="LRE1" s="9"/>
      <c r="LRF1" s="9"/>
      <c r="LRG1" s="9"/>
      <c r="LRH1" s="9"/>
      <c r="LRI1" s="9"/>
      <c r="LRJ1" s="9"/>
      <c r="LRK1" s="9"/>
      <c r="LRL1" s="9"/>
      <c r="LRM1" s="9"/>
      <c r="LRN1" s="9"/>
      <c r="LRO1" s="9"/>
      <c r="LRP1" s="9"/>
      <c r="LRQ1" s="9"/>
      <c r="LRR1" s="9"/>
      <c r="LRS1" s="9"/>
      <c r="LRT1" s="9"/>
      <c r="LRU1" s="9"/>
      <c r="LRV1" s="9"/>
      <c r="LRW1" s="9"/>
      <c r="LRX1" s="9"/>
      <c r="LRY1" s="9"/>
      <c r="LRZ1" s="9"/>
      <c r="LSA1" s="9"/>
      <c r="LSB1" s="9"/>
      <c r="LSC1" s="9"/>
      <c r="LSD1" s="9"/>
      <c r="LSE1" s="9"/>
      <c r="LSF1" s="9"/>
      <c r="LSG1" s="9"/>
      <c r="LSH1" s="9"/>
      <c r="LSI1" s="9"/>
      <c r="LSJ1" s="9"/>
      <c r="LSK1" s="9"/>
      <c r="LSL1" s="9"/>
      <c r="LSM1" s="9"/>
      <c r="LSN1" s="9"/>
      <c r="LSO1" s="9"/>
      <c r="LSP1" s="9"/>
      <c r="LSQ1" s="9"/>
      <c r="LSR1" s="9"/>
      <c r="LSS1" s="9"/>
      <c r="LST1" s="9"/>
      <c r="LSU1" s="9"/>
      <c r="LSV1" s="9"/>
      <c r="LSW1" s="9"/>
      <c r="LSX1" s="9"/>
      <c r="LSY1" s="9"/>
      <c r="LSZ1" s="9"/>
      <c r="LTA1" s="9"/>
      <c r="LTB1" s="9"/>
      <c r="LTC1" s="9"/>
      <c r="LTD1" s="9"/>
      <c r="LTE1" s="9"/>
      <c r="LTF1" s="9"/>
      <c r="LTG1" s="9"/>
      <c r="LTH1" s="9"/>
      <c r="LTI1" s="9"/>
      <c r="LTJ1" s="9"/>
      <c r="LTK1" s="9"/>
      <c r="LTL1" s="9"/>
      <c r="LTM1" s="9"/>
      <c r="LTN1" s="9"/>
      <c r="LTO1" s="9"/>
      <c r="LTP1" s="9"/>
      <c r="LTQ1" s="9"/>
      <c r="LTR1" s="9"/>
      <c r="LTS1" s="9"/>
      <c r="LTT1" s="9"/>
      <c r="LTU1" s="9"/>
      <c r="LTV1" s="9"/>
      <c r="LTW1" s="9"/>
      <c r="LTX1" s="9"/>
      <c r="LTY1" s="9"/>
      <c r="LTZ1" s="9"/>
      <c r="LUA1" s="9"/>
      <c r="LUB1" s="9"/>
      <c r="LUC1" s="9"/>
      <c r="LUD1" s="9"/>
      <c r="LUE1" s="9"/>
      <c r="LUF1" s="9"/>
      <c r="LUG1" s="9"/>
      <c r="LUH1" s="9"/>
      <c r="LUI1" s="9"/>
      <c r="LUJ1" s="9"/>
      <c r="LUK1" s="9"/>
      <c r="LUL1" s="9"/>
      <c r="LUM1" s="9"/>
      <c r="LUN1" s="9"/>
      <c r="LUO1" s="9"/>
      <c r="LUP1" s="9"/>
      <c r="LUQ1" s="9"/>
      <c r="LUR1" s="9"/>
      <c r="LUS1" s="9"/>
      <c r="LUT1" s="9"/>
      <c r="LUU1" s="9"/>
      <c r="LUV1" s="9"/>
      <c r="LUW1" s="9"/>
      <c r="LUX1" s="9"/>
      <c r="LUY1" s="9"/>
      <c r="LUZ1" s="9"/>
      <c r="LVA1" s="9"/>
      <c r="LVB1" s="9"/>
      <c r="LVC1" s="9"/>
      <c r="LVD1" s="9"/>
      <c r="LVE1" s="9"/>
      <c r="LVF1" s="9"/>
      <c r="LVG1" s="9"/>
      <c r="LVH1" s="9"/>
      <c r="LVI1" s="9"/>
      <c r="LVJ1" s="9"/>
      <c r="LVK1" s="9"/>
      <c r="LVL1" s="9"/>
      <c r="LVM1" s="9"/>
      <c r="LVN1" s="9"/>
      <c r="LVO1" s="9"/>
      <c r="LVP1" s="9"/>
      <c r="LVQ1" s="9"/>
      <c r="LVR1" s="9"/>
      <c r="LVS1" s="9"/>
      <c r="LVT1" s="9"/>
      <c r="LVU1" s="9"/>
      <c r="LVV1" s="9"/>
      <c r="LVW1" s="9"/>
      <c r="LVX1" s="9"/>
      <c r="LVY1" s="9"/>
      <c r="LVZ1" s="9"/>
      <c r="LWA1" s="9"/>
      <c r="LWB1" s="9"/>
      <c r="LWC1" s="9"/>
      <c r="LWD1" s="9"/>
      <c r="LWE1" s="9"/>
      <c r="LWF1" s="9"/>
      <c r="LWG1" s="9"/>
      <c r="LWH1" s="9"/>
      <c r="LWI1" s="9"/>
      <c r="LWJ1" s="9"/>
      <c r="LWK1" s="9"/>
      <c r="LWL1" s="9"/>
      <c r="LWM1" s="9"/>
      <c r="LWN1" s="9"/>
      <c r="LWO1" s="9"/>
      <c r="LWP1" s="9"/>
      <c r="LWQ1" s="9"/>
      <c r="LWR1" s="9"/>
      <c r="LWS1" s="9"/>
      <c r="LWT1" s="9"/>
      <c r="LWU1" s="9"/>
      <c r="LWV1" s="9"/>
      <c r="LWW1" s="9"/>
      <c r="LWX1" s="9"/>
      <c r="LWY1" s="9"/>
      <c r="LWZ1" s="9"/>
      <c r="LXA1" s="9"/>
      <c r="LXB1" s="9"/>
      <c r="LXC1" s="9"/>
      <c r="LXD1" s="9"/>
      <c r="LXE1" s="9"/>
      <c r="LXF1" s="9"/>
      <c r="LXG1" s="9"/>
      <c r="LXH1" s="9"/>
      <c r="LXI1" s="9"/>
      <c r="LXJ1" s="9"/>
      <c r="LXK1" s="9"/>
      <c r="LXL1" s="9"/>
      <c r="LXM1" s="9"/>
      <c r="LXN1" s="9"/>
      <c r="LXO1" s="9"/>
      <c r="LXP1" s="9"/>
      <c r="LXQ1" s="9"/>
      <c r="LXR1" s="9"/>
      <c r="LXS1" s="9"/>
      <c r="LXT1" s="9"/>
      <c r="LXU1" s="9"/>
      <c r="LXV1" s="9"/>
      <c r="LXW1" s="9"/>
      <c r="LXX1" s="9"/>
      <c r="LXY1" s="9"/>
      <c r="LXZ1" s="9"/>
      <c r="LYA1" s="9"/>
      <c r="LYB1" s="9"/>
      <c r="LYC1" s="9"/>
      <c r="LYD1" s="9"/>
      <c r="LYE1" s="9"/>
      <c r="LYF1" s="9"/>
      <c r="LYG1" s="9"/>
      <c r="LYH1" s="9"/>
      <c r="LYI1" s="9"/>
      <c r="LYJ1" s="9"/>
      <c r="LYK1" s="9"/>
      <c r="LYL1" s="9"/>
      <c r="LYM1" s="9"/>
      <c r="LYN1" s="9"/>
      <c r="LYO1" s="9"/>
      <c r="LYP1" s="9"/>
      <c r="LYQ1" s="9"/>
      <c r="LYR1" s="9"/>
      <c r="LYS1" s="9"/>
      <c r="LYT1" s="9"/>
      <c r="LYU1" s="9"/>
      <c r="LYV1" s="9"/>
      <c r="LYW1" s="9"/>
      <c r="LYX1" s="9"/>
      <c r="LYY1" s="9"/>
      <c r="LYZ1" s="9"/>
      <c r="LZA1" s="9"/>
      <c r="LZB1" s="9"/>
      <c r="LZC1" s="9"/>
      <c r="LZD1" s="9"/>
      <c r="LZE1" s="9"/>
      <c r="LZF1" s="9"/>
      <c r="LZG1" s="9"/>
      <c r="LZH1" s="9"/>
      <c r="LZI1" s="9"/>
      <c r="LZJ1" s="9"/>
      <c r="LZK1" s="9"/>
      <c r="LZL1" s="9"/>
      <c r="LZM1" s="9"/>
      <c r="LZN1" s="9"/>
      <c r="LZO1" s="9"/>
      <c r="LZP1" s="9"/>
      <c r="LZQ1" s="9"/>
      <c r="LZR1" s="9"/>
      <c r="LZS1" s="9"/>
      <c r="LZT1" s="9"/>
      <c r="LZU1" s="9"/>
      <c r="LZV1" s="9"/>
      <c r="LZW1" s="9"/>
      <c r="LZX1" s="9"/>
      <c r="LZY1" s="9"/>
      <c r="LZZ1" s="9"/>
      <c r="MAA1" s="9"/>
      <c r="MAB1" s="9"/>
      <c r="MAC1" s="9"/>
      <c r="MAD1" s="9"/>
      <c r="MAE1" s="9"/>
      <c r="MAF1" s="9"/>
      <c r="MAG1" s="9"/>
      <c r="MAH1" s="9"/>
      <c r="MAI1" s="9"/>
      <c r="MAJ1" s="9"/>
      <c r="MAK1" s="9"/>
      <c r="MAL1" s="9"/>
      <c r="MAM1" s="9"/>
      <c r="MAN1" s="9"/>
      <c r="MAO1" s="9"/>
      <c r="MAP1" s="9"/>
      <c r="MAQ1" s="9"/>
      <c r="MAR1" s="9"/>
      <c r="MAS1" s="9"/>
      <c r="MAT1" s="9"/>
      <c r="MAU1" s="9"/>
      <c r="MAV1" s="9"/>
      <c r="MAW1" s="9"/>
      <c r="MAX1" s="9"/>
      <c r="MAY1" s="9"/>
      <c r="MAZ1" s="9"/>
      <c r="MBA1" s="9"/>
      <c r="MBB1" s="9"/>
      <c r="MBC1" s="9"/>
      <c r="MBD1" s="9"/>
      <c r="MBE1" s="9"/>
      <c r="MBF1" s="9"/>
      <c r="MBG1" s="9"/>
      <c r="MBH1" s="9"/>
      <c r="MBI1" s="9"/>
      <c r="MBJ1" s="9"/>
      <c r="MBK1" s="9"/>
      <c r="MBL1" s="9"/>
      <c r="MBM1" s="9"/>
      <c r="MBN1" s="9"/>
      <c r="MBO1" s="9"/>
      <c r="MBP1" s="9"/>
      <c r="MBQ1" s="9"/>
      <c r="MBR1" s="9"/>
      <c r="MBS1" s="9"/>
      <c r="MBT1" s="9"/>
      <c r="MBU1" s="9"/>
      <c r="MBV1" s="9"/>
      <c r="MBW1" s="9"/>
      <c r="MBX1" s="9"/>
      <c r="MBY1" s="9"/>
      <c r="MBZ1" s="9"/>
      <c r="MCA1" s="9"/>
      <c r="MCB1" s="9"/>
      <c r="MCC1" s="9"/>
      <c r="MCD1" s="9"/>
      <c r="MCE1" s="9"/>
      <c r="MCF1" s="9"/>
      <c r="MCG1" s="9"/>
      <c r="MCH1" s="9"/>
      <c r="MCI1" s="9"/>
      <c r="MCJ1" s="9"/>
      <c r="MCK1" s="9"/>
      <c r="MCL1" s="9"/>
      <c r="MCM1" s="9"/>
      <c r="MCN1" s="9"/>
      <c r="MCO1" s="9"/>
      <c r="MCP1" s="9"/>
      <c r="MCQ1" s="9"/>
      <c r="MCR1" s="9"/>
      <c r="MCS1" s="9"/>
      <c r="MCT1" s="9"/>
      <c r="MCU1" s="9"/>
      <c r="MCV1" s="9"/>
      <c r="MCW1" s="9"/>
      <c r="MCX1" s="9"/>
      <c r="MCY1" s="9"/>
      <c r="MCZ1" s="9"/>
      <c r="MDA1" s="9"/>
      <c r="MDB1" s="9"/>
      <c r="MDC1" s="9"/>
      <c r="MDD1" s="9"/>
      <c r="MDE1" s="9"/>
      <c r="MDF1" s="9"/>
      <c r="MDG1" s="9"/>
      <c r="MDH1" s="9"/>
      <c r="MDI1" s="9"/>
      <c r="MDJ1" s="9"/>
      <c r="MDK1" s="9"/>
      <c r="MDL1" s="9"/>
      <c r="MDM1" s="9"/>
      <c r="MDN1" s="9"/>
      <c r="MDO1" s="9"/>
      <c r="MDP1" s="9"/>
      <c r="MDQ1" s="9"/>
      <c r="MDR1" s="9"/>
      <c r="MDS1" s="9"/>
      <c r="MDT1" s="9"/>
      <c r="MDU1" s="9"/>
      <c r="MDV1" s="9"/>
      <c r="MDW1" s="9"/>
      <c r="MDX1" s="9"/>
      <c r="MDY1" s="9"/>
      <c r="MDZ1" s="9"/>
      <c r="MEA1" s="9"/>
      <c r="MEB1" s="9"/>
      <c r="MEC1" s="9"/>
      <c r="MED1" s="9"/>
      <c r="MEE1" s="9"/>
      <c r="MEF1" s="9"/>
      <c r="MEG1" s="9"/>
      <c r="MEH1" s="9"/>
      <c r="MEI1" s="9"/>
      <c r="MEJ1" s="9"/>
      <c r="MEK1" s="9"/>
      <c r="MEL1" s="9"/>
      <c r="MEM1" s="9"/>
      <c r="MEN1" s="9"/>
      <c r="MEO1" s="9"/>
      <c r="MEP1" s="9"/>
      <c r="MEQ1" s="9"/>
      <c r="MER1" s="9"/>
      <c r="MES1" s="9"/>
      <c r="MET1" s="9"/>
      <c r="MEU1" s="9"/>
      <c r="MEV1" s="9"/>
      <c r="MEW1" s="9"/>
      <c r="MEX1" s="9"/>
      <c r="MEY1" s="9"/>
      <c r="MEZ1" s="9"/>
      <c r="MFA1" s="9"/>
      <c r="MFB1" s="9"/>
      <c r="MFC1" s="9"/>
      <c r="MFD1" s="9"/>
      <c r="MFE1" s="9"/>
      <c r="MFF1" s="9"/>
      <c r="MFG1" s="9"/>
      <c r="MFH1" s="9"/>
      <c r="MFI1" s="9"/>
      <c r="MFJ1" s="9"/>
      <c r="MFK1" s="9"/>
      <c r="MFL1" s="9"/>
      <c r="MFM1" s="9"/>
      <c r="MFN1" s="9"/>
      <c r="MFO1" s="9"/>
      <c r="MFP1" s="9"/>
      <c r="MFQ1" s="9"/>
      <c r="MFR1" s="9"/>
      <c r="MFS1" s="9"/>
      <c r="MFT1" s="9"/>
      <c r="MFU1" s="9"/>
      <c r="MFV1" s="9"/>
      <c r="MFW1" s="9"/>
      <c r="MFX1" s="9"/>
      <c r="MFY1" s="9"/>
      <c r="MFZ1" s="9"/>
      <c r="MGA1" s="9"/>
      <c r="MGB1" s="9"/>
      <c r="MGC1" s="9"/>
      <c r="MGD1" s="9"/>
      <c r="MGE1" s="9"/>
      <c r="MGF1" s="9"/>
      <c r="MGG1" s="9"/>
      <c r="MGH1" s="9"/>
      <c r="MGI1" s="9"/>
      <c r="MGJ1" s="9"/>
      <c r="MGK1" s="9"/>
      <c r="MGL1" s="9"/>
      <c r="MGM1" s="9"/>
      <c r="MGN1" s="9"/>
      <c r="MGO1" s="9"/>
      <c r="MGP1" s="9"/>
      <c r="MGQ1" s="9"/>
      <c r="MGR1" s="9"/>
      <c r="MGS1" s="9"/>
      <c r="MGT1" s="9"/>
      <c r="MGU1" s="9"/>
      <c r="MGV1" s="9"/>
      <c r="MGW1" s="9"/>
      <c r="MGX1" s="9"/>
      <c r="MGY1" s="9"/>
      <c r="MGZ1" s="9"/>
      <c r="MHA1" s="9"/>
      <c r="MHB1" s="9"/>
      <c r="MHC1" s="9"/>
      <c r="MHD1" s="9"/>
      <c r="MHE1" s="9"/>
      <c r="MHF1" s="9"/>
      <c r="MHG1" s="9"/>
      <c r="MHH1" s="9"/>
      <c r="MHI1" s="9"/>
      <c r="MHJ1" s="9"/>
      <c r="MHK1" s="9"/>
      <c r="MHL1" s="9"/>
      <c r="MHM1" s="9"/>
      <c r="MHN1" s="9"/>
      <c r="MHO1" s="9"/>
      <c r="MHP1" s="9"/>
      <c r="MHQ1" s="9"/>
      <c r="MHR1" s="9"/>
      <c r="MHS1" s="9"/>
      <c r="MHT1" s="9"/>
      <c r="MHU1" s="9"/>
      <c r="MHV1" s="9"/>
      <c r="MHW1" s="9"/>
      <c r="MHX1" s="9"/>
      <c r="MHY1" s="9"/>
      <c r="MHZ1" s="9"/>
      <c r="MIA1" s="9"/>
      <c r="MIB1" s="9"/>
      <c r="MIC1" s="9"/>
      <c r="MID1" s="9"/>
      <c r="MIE1" s="9"/>
      <c r="MIF1" s="9"/>
      <c r="MIG1" s="9"/>
      <c r="MIH1" s="9"/>
      <c r="MII1" s="9"/>
      <c r="MIJ1" s="9"/>
      <c r="MIK1" s="9"/>
      <c r="MIL1" s="9"/>
      <c r="MIM1" s="9"/>
      <c r="MIN1" s="9"/>
      <c r="MIO1" s="9"/>
      <c r="MIP1" s="9"/>
      <c r="MIQ1" s="9"/>
      <c r="MIR1" s="9"/>
      <c r="MIS1" s="9"/>
      <c r="MIT1" s="9"/>
      <c r="MIU1" s="9"/>
      <c r="MIV1" s="9"/>
      <c r="MIW1" s="9"/>
      <c r="MIX1" s="9"/>
      <c r="MIY1" s="9"/>
      <c r="MIZ1" s="9"/>
      <c r="MJA1" s="9"/>
      <c r="MJB1" s="9"/>
      <c r="MJC1" s="9"/>
      <c r="MJD1" s="9"/>
      <c r="MJE1" s="9"/>
      <c r="MJF1" s="9"/>
      <c r="MJG1" s="9"/>
      <c r="MJH1" s="9"/>
      <c r="MJI1" s="9"/>
      <c r="MJJ1" s="9"/>
      <c r="MJK1" s="9"/>
      <c r="MJL1" s="9"/>
      <c r="MJM1" s="9"/>
      <c r="MJN1" s="9"/>
      <c r="MJO1" s="9"/>
      <c r="MJP1" s="9"/>
      <c r="MJQ1" s="9"/>
      <c r="MJR1" s="9"/>
      <c r="MJS1" s="9"/>
      <c r="MJT1" s="9"/>
      <c r="MJU1" s="9"/>
      <c r="MJV1" s="9"/>
      <c r="MJW1" s="9"/>
      <c r="MJX1" s="9"/>
      <c r="MJY1" s="9"/>
      <c r="MJZ1" s="9"/>
      <c r="MKA1" s="9"/>
      <c r="MKB1" s="9"/>
      <c r="MKC1" s="9"/>
      <c r="MKD1" s="9"/>
      <c r="MKE1" s="9"/>
      <c r="MKF1" s="9"/>
      <c r="MKG1" s="9"/>
      <c r="MKH1" s="9"/>
      <c r="MKI1" s="9"/>
      <c r="MKJ1" s="9"/>
      <c r="MKK1" s="9"/>
      <c r="MKL1" s="9"/>
      <c r="MKM1" s="9"/>
      <c r="MKN1" s="9"/>
      <c r="MKO1" s="9"/>
      <c r="MKP1" s="9"/>
      <c r="MKQ1" s="9"/>
      <c r="MKR1" s="9"/>
      <c r="MKS1" s="9"/>
      <c r="MKT1" s="9"/>
      <c r="MKU1" s="9"/>
      <c r="MKV1" s="9"/>
      <c r="MKW1" s="9"/>
      <c r="MKX1" s="9"/>
      <c r="MKY1" s="9"/>
      <c r="MKZ1" s="9"/>
      <c r="MLA1" s="9"/>
      <c r="MLB1" s="9"/>
      <c r="MLC1" s="9"/>
      <c r="MLD1" s="9"/>
      <c r="MLE1" s="9"/>
      <c r="MLF1" s="9"/>
      <c r="MLG1" s="9"/>
      <c r="MLH1" s="9"/>
      <c r="MLI1" s="9"/>
      <c r="MLJ1" s="9"/>
      <c r="MLK1" s="9"/>
      <c r="MLL1" s="9"/>
      <c r="MLM1" s="9"/>
      <c r="MLN1" s="9"/>
      <c r="MLO1" s="9"/>
      <c r="MLP1" s="9"/>
      <c r="MLQ1" s="9"/>
      <c r="MLR1" s="9"/>
      <c r="MLS1" s="9"/>
      <c r="MLT1" s="9"/>
      <c r="MLU1" s="9"/>
      <c r="MLV1" s="9"/>
      <c r="MLW1" s="9"/>
      <c r="MLX1" s="9"/>
      <c r="MLY1" s="9"/>
      <c r="MLZ1" s="9"/>
      <c r="MMA1" s="9"/>
      <c r="MMB1" s="9"/>
      <c r="MMC1" s="9"/>
      <c r="MMD1" s="9"/>
      <c r="MME1" s="9"/>
      <c r="MMF1" s="9"/>
      <c r="MMG1" s="9"/>
      <c r="MMH1" s="9"/>
      <c r="MMI1" s="9"/>
      <c r="MMJ1" s="9"/>
      <c r="MMK1" s="9"/>
      <c r="MML1" s="9"/>
      <c r="MMM1" s="9"/>
      <c r="MMN1" s="9"/>
      <c r="MMO1" s="9"/>
      <c r="MMP1" s="9"/>
      <c r="MMQ1" s="9"/>
      <c r="MMR1" s="9"/>
      <c r="MMS1" s="9"/>
      <c r="MMT1" s="9"/>
      <c r="MMU1" s="9"/>
      <c r="MMV1" s="9"/>
      <c r="MMW1" s="9"/>
      <c r="MMX1" s="9"/>
      <c r="MMY1" s="9"/>
      <c r="MMZ1" s="9"/>
      <c r="MNA1" s="9"/>
      <c r="MNB1" s="9"/>
      <c r="MNC1" s="9"/>
      <c r="MND1" s="9"/>
      <c r="MNE1" s="9"/>
      <c r="MNF1" s="9"/>
      <c r="MNG1" s="9"/>
      <c r="MNH1" s="9"/>
      <c r="MNI1" s="9"/>
      <c r="MNJ1" s="9"/>
      <c r="MNK1" s="9"/>
      <c r="MNL1" s="9"/>
      <c r="MNM1" s="9"/>
      <c r="MNN1" s="9"/>
      <c r="MNO1" s="9"/>
      <c r="MNP1" s="9"/>
      <c r="MNQ1" s="9"/>
      <c r="MNR1" s="9"/>
      <c r="MNS1" s="9"/>
      <c r="MNT1" s="9"/>
      <c r="MNU1" s="9"/>
      <c r="MNV1" s="9"/>
      <c r="MNW1" s="9"/>
      <c r="MNX1" s="9"/>
      <c r="MNY1" s="9"/>
      <c r="MNZ1" s="9"/>
      <c r="MOA1" s="9"/>
      <c r="MOB1" s="9"/>
      <c r="MOC1" s="9"/>
      <c r="MOD1" s="9"/>
      <c r="MOE1" s="9"/>
      <c r="MOF1" s="9"/>
      <c r="MOG1" s="9"/>
      <c r="MOH1" s="9"/>
      <c r="MOI1" s="9"/>
      <c r="MOJ1" s="9"/>
      <c r="MOK1" s="9"/>
      <c r="MOL1" s="9"/>
      <c r="MOM1" s="9"/>
      <c r="MON1" s="9"/>
      <c r="MOO1" s="9"/>
      <c r="MOP1" s="9"/>
      <c r="MOQ1" s="9"/>
      <c r="MOR1" s="9"/>
      <c r="MOS1" s="9"/>
      <c r="MOT1" s="9"/>
      <c r="MOU1" s="9"/>
      <c r="MOV1" s="9"/>
      <c r="MOW1" s="9"/>
      <c r="MOX1" s="9"/>
      <c r="MOY1" s="9"/>
      <c r="MOZ1" s="9"/>
      <c r="MPA1" s="9"/>
      <c r="MPB1" s="9"/>
      <c r="MPC1" s="9"/>
      <c r="MPD1" s="9"/>
      <c r="MPE1" s="9"/>
      <c r="MPF1" s="9"/>
      <c r="MPG1" s="9"/>
      <c r="MPH1" s="9"/>
      <c r="MPI1" s="9"/>
      <c r="MPJ1" s="9"/>
      <c r="MPK1" s="9"/>
      <c r="MPL1" s="9"/>
      <c r="MPM1" s="9"/>
      <c r="MPN1" s="9"/>
      <c r="MPO1" s="9"/>
      <c r="MPP1" s="9"/>
      <c r="MPQ1" s="9"/>
      <c r="MPR1" s="9"/>
      <c r="MPS1" s="9"/>
      <c r="MPT1" s="9"/>
      <c r="MPU1" s="9"/>
      <c r="MPV1" s="9"/>
      <c r="MPW1" s="9"/>
      <c r="MPX1" s="9"/>
      <c r="MPY1" s="9"/>
      <c r="MPZ1" s="9"/>
      <c r="MQA1" s="9"/>
      <c r="MQB1" s="9"/>
      <c r="MQC1" s="9"/>
      <c r="MQD1" s="9"/>
      <c r="MQE1" s="9"/>
      <c r="MQF1" s="9"/>
      <c r="MQG1" s="9"/>
      <c r="MQH1" s="9"/>
      <c r="MQI1" s="9"/>
      <c r="MQJ1" s="9"/>
      <c r="MQK1" s="9"/>
      <c r="MQL1" s="9"/>
      <c r="MQM1" s="9"/>
      <c r="MQN1" s="9"/>
      <c r="MQO1" s="9"/>
      <c r="MQP1" s="9"/>
      <c r="MQQ1" s="9"/>
      <c r="MQR1" s="9"/>
      <c r="MQS1" s="9"/>
      <c r="MQT1" s="9"/>
      <c r="MQU1" s="9"/>
      <c r="MQV1" s="9"/>
      <c r="MQW1" s="9"/>
      <c r="MQX1" s="9"/>
      <c r="MQY1" s="9"/>
      <c r="MQZ1" s="9"/>
      <c r="MRA1" s="9"/>
      <c r="MRB1" s="9"/>
      <c r="MRC1" s="9"/>
      <c r="MRD1" s="9"/>
      <c r="MRE1" s="9"/>
      <c r="MRF1" s="9"/>
      <c r="MRG1" s="9"/>
      <c r="MRH1" s="9"/>
      <c r="MRI1" s="9"/>
      <c r="MRJ1" s="9"/>
      <c r="MRK1" s="9"/>
      <c r="MRL1" s="9"/>
      <c r="MRM1" s="9"/>
      <c r="MRN1" s="9"/>
      <c r="MRO1" s="9"/>
      <c r="MRP1" s="9"/>
      <c r="MRQ1" s="9"/>
      <c r="MRR1" s="9"/>
      <c r="MRS1" s="9"/>
      <c r="MRT1" s="9"/>
      <c r="MRU1" s="9"/>
      <c r="MRV1" s="9"/>
      <c r="MRW1" s="9"/>
      <c r="MRX1" s="9"/>
      <c r="MRY1" s="9"/>
      <c r="MRZ1" s="9"/>
      <c r="MSA1" s="9"/>
      <c r="MSB1" s="9"/>
      <c r="MSC1" s="9"/>
      <c r="MSD1" s="9"/>
      <c r="MSE1" s="9"/>
      <c r="MSF1" s="9"/>
      <c r="MSG1" s="9"/>
      <c r="MSH1" s="9"/>
      <c r="MSI1" s="9"/>
      <c r="MSJ1" s="9"/>
      <c r="MSK1" s="9"/>
      <c r="MSL1" s="9"/>
      <c r="MSM1" s="9"/>
      <c r="MSN1" s="9"/>
      <c r="MSO1" s="9"/>
      <c r="MSP1" s="9"/>
      <c r="MSQ1" s="9"/>
      <c r="MSR1" s="9"/>
      <c r="MSS1" s="9"/>
      <c r="MST1" s="9"/>
      <c r="MSU1" s="9"/>
      <c r="MSV1" s="9"/>
      <c r="MSW1" s="9"/>
      <c r="MSX1" s="9"/>
      <c r="MSY1" s="9"/>
      <c r="MSZ1" s="9"/>
      <c r="MTA1" s="9"/>
      <c r="MTB1" s="9"/>
      <c r="MTC1" s="9"/>
      <c r="MTD1" s="9"/>
      <c r="MTE1" s="9"/>
      <c r="MTF1" s="9"/>
      <c r="MTG1" s="9"/>
      <c r="MTH1" s="9"/>
      <c r="MTI1" s="9"/>
      <c r="MTJ1" s="9"/>
      <c r="MTK1" s="9"/>
      <c r="MTL1" s="9"/>
      <c r="MTM1" s="9"/>
      <c r="MTN1" s="9"/>
      <c r="MTO1" s="9"/>
      <c r="MTP1" s="9"/>
      <c r="MTQ1" s="9"/>
      <c r="MTR1" s="9"/>
      <c r="MTS1" s="9"/>
      <c r="MTT1" s="9"/>
      <c r="MTU1" s="9"/>
      <c r="MTV1" s="9"/>
      <c r="MTW1" s="9"/>
      <c r="MTX1" s="9"/>
      <c r="MTY1" s="9"/>
      <c r="MTZ1" s="9"/>
      <c r="MUA1" s="9"/>
      <c r="MUB1" s="9"/>
      <c r="MUC1" s="9"/>
      <c r="MUD1" s="9"/>
      <c r="MUE1" s="9"/>
      <c r="MUF1" s="9"/>
      <c r="MUG1" s="9"/>
      <c r="MUH1" s="9"/>
      <c r="MUI1" s="9"/>
      <c r="MUJ1" s="9"/>
      <c r="MUK1" s="9"/>
      <c r="MUL1" s="9"/>
      <c r="MUM1" s="9"/>
      <c r="MUN1" s="9"/>
      <c r="MUO1" s="9"/>
      <c r="MUP1" s="9"/>
      <c r="MUQ1" s="9"/>
      <c r="MUR1" s="9"/>
      <c r="MUS1" s="9"/>
      <c r="MUT1" s="9"/>
      <c r="MUU1" s="9"/>
      <c r="MUV1" s="9"/>
      <c r="MUW1" s="9"/>
      <c r="MUX1" s="9"/>
      <c r="MUY1" s="9"/>
      <c r="MUZ1" s="9"/>
      <c r="MVA1" s="9"/>
      <c r="MVB1" s="9"/>
      <c r="MVC1" s="9"/>
      <c r="MVD1" s="9"/>
      <c r="MVE1" s="9"/>
      <c r="MVF1" s="9"/>
      <c r="MVG1" s="9"/>
      <c r="MVH1" s="9"/>
      <c r="MVI1" s="9"/>
      <c r="MVJ1" s="9"/>
      <c r="MVK1" s="9"/>
      <c r="MVL1" s="9"/>
      <c r="MVM1" s="9"/>
      <c r="MVN1" s="9"/>
      <c r="MVO1" s="9"/>
      <c r="MVP1" s="9"/>
      <c r="MVQ1" s="9"/>
      <c r="MVR1" s="9"/>
      <c r="MVS1" s="9"/>
      <c r="MVT1" s="9"/>
      <c r="MVU1" s="9"/>
      <c r="MVV1" s="9"/>
      <c r="MVW1" s="9"/>
      <c r="MVX1" s="9"/>
      <c r="MVY1" s="9"/>
      <c r="MVZ1" s="9"/>
      <c r="MWA1" s="9"/>
      <c r="MWB1" s="9"/>
      <c r="MWC1" s="9"/>
      <c r="MWD1" s="9"/>
      <c r="MWE1" s="9"/>
      <c r="MWF1" s="9"/>
      <c r="MWG1" s="9"/>
      <c r="MWH1" s="9"/>
      <c r="MWI1" s="9"/>
      <c r="MWJ1" s="9"/>
      <c r="MWK1" s="9"/>
      <c r="MWL1" s="9"/>
      <c r="MWM1" s="9"/>
      <c r="MWN1" s="9"/>
      <c r="MWO1" s="9"/>
      <c r="MWP1" s="9"/>
      <c r="MWQ1" s="9"/>
      <c r="MWR1" s="9"/>
      <c r="MWS1" s="9"/>
      <c r="MWT1" s="9"/>
      <c r="MWU1" s="9"/>
      <c r="MWV1" s="9"/>
      <c r="MWW1" s="9"/>
      <c r="MWX1" s="9"/>
      <c r="MWY1" s="9"/>
      <c r="MWZ1" s="9"/>
      <c r="MXA1" s="9"/>
      <c r="MXB1" s="9"/>
      <c r="MXC1" s="9"/>
      <c r="MXD1" s="9"/>
      <c r="MXE1" s="9"/>
      <c r="MXF1" s="9"/>
      <c r="MXG1" s="9"/>
      <c r="MXH1" s="9"/>
      <c r="MXI1" s="9"/>
      <c r="MXJ1" s="9"/>
      <c r="MXK1" s="9"/>
      <c r="MXL1" s="9"/>
      <c r="MXM1" s="9"/>
      <c r="MXN1" s="9"/>
      <c r="MXO1" s="9"/>
      <c r="MXP1" s="9"/>
      <c r="MXQ1" s="9"/>
      <c r="MXR1" s="9"/>
      <c r="MXS1" s="9"/>
      <c r="MXT1" s="9"/>
      <c r="MXU1" s="9"/>
      <c r="MXV1" s="9"/>
      <c r="MXW1" s="9"/>
      <c r="MXX1" s="9"/>
      <c r="MXY1" s="9"/>
      <c r="MXZ1" s="9"/>
      <c r="MYA1" s="9"/>
      <c r="MYB1" s="9"/>
      <c r="MYC1" s="9"/>
      <c r="MYD1" s="9"/>
      <c r="MYE1" s="9"/>
      <c r="MYF1" s="9"/>
      <c r="MYG1" s="9"/>
      <c r="MYH1" s="9"/>
      <c r="MYI1" s="9"/>
      <c r="MYJ1" s="9"/>
      <c r="MYK1" s="9"/>
      <c r="MYL1" s="9"/>
      <c r="MYM1" s="9"/>
      <c r="MYN1" s="9"/>
      <c r="MYO1" s="9"/>
      <c r="MYP1" s="9"/>
      <c r="MYQ1" s="9"/>
      <c r="MYR1" s="9"/>
      <c r="MYS1" s="9"/>
      <c r="MYT1" s="9"/>
      <c r="MYU1" s="9"/>
      <c r="MYV1" s="9"/>
      <c r="MYW1" s="9"/>
      <c r="MYX1" s="9"/>
      <c r="MYY1" s="9"/>
      <c r="MYZ1" s="9"/>
      <c r="MZA1" s="9"/>
      <c r="MZB1" s="9"/>
      <c r="MZC1" s="9"/>
      <c r="MZD1" s="9"/>
      <c r="MZE1" s="9"/>
      <c r="MZF1" s="9"/>
      <c r="MZG1" s="9"/>
      <c r="MZH1" s="9"/>
      <c r="MZI1" s="9"/>
      <c r="MZJ1" s="9"/>
      <c r="MZK1" s="9"/>
      <c r="MZL1" s="9"/>
      <c r="MZM1" s="9"/>
      <c r="MZN1" s="9"/>
      <c r="MZO1" s="9"/>
      <c r="MZP1" s="9"/>
      <c r="MZQ1" s="9"/>
      <c r="MZR1" s="9"/>
      <c r="MZS1" s="9"/>
      <c r="MZT1" s="9"/>
      <c r="MZU1" s="9"/>
      <c r="MZV1" s="9"/>
      <c r="MZW1" s="9"/>
      <c r="MZX1" s="9"/>
      <c r="MZY1" s="9"/>
      <c r="MZZ1" s="9"/>
      <c r="NAA1" s="9"/>
      <c r="NAB1" s="9"/>
      <c r="NAC1" s="9"/>
      <c r="NAD1" s="9"/>
      <c r="NAE1" s="9"/>
      <c r="NAF1" s="9"/>
      <c r="NAG1" s="9"/>
      <c r="NAH1" s="9"/>
      <c r="NAI1" s="9"/>
      <c r="NAJ1" s="9"/>
      <c r="NAK1" s="9"/>
      <c r="NAL1" s="9"/>
      <c r="NAM1" s="9"/>
      <c r="NAN1" s="9"/>
      <c r="NAO1" s="9"/>
      <c r="NAP1" s="9"/>
      <c r="NAQ1" s="9"/>
      <c r="NAR1" s="9"/>
      <c r="NAS1" s="9"/>
      <c r="NAT1" s="9"/>
      <c r="NAU1" s="9"/>
      <c r="NAV1" s="9"/>
      <c r="NAW1" s="9"/>
      <c r="NAX1" s="9"/>
      <c r="NAY1" s="9"/>
      <c r="NAZ1" s="9"/>
      <c r="NBA1" s="9"/>
      <c r="NBB1" s="9"/>
      <c r="NBC1" s="9"/>
      <c r="NBD1" s="9"/>
      <c r="NBE1" s="9"/>
      <c r="NBF1" s="9"/>
      <c r="NBG1" s="9"/>
      <c r="NBH1" s="9"/>
      <c r="NBI1" s="9"/>
      <c r="NBJ1" s="9"/>
      <c r="NBK1" s="9"/>
      <c r="NBL1" s="9"/>
      <c r="NBM1" s="9"/>
      <c r="NBN1" s="9"/>
      <c r="NBO1" s="9"/>
      <c r="NBP1" s="9"/>
      <c r="NBQ1" s="9"/>
      <c r="NBR1" s="9"/>
      <c r="NBS1" s="9"/>
      <c r="NBT1" s="9"/>
      <c r="NBU1" s="9"/>
      <c r="NBV1" s="9"/>
      <c r="NBW1" s="9"/>
      <c r="NBX1" s="9"/>
      <c r="NBY1" s="9"/>
      <c r="NBZ1" s="9"/>
      <c r="NCA1" s="9"/>
      <c r="NCB1" s="9"/>
      <c r="NCC1" s="9"/>
      <c r="NCD1" s="9"/>
      <c r="NCE1" s="9"/>
      <c r="NCF1" s="9"/>
      <c r="NCG1" s="9"/>
      <c r="NCH1" s="9"/>
      <c r="NCI1" s="9"/>
      <c r="NCJ1" s="9"/>
      <c r="NCK1" s="9"/>
      <c r="NCL1" s="9"/>
      <c r="NCM1" s="9"/>
      <c r="NCN1" s="9"/>
      <c r="NCO1" s="9"/>
      <c r="NCP1" s="9"/>
      <c r="NCQ1" s="9"/>
      <c r="NCR1" s="9"/>
      <c r="NCS1" s="9"/>
      <c r="NCT1" s="9"/>
      <c r="NCU1" s="9"/>
      <c r="NCV1" s="9"/>
      <c r="NCW1" s="9"/>
      <c r="NCX1" s="9"/>
      <c r="NCY1" s="9"/>
      <c r="NCZ1" s="9"/>
      <c r="NDA1" s="9"/>
      <c r="NDB1" s="9"/>
      <c r="NDC1" s="9"/>
      <c r="NDD1" s="9"/>
      <c r="NDE1" s="9"/>
      <c r="NDF1" s="9"/>
      <c r="NDG1" s="9"/>
      <c r="NDH1" s="9"/>
      <c r="NDI1" s="9"/>
      <c r="NDJ1" s="9"/>
      <c r="NDK1" s="9"/>
      <c r="NDL1" s="9"/>
      <c r="NDM1" s="9"/>
      <c r="NDN1" s="9"/>
      <c r="NDO1" s="9"/>
      <c r="NDP1" s="9"/>
      <c r="NDQ1" s="9"/>
      <c r="NDR1" s="9"/>
      <c r="NDS1" s="9"/>
      <c r="NDT1" s="9"/>
      <c r="NDU1" s="9"/>
      <c r="NDV1" s="9"/>
      <c r="NDW1" s="9"/>
      <c r="NDX1" s="9"/>
      <c r="NDY1" s="9"/>
      <c r="NDZ1" s="9"/>
      <c r="NEA1" s="9"/>
      <c r="NEB1" s="9"/>
      <c r="NEC1" s="9"/>
      <c r="NED1" s="9"/>
      <c r="NEE1" s="9"/>
      <c r="NEF1" s="9"/>
      <c r="NEG1" s="9"/>
      <c r="NEH1" s="9"/>
      <c r="NEI1" s="9"/>
      <c r="NEJ1" s="9"/>
      <c r="NEK1" s="9"/>
      <c r="NEL1" s="9"/>
      <c r="NEM1" s="9"/>
      <c r="NEN1" s="9"/>
      <c r="NEO1" s="9"/>
      <c r="NEP1" s="9"/>
      <c r="NEQ1" s="9"/>
      <c r="NER1" s="9"/>
      <c r="NES1" s="9"/>
      <c r="NET1" s="9"/>
      <c r="NEU1" s="9"/>
      <c r="NEV1" s="9"/>
      <c r="NEW1" s="9"/>
      <c r="NEX1" s="9"/>
      <c r="NEY1" s="9"/>
      <c r="NEZ1" s="9"/>
      <c r="NFA1" s="9"/>
      <c r="NFB1" s="9"/>
      <c r="NFC1" s="9"/>
      <c r="NFD1" s="9"/>
      <c r="NFE1" s="9"/>
      <c r="NFF1" s="9"/>
      <c r="NFG1" s="9"/>
      <c r="NFH1" s="9"/>
      <c r="NFI1" s="9"/>
      <c r="NFJ1" s="9"/>
      <c r="NFK1" s="9"/>
      <c r="NFL1" s="9"/>
      <c r="NFM1" s="9"/>
      <c r="NFN1" s="9"/>
      <c r="NFO1" s="9"/>
      <c r="NFP1" s="9"/>
      <c r="NFQ1" s="9"/>
      <c r="NFR1" s="9"/>
      <c r="NFS1" s="9"/>
      <c r="NFT1" s="9"/>
      <c r="NFU1" s="9"/>
      <c r="NFV1" s="9"/>
      <c r="NFW1" s="9"/>
      <c r="NFX1" s="9"/>
      <c r="NFY1" s="9"/>
      <c r="NFZ1" s="9"/>
      <c r="NGA1" s="9"/>
      <c r="NGB1" s="9"/>
      <c r="NGC1" s="9"/>
      <c r="NGD1" s="9"/>
      <c r="NGE1" s="9"/>
      <c r="NGF1" s="9"/>
      <c r="NGG1" s="9"/>
      <c r="NGH1" s="9"/>
      <c r="NGI1" s="9"/>
      <c r="NGJ1" s="9"/>
      <c r="NGK1" s="9"/>
      <c r="NGL1" s="9"/>
      <c r="NGM1" s="9"/>
      <c r="NGN1" s="9"/>
      <c r="NGO1" s="9"/>
      <c r="NGP1" s="9"/>
      <c r="NGQ1" s="9"/>
      <c r="NGR1" s="9"/>
      <c r="NGS1" s="9"/>
      <c r="NGT1" s="9"/>
      <c r="NGU1" s="9"/>
      <c r="NGV1" s="9"/>
      <c r="NGW1" s="9"/>
      <c r="NGX1" s="9"/>
      <c r="NGY1" s="9"/>
      <c r="NGZ1" s="9"/>
      <c r="NHA1" s="9"/>
      <c r="NHB1" s="9"/>
      <c r="NHC1" s="9"/>
      <c r="NHD1" s="9"/>
      <c r="NHE1" s="9"/>
      <c r="NHF1" s="9"/>
      <c r="NHG1" s="9"/>
      <c r="NHH1" s="9"/>
      <c r="NHI1" s="9"/>
      <c r="NHJ1" s="9"/>
      <c r="NHK1" s="9"/>
      <c r="NHL1" s="9"/>
      <c r="NHM1" s="9"/>
      <c r="NHN1" s="9"/>
      <c r="NHO1" s="9"/>
      <c r="NHP1" s="9"/>
      <c r="NHQ1" s="9"/>
      <c r="NHR1" s="9"/>
      <c r="NHS1" s="9"/>
      <c r="NHT1" s="9"/>
      <c r="NHU1" s="9"/>
      <c r="NHV1" s="9"/>
      <c r="NHW1" s="9"/>
      <c r="NHX1" s="9"/>
      <c r="NHY1" s="9"/>
      <c r="NHZ1" s="9"/>
      <c r="NIA1" s="9"/>
      <c r="NIB1" s="9"/>
      <c r="NIC1" s="9"/>
      <c r="NID1" s="9"/>
      <c r="NIE1" s="9"/>
      <c r="NIF1" s="9"/>
      <c r="NIG1" s="9"/>
      <c r="NIH1" s="9"/>
      <c r="NII1" s="9"/>
      <c r="NIJ1" s="9"/>
      <c r="NIK1" s="9"/>
      <c r="NIL1" s="9"/>
      <c r="NIM1" s="9"/>
      <c r="NIN1" s="9"/>
      <c r="NIO1" s="9"/>
      <c r="NIP1" s="9"/>
      <c r="NIQ1" s="9"/>
      <c r="NIR1" s="9"/>
      <c r="NIS1" s="9"/>
      <c r="NIT1" s="9"/>
      <c r="NIU1" s="9"/>
      <c r="NIV1" s="9"/>
      <c r="NIW1" s="9"/>
      <c r="NIX1" s="9"/>
      <c r="NIY1" s="9"/>
      <c r="NIZ1" s="9"/>
      <c r="NJA1" s="9"/>
      <c r="NJB1" s="9"/>
      <c r="NJC1" s="9"/>
      <c r="NJD1" s="9"/>
      <c r="NJE1" s="9"/>
      <c r="NJF1" s="9"/>
      <c r="NJG1" s="9"/>
      <c r="NJH1" s="9"/>
      <c r="NJI1" s="9"/>
      <c r="NJJ1" s="9"/>
      <c r="NJK1" s="9"/>
      <c r="NJL1" s="9"/>
      <c r="NJM1" s="9"/>
      <c r="NJN1" s="9"/>
      <c r="NJO1" s="9"/>
      <c r="NJP1" s="9"/>
      <c r="NJQ1" s="9"/>
      <c r="NJR1" s="9"/>
      <c r="NJS1" s="9"/>
      <c r="NJT1" s="9"/>
      <c r="NJU1" s="9"/>
      <c r="NJV1" s="9"/>
      <c r="NJW1" s="9"/>
      <c r="NJX1" s="9"/>
      <c r="NJY1" s="9"/>
      <c r="NJZ1" s="9"/>
      <c r="NKA1" s="9"/>
      <c r="NKB1" s="9"/>
      <c r="NKC1" s="9"/>
      <c r="NKD1" s="9"/>
      <c r="NKE1" s="9"/>
      <c r="NKF1" s="9"/>
      <c r="NKG1" s="9"/>
      <c r="NKH1" s="9"/>
      <c r="NKI1" s="9"/>
      <c r="NKJ1" s="9"/>
      <c r="NKK1" s="9"/>
      <c r="NKL1" s="9"/>
      <c r="NKM1" s="9"/>
      <c r="NKN1" s="9"/>
      <c r="NKO1" s="9"/>
      <c r="NKP1" s="9"/>
      <c r="NKQ1" s="9"/>
      <c r="NKR1" s="9"/>
      <c r="NKS1" s="9"/>
      <c r="NKT1" s="9"/>
      <c r="NKU1" s="9"/>
      <c r="NKV1" s="9"/>
      <c r="NKW1" s="9"/>
      <c r="NKX1" s="9"/>
      <c r="NKY1" s="9"/>
      <c r="NKZ1" s="9"/>
      <c r="NLA1" s="9"/>
      <c r="NLB1" s="9"/>
      <c r="NLC1" s="9"/>
      <c r="NLD1" s="9"/>
      <c r="NLE1" s="9"/>
      <c r="NLF1" s="9"/>
      <c r="NLG1" s="9"/>
      <c r="NLH1" s="9"/>
      <c r="NLI1" s="9"/>
      <c r="NLJ1" s="9"/>
      <c r="NLK1" s="9"/>
      <c r="NLL1" s="9"/>
      <c r="NLM1" s="9"/>
      <c r="NLN1" s="9"/>
      <c r="NLO1" s="9"/>
      <c r="NLP1" s="9"/>
      <c r="NLQ1" s="9"/>
      <c r="NLR1" s="9"/>
      <c r="NLS1" s="9"/>
      <c r="NLT1" s="9"/>
      <c r="NLU1" s="9"/>
      <c r="NLV1" s="9"/>
      <c r="NLW1" s="9"/>
      <c r="NLX1" s="9"/>
      <c r="NLY1" s="9"/>
      <c r="NLZ1" s="9"/>
      <c r="NMA1" s="9"/>
      <c r="NMB1" s="9"/>
      <c r="NMC1" s="9"/>
      <c r="NMD1" s="9"/>
      <c r="NME1" s="9"/>
      <c r="NMF1" s="9"/>
      <c r="NMG1" s="9"/>
      <c r="NMH1" s="9"/>
      <c r="NMI1" s="9"/>
      <c r="NMJ1" s="9"/>
      <c r="NMK1" s="9"/>
      <c r="NML1" s="9"/>
      <c r="NMM1" s="9"/>
      <c r="NMN1" s="9"/>
      <c r="NMO1" s="9"/>
      <c r="NMP1" s="9"/>
      <c r="NMQ1" s="9"/>
      <c r="NMR1" s="9"/>
      <c r="NMS1" s="9"/>
      <c r="NMT1" s="9"/>
      <c r="NMU1" s="9"/>
      <c r="NMV1" s="9"/>
      <c r="NMW1" s="9"/>
      <c r="NMX1" s="9"/>
      <c r="NMY1" s="9"/>
      <c r="NMZ1" s="9"/>
      <c r="NNA1" s="9"/>
      <c r="NNB1" s="9"/>
      <c r="NNC1" s="9"/>
      <c r="NND1" s="9"/>
      <c r="NNE1" s="9"/>
      <c r="NNF1" s="9"/>
      <c r="NNG1" s="9"/>
      <c r="NNH1" s="9"/>
      <c r="NNI1" s="9"/>
      <c r="NNJ1" s="9"/>
      <c r="NNK1" s="9"/>
      <c r="NNL1" s="9"/>
      <c r="NNM1" s="9"/>
      <c r="NNN1" s="9"/>
      <c r="NNO1" s="9"/>
      <c r="NNP1" s="9"/>
      <c r="NNQ1" s="9"/>
      <c r="NNR1" s="9"/>
      <c r="NNS1" s="9"/>
      <c r="NNT1" s="9"/>
      <c r="NNU1" s="9"/>
      <c r="NNV1" s="9"/>
      <c r="NNW1" s="9"/>
      <c r="NNX1" s="9"/>
      <c r="NNY1" s="9"/>
      <c r="NNZ1" s="9"/>
      <c r="NOA1" s="9"/>
      <c r="NOB1" s="9"/>
      <c r="NOC1" s="9"/>
      <c r="NOD1" s="9"/>
      <c r="NOE1" s="9"/>
      <c r="NOF1" s="9"/>
      <c r="NOG1" s="9"/>
      <c r="NOH1" s="9"/>
      <c r="NOI1" s="9"/>
      <c r="NOJ1" s="9"/>
      <c r="NOK1" s="9"/>
      <c r="NOL1" s="9"/>
      <c r="NOM1" s="9"/>
      <c r="NON1" s="9"/>
      <c r="NOO1" s="9"/>
      <c r="NOP1" s="9"/>
      <c r="NOQ1" s="9"/>
      <c r="NOR1" s="9"/>
      <c r="NOS1" s="9"/>
      <c r="NOT1" s="9"/>
      <c r="NOU1" s="9"/>
      <c r="NOV1" s="9"/>
      <c r="NOW1" s="9"/>
      <c r="NOX1" s="9"/>
      <c r="NOY1" s="9"/>
      <c r="NOZ1" s="9"/>
      <c r="NPA1" s="9"/>
      <c r="NPB1" s="9"/>
      <c r="NPC1" s="9"/>
      <c r="NPD1" s="9"/>
      <c r="NPE1" s="9"/>
      <c r="NPF1" s="9"/>
      <c r="NPG1" s="9"/>
      <c r="NPH1" s="9"/>
      <c r="NPI1" s="9"/>
      <c r="NPJ1" s="9"/>
      <c r="NPK1" s="9"/>
      <c r="NPL1" s="9"/>
      <c r="NPM1" s="9"/>
      <c r="NPN1" s="9"/>
      <c r="NPO1" s="9"/>
      <c r="NPP1" s="9"/>
      <c r="NPQ1" s="9"/>
      <c r="NPR1" s="9"/>
      <c r="NPS1" s="9"/>
      <c r="NPT1" s="9"/>
      <c r="NPU1" s="9"/>
      <c r="NPV1" s="9"/>
      <c r="NPW1" s="9"/>
      <c r="NPX1" s="9"/>
      <c r="NPY1" s="9"/>
      <c r="NPZ1" s="9"/>
      <c r="NQA1" s="9"/>
      <c r="NQB1" s="9"/>
      <c r="NQC1" s="9"/>
      <c r="NQD1" s="9"/>
      <c r="NQE1" s="9"/>
      <c r="NQF1" s="9"/>
      <c r="NQG1" s="9"/>
      <c r="NQH1" s="9"/>
      <c r="NQI1" s="9"/>
      <c r="NQJ1" s="9"/>
      <c r="NQK1" s="9"/>
      <c r="NQL1" s="9"/>
      <c r="NQM1" s="9"/>
      <c r="NQN1" s="9"/>
      <c r="NQO1" s="9"/>
      <c r="NQP1" s="9"/>
      <c r="NQQ1" s="9"/>
      <c r="NQR1" s="9"/>
      <c r="NQS1" s="9"/>
      <c r="NQT1" s="9"/>
      <c r="NQU1" s="9"/>
      <c r="NQV1" s="9"/>
      <c r="NQW1" s="9"/>
      <c r="NQX1" s="9"/>
      <c r="NQY1" s="9"/>
      <c r="NQZ1" s="9"/>
      <c r="NRA1" s="9"/>
      <c r="NRB1" s="9"/>
      <c r="NRC1" s="9"/>
      <c r="NRD1" s="9"/>
      <c r="NRE1" s="9"/>
      <c r="NRF1" s="9"/>
      <c r="NRG1" s="9"/>
      <c r="NRH1" s="9"/>
      <c r="NRI1" s="9"/>
      <c r="NRJ1" s="9"/>
      <c r="NRK1" s="9"/>
      <c r="NRL1" s="9"/>
      <c r="NRM1" s="9"/>
      <c r="NRN1" s="9"/>
      <c r="NRO1" s="9"/>
      <c r="NRP1" s="9"/>
      <c r="NRQ1" s="9"/>
      <c r="NRR1" s="9"/>
      <c r="NRS1" s="9"/>
      <c r="NRT1" s="9"/>
      <c r="NRU1" s="9"/>
      <c r="NRV1" s="9"/>
      <c r="NRW1" s="9"/>
      <c r="NRX1" s="9"/>
      <c r="NRY1" s="9"/>
      <c r="NRZ1" s="9"/>
      <c r="NSA1" s="9"/>
      <c r="NSB1" s="9"/>
      <c r="NSC1" s="9"/>
      <c r="NSD1" s="9"/>
      <c r="NSE1" s="9"/>
      <c r="NSF1" s="9"/>
      <c r="NSG1" s="9"/>
      <c r="NSH1" s="9"/>
      <c r="NSI1" s="9"/>
      <c r="NSJ1" s="9"/>
      <c r="NSK1" s="9"/>
      <c r="NSL1" s="9"/>
      <c r="NSM1" s="9"/>
      <c r="NSN1" s="9"/>
      <c r="NSO1" s="9"/>
      <c r="NSP1" s="9"/>
      <c r="NSQ1" s="9"/>
      <c r="NSR1" s="9"/>
      <c r="NSS1" s="9"/>
      <c r="NST1" s="9"/>
      <c r="NSU1" s="9"/>
      <c r="NSV1" s="9"/>
      <c r="NSW1" s="9"/>
      <c r="NSX1" s="9"/>
      <c r="NSY1" s="9"/>
      <c r="NSZ1" s="9"/>
      <c r="NTA1" s="9"/>
      <c r="NTB1" s="9"/>
      <c r="NTC1" s="9"/>
      <c r="NTD1" s="9"/>
      <c r="NTE1" s="9"/>
      <c r="NTF1" s="9"/>
      <c r="NTG1" s="9"/>
      <c r="NTH1" s="9"/>
      <c r="NTI1" s="9"/>
      <c r="NTJ1" s="9"/>
      <c r="NTK1" s="9"/>
      <c r="NTL1" s="9"/>
      <c r="NTM1" s="9"/>
      <c r="NTN1" s="9"/>
      <c r="NTO1" s="9"/>
      <c r="NTP1" s="9"/>
      <c r="NTQ1" s="9"/>
      <c r="NTR1" s="9"/>
      <c r="NTS1" s="9"/>
      <c r="NTT1" s="9"/>
      <c r="NTU1" s="9"/>
      <c r="NTV1" s="9"/>
      <c r="NTW1" s="9"/>
      <c r="NTX1" s="9"/>
      <c r="NTY1" s="9"/>
      <c r="NTZ1" s="9"/>
      <c r="NUA1" s="9"/>
      <c r="NUB1" s="9"/>
      <c r="NUC1" s="9"/>
      <c r="NUD1" s="9"/>
      <c r="NUE1" s="9"/>
      <c r="NUF1" s="9"/>
      <c r="NUG1" s="9"/>
      <c r="NUH1" s="9"/>
      <c r="NUI1" s="9"/>
      <c r="NUJ1" s="9"/>
      <c r="NUK1" s="9"/>
      <c r="NUL1" s="9"/>
      <c r="NUM1" s="9"/>
      <c r="NUN1" s="9"/>
      <c r="NUO1" s="9"/>
      <c r="NUP1" s="9"/>
      <c r="NUQ1" s="9"/>
      <c r="NUR1" s="9"/>
      <c r="NUS1" s="9"/>
      <c r="NUT1" s="9"/>
      <c r="NUU1" s="9"/>
      <c r="NUV1" s="9"/>
      <c r="NUW1" s="9"/>
      <c r="NUX1" s="9"/>
      <c r="NUY1" s="9"/>
      <c r="NUZ1" s="9"/>
      <c r="NVA1" s="9"/>
      <c r="NVB1" s="9"/>
      <c r="NVC1" s="9"/>
      <c r="NVD1" s="9"/>
      <c r="NVE1" s="9"/>
      <c r="NVF1" s="9"/>
      <c r="NVG1" s="9"/>
      <c r="NVH1" s="9"/>
      <c r="NVI1" s="9"/>
      <c r="NVJ1" s="9"/>
      <c r="NVK1" s="9"/>
      <c r="NVL1" s="9"/>
      <c r="NVM1" s="9"/>
      <c r="NVN1" s="9"/>
      <c r="NVO1" s="9"/>
      <c r="NVP1" s="9"/>
      <c r="NVQ1" s="9"/>
      <c r="NVR1" s="9"/>
      <c r="NVS1" s="9"/>
      <c r="NVT1" s="9"/>
      <c r="NVU1" s="9"/>
      <c r="NVV1" s="9"/>
      <c r="NVW1" s="9"/>
      <c r="NVX1" s="9"/>
      <c r="NVY1" s="9"/>
      <c r="NVZ1" s="9"/>
      <c r="NWA1" s="9"/>
      <c r="NWB1" s="9"/>
      <c r="NWC1" s="9"/>
      <c r="NWD1" s="9"/>
      <c r="NWE1" s="9"/>
      <c r="NWF1" s="9"/>
      <c r="NWG1" s="9"/>
      <c r="NWH1" s="9"/>
      <c r="NWI1" s="9"/>
      <c r="NWJ1" s="9"/>
      <c r="NWK1" s="9"/>
      <c r="NWL1" s="9"/>
      <c r="NWM1" s="9"/>
      <c r="NWN1" s="9"/>
      <c r="NWO1" s="9"/>
      <c r="NWP1" s="9"/>
      <c r="NWQ1" s="9"/>
      <c r="NWR1" s="9"/>
      <c r="NWS1" s="9"/>
      <c r="NWT1" s="9"/>
      <c r="NWU1" s="9"/>
      <c r="NWV1" s="9"/>
      <c r="NWW1" s="9"/>
      <c r="NWX1" s="9"/>
      <c r="NWY1" s="9"/>
      <c r="NWZ1" s="9"/>
      <c r="NXA1" s="9"/>
      <c r="NXB1" s="9"/>
      <c r="NXC1" s="9"/>
      <c r="NXD1" s="9"/>
      <c r="NXE1" s="9"/>
      <c r="NXF1" s="9"/>
      <c r="NXG1" s="9"/>
      <c r="NXH1" s="9"/>
      <c r="NXI1" s="9"/>
      <c r="NXJ1" s="9"/>
      <c r="NXK1" s="9"/>
      <c r="NXL1" s="9"/>
      <c r="NXM1" s="9"/>
      <c r="NXN1" s="9"/>
      <c r="NXO1" s="9"/>
      <c r="NXP1" s="9"/>
      <c r="NXQ1" s="9"/>
      <c r="NXR1" s="9"/>
      <c r="NXS1" s="9"/>
      <c r="NXT1" s="9"/>
      <c r="NXU1" s="9"/>
      <c r="NXV1" s="9"/>
      <c r="NXW1" s="9"/>
      <c r="NXX1" s="9"/>
      <c r="NXY1" s="9"/>
      <c r="NXZ1" s="9"/>
      <c r="NYA1" s="9"/>
      <c r="NYB1" s="9"/>
      <c r="NYC1" s="9"/>
      <c r="NYD1" s="9"/>
      <c r="NYE1" s="9"/>
      <c r="NYF1" s="9"/>
      <c r="NYG1" s="9"/>
      <c r="NYH1" s="9"/>
      <c r="NYI1" s="9"/>
      <c r="NYJ1" s="9"/>
      <c r="NYK1" s="9"/>
      <c r="NYL1" s="9"/>
      <c r="NYM1" s="9"/>
      <c r="NYN1" s="9"/>
      <c r="NYO1" s="9"/>
      <c r="NYP1" s="9"/>
      <c r="NYQ1" s="9"/>
      <c r="NYR1" s="9"/>
      <c r="NYS1" s="9"/>
      <c r="NYT1" s="9"/>
      <c r="NYU1" s="9"/>
      <c r="NYV1" s="9"/>
      <c r="NYW1" s="9"/>
      <c r="NYX1" s="9"/>
      <c r="NYY1" s="9"/>
      <c r="NYZ1" s="9"/>
      <c r="NZA1" s="9"/>
      <c r="NZB1" s="9"/>
      <c r="NZC1" s="9"/>
      <c r="NZD1" s="9"/>
      <c r="NZE1" s="9"/>
      <c r="NZF1" s="9"/>
      <c r="NZG1" s="9"/>
      <c r="NZH1" s="9"/>
      <c r="NZI1" s="9"/>
      <c r="NZJ1" s="9"/>
      <c r="NZK1" s="9"/>
      <c r="NZL1" s="9"/>
      <c r="NZM1" s="9"/>
      <c r="NZN1" s="9"/>
      <c r="NZO1" s="9"/>
      <c r="NZP1" s="9"/>
      <c r="NZQ1" s="9"/>
      <c r="NZR1" s="9"/>
      <c r="NZS1" s="9"/>
      <c r="NZT1" s="9"/>
      <c r="NZU1" s="9"/>
      <c r="NZV1" s="9"/>
      <c r="NZW1" s="9"/>
      <c r="NZX1" s="9"/>
      <c r="NZY1" s="9"/>
      <c r="NZZ1" s="9"/>
      <c r="OAA1" s="9"/>
      <c r="OAB1" s="9"/>
      <c r="OAC1" s="9"/>
      <c r="OAD1" s="9"/>
      <c r="OAE1" s="9"/>
      <c r="OAF1" s="9"/>
      <c r="OAG1" s="9"/>
      <c r="OAH1" s="9"/>
      <c r="OAI1" s="9"/>
      <c r="OAJ1" s="9"/>
      <c r="OAK1" s="9"/>
      <c r="OAL1" s="9"/>
      <c r="OAM1" s="9"/>
      <c r="OAN1" s="9"/>
      <c r="OAO1" s="9"/>
      <c r="OAP1" s="9"/>
      <c r="OAQ1" s="9"/>
      <c r="OAR1" s="9"/>
      <c r="OAS1" s="9"/>
      <c r="OAT1" s="9"/>
      <c r="OAU1" s="9"/>
      <c r="OAV1" s="9"/>
      <c r="OAW1" s="9"/>
      <c r="OAX1" s="9"/>
      <c r="OAY1" s="9"/>
      <c r="OAZ1" s="9"/>
      <c r="OBA1" s="9"/>
      <c r="OBB1" s="9"/>
      <c r="OBC1" s="9"/>
      <c r="OBD1" s="9"/>
      <c r="OBE1" s="9"/>
      <c r="OBF1" s="9"/>
      <c r="OBG1" s="9"/>
      <c r="OBH1" s="9"/>
      <c r="OBI1" s="9"/>
      <c r="OBJ1" s="9"/>
      <c r="OBK1" s="9"/>
      <c r="OBL1" s="9"/>
      <c r="OBM1" s="9"/>
      <c r="OBN1" s="9"/>
      <c r="OBO1" s="9"/>
      <c r="OBP1" s="9"/>
      <c r="OBQ1" s="9"/>
      <c r="OBR1" s="9"/>
      <c r="OBS1" s="9"/>
      <c r="OBT1" s="9"/>
      <c r="OBU1" s="9"/>
      <c r="OBV1" s="9"/>
      <c r="OBW1" s="9"/>
      <c r="OBX1" s="9"/>
      <c r="OBY1" s="9"/>
      <c r="OBZ1" s="9"/>
      <c r="OCA1" s="9"/>
      <c r="OCB1" s="9"/>
      <c r="OCC1" s="9"/>
      <c r="OCD1" s="9"/>
      <c r="OCE1" s="9"/>
      <c r="OCF1" s="9"/>
      <c r="OCG1" s="9"/>
      <c r="OCH1" s="9"/>
      <c r="OCI1" s="9"/>
      <c r="OCJ1" s="9"/>
      <c r="OCK1" s="9"/>
      <c r="OCL1" s="9"/>
      <c r="OCM1" s="9"/>
      <c r="OCN1" s="9"/>
      <c r="OCO1" s="9"/>
      <c r="OCP1" s="9"/>
      <c r="OCQ1" s="9"/>
      <c r="OCR1" s="9"/>
      <c r="OCS1" s="9"/>
      <c r="OCT1" s="9"/>
      <c r="OCU1" s="9"/>
      <c r="OCV1" s="9"/>
      <c r="OCW1" s="9"/>
      <c r="OCX1" s="9"/>
      <c r="OCY1" s="9"/>
      <c r="OCZ1" s="9"/>
      <c r="ODA1" s="9"/>
      <c r="ODB1" s="9"/>
      <c r="ODC1" s="9"/>
      <c r="ODD1" s="9"/>
      <c r="ODE1" s="9"/>
      <c r="ODF1" s="9"/>
      <c r="ODG1" s="9"/>
      <c r="ODH1" s="9"/>
      <c r="ODI1" s="9"/>
      <c r="ODJ1" s="9"/>
      <c r="ODK1" s="9"/>
      <c r="ODL1" s="9"/>
      <c r="ODM1" s="9"/>
      <c r="ODN1" s="9"/>
      <c r="ODO1" s="9"/>
      <c r="ODP1" s="9"/>
      <c r="ODQ1" s="9"/>
      <c r="ODR1" s="9"/>
      <c r="ODS1" s="9"/>
      <c r="ODT1" s="9"/>
      <c r="ODU1" s="9"/>
      <c r="ODV1" s="9"/>
      <c r="ODW1" s="9"/>
      <c r="ODX1" s="9"/>
      <c r="ODY1" s="9"/>
      <c r="ODZ1" s="9"/>
      <c r="OEA1" s="9"/>
      <c r="OEB1" s="9"/>
      <c r="OEC1" s="9"/>
      <c r="OED1" s="9"/>
      <c r="OEE1" s="9"/>
      <c r="OEF1" s="9"/>
      <c r="OEG1" s="9"/>
      <c r="OEH1" s="9"/>
      <c r="OEI1" s="9"/>
      <c r="OEJ1" s="9"/>
      <c r="OEK1" s="9"/>
      <c r="OEL1" s="9"/>
      <c r="OEM1" s="9"/>
      <c r="OEN1" s="9"/>
      <c r="OEO1" s="9"/>
      <c r="OEP1" s="9"/>
      <c r="OEQ1" s="9"/>
      <c r="OER1" s="9"/>
      <c r="OES1" s="9"/>
      <c r="OET1" s="9"/>
      <c r="OEU1" s="9"/>
      <c r="OEV1" s="9"/>
      <c r="OEW1" s="9"/>
      <c r="OEX1" s="9"/>
      <c r="OEY1" s="9"/>
      <c r="OEZ1" s="9"/>
      <c r="OFA1" s="9"/>
      <c r="OFB1" s="9"/>
      <c r="OFC1" s="9"/>
      <c r="OFD1" s="9"/>
      <c r="OFE1" s="9"/>
      <c r="OFF1" s="9"/>
      <c r="OFG1" s="9"/>
      <c r="OFH1" s="9"/>
      <c r="OFI1" s="9"/>
      <c r="OFJ1" s="9"/>
      <c r="OFK1" s="9"/>
      <c r="OFL1" s="9"/>
      <c r="OFM1" s="9"/>
      <c r="OFN1" s="9"/>
      <c r="OFO1" s="9"/>
      <c r="OFP1" s="9"/>
      <c r="OFQ1" s="9"/>
      <c r="OFR1" s="9"/>
      <c r="OFS1" s="9"/>
      <c r="OFT1" s="9"/>
      <c r="OFU1" s="9"/>
      <c r="OFV1" s="9"/>
      <c r="OFW1" s="9"/>
      <c r="OFX1" s="9"/>
      <c r="OFY1" s="9"/>
      <c r="OFZ1" s="9"/>
      <c r="OGA1" s="9"/>
      <c r="OGB1" s="9"/>
      <c r="OGC1" s="9"/>
      <c r="OGD1" s="9"/>
      <c r="OGE1" s="9"/>
      <c r="OGF1" s="9"/>
      <c r="OGG1" s="9"/>
      <c r="OGH1" s="9"/>
      <c r="OGI1" s="9"/>
      <c r="OGJ1" s="9"/>
      <c r="OGK1" s="9"/>
      <c r="OGL1" s="9"/>
      <c r="OGM1" s="9"/>
      <c r="OGN1" s="9"/>
      <c r="OGO1" s="9"/>
      <c r="OGP1" s="9"/>
      <c r="OGQ1" s="9"/>
      <c r="OGR1" s="9"/>
      <c r="OGS1" s="9"/>
      <c r="OGT1" s="9"/>
      <c r="OGU1" s="9"/>
      <c r="OGV1" s="9"/>
      <c r="OGW1" s="9"/>
      <c r="OGX1" s="9"/>
      <c r="OGY1" s="9"/>
      <c r="OGZ1" s="9"/>
      <c r="OHA1" s="9"/>
      <c r="OHB1" s="9"/>
      <c r="OHC1" s="9"/>
      <c r="OHD1" s="9"/>
      <c r="OHE1" s="9"/>
      <c r="OHF1" s="9"/>
      <c r="OHG1" s="9"/>
      <c r="OHH1" s="9"/>
      <c r="OHI1" s="9"/>
      <c r="OHJ1" s="9"/>
      <c r="OHK1" s="9"/>
      <c r="OHL1" s="9"/>
      <c r="OHM1" s="9"/>
      <c r="OHN1" s="9"/>
      <c r="OHO1" s="9"/>
      <c r="OHP1" s="9"/>
      <c r="OHQ1" s="9"/>
      <c r="OHR1" s="9"/>
      <c r="OHS1" s="9"/>
      <c r="OHT1" s="9"/>
      <c r="OHU1" s="9"/>
      <c r="OHV1" s="9"/>
      <c r="OHW1" s="9"/>
      <c r="OHX1" s="9"/>
      <c r="OHY1" s="9"/>
      <c r="OHZ1" s="9"/>
      <c r="OIA1" s="9"/>
      <c r="OIB1" s="9"/>
      <c r="OIC1" s="9"/>
      <c r="OID1" s="9"/>
      <c r="OIE1" s="9"/>
      <c r="OIF1" s="9"/>
      <c r="OIG1" s="9"/>
      <c r="OIH1" s="9"/>
      <c r="OII1" s="9"/>
      <c r="OIJ1" s="9"/>
      <c r="OIK1" s="9"/>
      <c r="OIL1" s="9"/>
      <c r="OIM1" s="9"/>
      <c r="OIN1" s="9"/>
      <c r="OIO1" s="9"/>
      <c r="OIP1" s="9"/>
      <c r="OIQ1" s="9"/>
      <c r="OIR1" s="9"/>
      <c r="OIS1" s="9"/>
      <c r="OIT1" s="9"/>
      <c r="OIU1" s="9"/>
      <c r="OIV1" s="9"/>
      <c r="OIW1" s="9"/>
      <c r="OIX1" s="9"/>
      <c r="OIY1" s="9"/>
      <c r="OIZ1" s="9"/>
      <c r="OJA1" s="9"/>
      <c r="OJB1" s="9"/>
      <c r="OJC1" s="9"/>
      <c r="OJD1" s="9"/>
      <c r="OJE1" s="9"/>
      <c r="OJF1" s="9"/>
      <c r="OJG1" s="9"/>
      <c r="OJH1" s="9"/>
      <c r="OJI1" s="9"/>
      <c r="OJJ1" s="9"/>
      <c r="OJK1" s="9"/>
      <c r="OJL1" s="9"/>
      <c r="OJM1" s="9"/>
      <c r="OJN1" s="9"/>
      <c r="OJO1" s="9"/>
      <c r="OJP1" s="9"/>
      <c r="OJQ1" s="9"/>
      <c r="OJR1" s="9"/>
      <c r="OJS1" s="9"/>
      <c r="OJT1" s="9"/>
      <c r="OJU1" s="9"/>
      <c r="OJV1" s="9"/>
      <c r="OJW1" s="9"/>
      <c r="OJX1" s="9"/>
      <c r="OJY1" s="9"/>
      <c r="OJZ1" s="9"/>
      <c r="OKA1" s="9"/>
      <c r="OKB1" s="9"/>
      <c r="OKC1" s="9"/>
      <c r="OKD1" s="9"/>
      <c r="OKE1" s="9"/>
      <c r="OKF1" s="9"/>
      <c r="OKG1" s="9"/>
      <c r="OKH1" s="9"/>
      <c r="OKI1" s="9"/>
      <c r="OKJ1" s="9"/>
      <c r="OKK1" s="9"/>
      <c r="OKL1" s="9"/>
      <c r="OKM1" s="9"/>
      <c r="OKN1" s="9"/>
      <c r="OKO1" s="9"/>
      <c r="OKP1" s="9"/>
      <c r="OKQ1" s="9"/>
      <c r="OKR1" s="9"/>
      <c r="OKS1" s="9"/>
      <c r="OKT1" s="9"/>
      <c r="OKU1" s="9"/>
      <c r="OKV1" s="9"/>
      <c r="OKW1" s="9"/>
      <c r="OKX1" s="9"/>
      <c r="OKY1" s="9"/>
      <c r="OKZ1" s="9"/>
      <c r="OLA1" s="9"/>
      <c r="OLB1" s="9"/>
      <c r="OLC1" s="9"/>
      <c r="OLD1" s="9"/>
      <c r="OLE1" s="9"/>
      <c r="OLF1" s="9"/>
      <c r="OLG1" s="9"/>
      <c r="OLH1" s="9"/>
      <c r="OLI1" s="9"/>
      <c r="OLJ1" s="9"/>
      <c r="OLK1" s="9"/>
      <c r="OLL1" s="9"/>
      <c r="OLM1" s="9"/>
      <c r="OLN1" s="9"/>
      <c r="OLO1" s="9"/>
      <c r="OLP1" s="9"/>
      <c r="OLQ1" s="9"/>
      <c r="OLR1" s="9"/>
      <c r="OLS1" s="9"/>
      <c r="OLT1" s="9"/>
      <c r="OLU1" s="9"/>
      <c r="OLV1" s="9"/>
      <c r="OLW1" s="9"/>
      <c r="OLX1" s="9"/>
      <c r="OLY1" s="9"/>
      <c r="OLZ1" s="9"/>
      <c r="OMA1" s="9"/>
      <c r="OMB1" s="9"/>
      <c r="OMC1" s="9"/>
      <c r="OMD1" s="9"/>
      <c r="OME1" s="9"/>
      <c r="OMF1" s="9"/>
      <c r="OMG1" s="9"/>
      <c r="OMH1" s="9"/>
      <c r="OMI1" s="9"/>
      <c r="OMJ1" s="9"/>
      <c r="OMK1" s="9"/>
      <c r="OML1" s="9"/>
      <c r="OMM1" s="9"/>
      <c r="OMN1" s="9"/>
      <c r="OMO1" s="9"/>
      <c r="OMP1" s="9"/>
      <c r="OMQ1" s="9"/>
      <c r="OMR1" s="9"/>
      <c r="OMS1" s="9"/>
      <c r="OMT1" s="9"/>
      <c r="OMU1" s="9"/>
      <c r="OMV1" s="9"/>
      <c r="OMW1" s="9"/>
      <c r="OMX1" s="9"/>
      <c r="OMY1" s="9"/>
      <c r="OMZ1" s="9"/>
      <c r="ONA1" s="9"/>
      <c r="ONB1" s="9"/>
      <c r="ONC1" s="9"/>
      <c r="OND1" s="9"/>
      <c r="ONE1" s="9"/>
      <c r="ONF1" s="9"/>
      <c r="ONG1" s="9"/>
      <c r="ONH1" s="9"/>
      <c r="ONI1" s="9"/>
      <c r="ONJ1" s="9"/>
      <c r="ONK1" s="9"/>
      <c r="ONL1" s="9"/>
      <c r="ONM1" s="9"/>
      <c r="ONN1" s="9"/>
      <c r="ONO1" s="9"/>
      <c r="ONP1" s="9"/>
      <c r="ONQ1" s="9"/>
      <c r="ONR1" s="9"/>
      <c r="ONS1" s="9"/>
      <c r="ONT1" s="9"/>
      <c r="ONU1" s="9"/>
      <c r="ONV1" s="9"/>
      <c r="ONW1" s="9"/>
      <c r="ONX1" s="9"/>
      <c r="ONY1" s="9"/>
      <c r="ONZ1" s="9"/>
      <c r="OOA1" s="9"/>
      <c r="OOB1" s="9"/>
      <c r="OOC1" s="9"/>
      <c r="OOD1" s="9"/>
      <c r="OOE1" s="9"/>
      <c r="OOF1" s="9"/>
      <c r="OOG1" s="9"/>
      <c r="OOH1" s="9"/>
      <c r="OOI1" s="9"/>
      <c r="OOJ1" s="9"/>
      <c r="OOK1" s="9"/>
      <c r="OOL1" s="9"/>
      <c r="OOM1" s="9"/>
      <c r="OON1" s="9"/>
      <c r="OOO1" s="9"/>
      <c r="OOP1" s="9"/>
      <c r="OOQ1" s="9"/>
      <c r="OOR1" s="9"/>
      <c r="OOS1" s="9"/>
      <c r="OOT1" s="9"/>
      <c r="OOU1" s="9"/>
      <c r="OOV1" s="9"/>
      <c r="OOW1" s="9"/>
      <c r="OOX1" s="9"/>
      <c r="OOY1" s="9"/>
      <c r="OOZ1" s="9"/>
      <c r="OPA1" s="9"/>
      <c r="OPB1" s="9"/>
      <c r="OPC1" s="9"/>
      <c r="OPD1" s="9"/>
      <c r="OPE1" s="9"/>
      <c r="OPF1" s="9"/>
      <c r="OPG1" s="9"/>
      <c r="OPH1" s="9"/>
      <c r="OPI1" s="9"/>
      <c r="OPJ1" s="9"/>
      <c r="OPK1" s="9"/>
      <c r="OPL1" s="9"/>
      <c r="OPM1" s="9"/>
      <c r="OPN1" s="9"/>
      <c r="OPO1" s="9"/>
      <c r="OPP1" s="9"/>
      <c r="OPQ1" s="9"/>
      <c r="OPR1" s="9"/>
      <c r="OPS1" s="9"/>
      <c r="OPT1" s="9"/>
      <c r="OPU1" s="9"/>
      <c r="OPV1" s="9"/>
      <c r="OPW1" s="9"/>
      <c r="OPX1" s="9"/>
      <c r="OPY1" s="9"/>
      <c r="OPZ1" s="9"/>
      <c r="OQA1" s="9"/>
      <c r="OQB1" s="9"/>
      <c r="OQC1" s="9"/>
      <c r="OQD1" s="9"/>
      <c r="OQE1" s="9"/>
      <c r="OQF1" s="9"/>
      <c r="OQG1" s="9"/>
      <c r="OQH1" s="9"/>
      <c r="OQI1" s="9"/>
      <c r="OQJ1" s="9"/>
      <c r="OQK1" s="9"/>
      <c r="OQL1" s="9"/>
      <c r="OQM1" s="9"/>
      <c r="OQN1" s="9"/>
      <c r="OQO1" s="9"/>
      <c r="OQP1" s="9"/>
      <c r="OQQ1" s="9"/>
      <c r="OQR1" s="9"/>
      <c r="OQS1" s="9"/>
      <c r="OQT1" s="9"/>
      <c r="OQU1" s="9"/>
      <c r="OQV1" s="9"/>
      <c r="OQW1" s="9"/>
      <c r="OQX1" s="9"/>
      <c r="OQY1" s="9"/>
      <c r="OQZ1" s="9"/>
      <c r="ORA1" s="9"/>
      <c r="ORB1" s="9"/>
      <c r="ORC1" s="9"/>
      <c r="ORD1" s="9"/>
      <c r="ORE1" s="9"/>
      <c r="ORF1" s="9"/>
      <c r="ORG1" s="9"/>
      <c r="ORH1" s="9"/>
      <c r="ORI1" s="9"/>
      <c r="ORJ1" s="9"/>
      <c r="ORK1" s="9"/>
      <c r="ORL1" s="9"/>
      <c r="ORM1" s="9"/>
      <c r="ORN1" s="9"/>
      <c r="ORO1" s="9"/>
      <c r="ORP1" s="9"/>
      <c r="ORQ1" s="9"/>
      <c r="ORR1" s="9"/>
      <c r="ORS1" s="9"/>
      <c r="ORT1" s="9"/>
      <c r="ORU1" s="9"/>
      <c r="ORV1" s="9"/>
      <c r="ORW1" s="9"/>
      <c r="ORX1" s="9"/>
      <c r="ORY1" s="9"/>
      <c r="ORZ1" s="9"/>
      <c r="OSA1" s="9"/>
      <c r="OSB1" s="9"/>
      <c r="OSC1" s="9"/>
      <c r="OSD1" s="9"/>
      <c r="OSE1" s="9"/>
      <c r="OSF1" s="9"/>
      <c r="OSG1" s="9"/>
      <c r="OSH1" s="9"/>
      <c r="OSI1" s="9"/>
      <c r="OSJ1" s="9"/>
      <c r="OSK1" s="9"/>
      <c r="OSL1" s="9"/>
      <c r="OSM1" s="9"/>
      <c r="OSN1" s="9"/>
      <c r="OSO1" s="9"/>
      <c r="OSP1" s="9"/>
      <c r="OSQ1" s="9"/>
      <c r="OSR1" s="9"/>
      <c r="OSS1" s="9"/>
      <c r="OST1" s="9"/>
      <c r="OSU1" s="9"/>
      <c r="OSV1" s="9"/>
      <c r="OSW1" s="9"/>
      <c r="OSX1" s="9"/>
      <c r="OSY1" s="9"/>
      <c r="OSZ1" s="9"/>
      <c r="OTA1" s="9"/>
      <c r="OTB1" s="9"/>
      <c r="OTC1" s="9"/>
      <c r="OTD1" s="9"/>
      <c r="OTE1" s="9"/>
      <c r="OTF1" s="9"/>
      <c r="OTG1" s="9"/>
      <c r="OTH1" s="9"/>
      <c r="OTI1" s="9"/>
      <c r="OTJ1" s="9"/>
      <c r="OTK1" s="9"/>
      <c r="OTL1" s="9"/>
      <c r="OTM1" s="9"/>
      <c r="OTN1" s="9"/>
      <c r="OTO1" s="9"/>
      <c r="OTP1" s="9"/>
      <c r="OTQ1" s="9"/>
      <c r="OTR1" s="9"/>
      <c r="OTS1" s="9"/>
      <c r="OTT1" s="9"/>
      <c r="OTU1" s="9"/>
      <c r="OTV1" s="9"/>
      <c r="OTW1" s="9"/>
      <c r="OTX1" s="9"/>
      <c r="OTY1" s="9"/>
      <c r="OTZ1" s="9"/>
      <c r="OUA1" s="9"/>
      <c r="OUB1" s="9"/>
      <c r="OUC1" s="9"/>
      <c r="OUD1" s="9"/>
      <c r="OUE1" s="9"/>
      <c r="OUF1" s="9"/>
      <c r="OUG1" s="9"/>
      <c r="OUH1" s="9"/>
      <c r="OUI1" s="9"/>
      <c r="OUJ1" s="9"/>
      <c r="OUK1" s="9"/>
      <c r="OUL1" s="9"/>
      <c r="OUM1" s="9"/>
      <c r="OUN1" s="9"/>
      <c r="OUO1" s="9"/>
      <c r="OUP1" s="9"/>
      <c r="OUQ1" s="9"/>
      <c r="OUR1" s="9"/>
      <c r="OUS1" s="9"/>
      <c r="OUT1" s="9"/>
      <c r="OUU1" s="9"/>
      <c r="OUV1" s="9"/>
      <c r="OUW1" s="9"/>
      <c r="OUX1" s="9"/>
      <c r="OUY1" s="9"/>
      <c r="OUZ1" s="9"/>
      <c r="OVA1" s="9"/>
      <c r="OVB1" s="9"/>
      <c r="OVC1" s="9"/>
      <c r="OVD1" s="9"/>
      <c r="OVE1" s="9"/>
      <c r="OVF1" s="9"/>
      <c r="OVG1" s="9"/>
      <c r="OVH1" s="9"/>
      <c r="OVI1" s="9"/>
      <c r="OVJ1" s="9"/>
      <c r="OVK1" s="9"/>
      <c r="OVL1" s="9"/>
      <c r="OVM1" s="9"/>
      <c r="OVN1" s="9"/>
      <c r="OVO1" s="9"/>
      <c r="OVP1" s="9"/>
      <c r="OVQ1" s="9"/>
      <c r="OVR1" s="9"/>
      <c r="OVS1" s="9"/>
      <c r="OVT1" s="9"/>
      <c r="OVU1" s="9"/>
      <c r="OVV1" s="9"/>
      <c r="OVW1" s="9"/>
      <c r="OVX1" s="9"/>
      <c r="OVY1" s="9"/>
      <c r="OVZ1" s="9"/>
      <c r="OWA1" s="9"/>
      <c r="OWB1" s="9"/>
      <c r="OWC1" s="9"/>
      <c r="OWD1" s="9"/>
      <c r="OWE1" s="9"/>
      <c r="OWF1" s="9"/>
      <c r="OWG1" s="9"/>
      <c r="OWH1" s="9"/>
      <c r="OWI1" s="9"/>
      <c r="OWJ1" s="9"/>
      <c r="OWK1" s="9"/>
      <c r="OWL1" s="9"/>
      <c r="OWM1" s="9"/>
      <c r="OWN1" s="9"/>
      <c r="OWO1" s="9"/>
      <c r="OWP1" s="9"/>
      <c r="OWQ1" s="9"/>
      <c r="OWR1" s="9"/>
      <c r="OWS1" s="9"/>
      <c r="OWT1" s="9"/>
      <c r="OWU1" s="9"/>
      <c r="OWV1" s="9"/>
      <c r="OWW1" s="9"/>
      <c r="OWX1" s="9"/>
      <c r="OWY1" s="9"/>
      <c r="OWZ1" s="9"/>
      <c r="OXA1" s="9"/>
      <c r="OXB1" s="9"/>
      <c r="OXC1" s="9"/>
      <c r="OXD1" s="9"/>
      <c r="OXE1" s="9"/>
      <c r="OXF1" s="9"/>
      <c r="OXG1" s="9"/>
      <c r="OXH1" s="9"/>
      <c r="OXI1" s="9"/>
      <c r="OXJ1" s="9"/>
      <c r="OXK1" s="9"/>
      <c r="OXL1" s="9"/>
      <c r="OXM1" s="9"/>
      <c r="OXN1" s="9"/>
      <c r="OXO1" s="9"/>
      <c r="OXP1" s="9"/>
      <c r="OXQ1" s="9"/>
      <c r="OXR1" s="9"/>
      <c r="OXS1" s="9"/>
      <c r="OXT1" s="9"/>
      <c r="OXU1" s="9"/>
      <c r="OXV1" s="9"/>
      <c r="OXW1" s="9"/>
      <c r="OXX1" s="9"/>
      <c r="OXY1" s="9"/>
      <c r="OXZ1" s="9"/>
      <c r="OYA1" s="9"/>
      <c r="OYB1" s="9"/>
      <c r="OYC1" s="9"/>
      <c r="OYD1" s="9"/>
      <c r="OYE1" s="9"/>
      <c r="OYF1" s="9"/>
      <c r="OYG1" s="9"/>
      <c r="OYH1" s="9"/>
      <c r="OYI1" s="9"/>
      <c r="OYJ1" s="9"/>
      <c r="OYK1" s="9"/>
      <c r="OYL1" s="9"/>
      <c r="OYM1" s="9"/>
      <c r="OYN1" s="9"/>
      <c r="OYO1" s="9"/>
      <c r="OYP1" s="9"/>
      <c r="OYQ1" s="9"/>
      <c r="OYR1" s="9"/>
      <c r="OYS1" s="9"/>
      <c r="OYT1" s="9"/>
      <c r="OYU1" s="9"/>
      <c r="OYV1" s="9"/>
      <c r="OYW1" s="9"/>
      <c r="OYX1" s="9"/>
      <c r="OYY1" s="9"/>
      <c r="OYZ1" s="9"/>
      <c r="OZA1" s="9"/>
      <c r="OZB1" s="9"/>
      <c r="OZC1" s="9"/>
      <c r="OZD1" s="9"/>
      <c r="OZE1" s="9"/>
      <c r="OZF1" s="9"/>
      <c r="OZG1" s="9"/>
      <c r="OZH1" s="9"/>
      <c r="OZI1" s="9"/>
      <c r="OZJ1" s="9"/>
      <c r="OZK1" s="9"/>
      <c r="OZL1" s="9"/>
      <c r="OZM1" s="9"/>
      <c r="OZN1" s="9"/>
      <c r="OZO1" s="9"/>
      <c r="OZP1" s="9"/>
      <c r="OZQ1" s="9"/>
      <c r="OZR1" s="9"/>
      <c r="OZS1" s="9"/>
      <c r="OZT1" s="9"/>
      <c r="OZU1" s="9"/>
      <c r="OZV1" s="9"/>
      <c r="OZW1" s="9"/>
      <c r="OZX1" s="9"/>
      <c r="OZY1" s="9"/>
      <c r="OZZ1" s="9"/>
      <c r="PAA1" s="9"/>
      <c r="PAB1" s="9"/>
      <c r="PAC1" s="9"/>
      <c r="PAD1" s="9"/>
      <c r="PAE1" s="9"/>
      <c r="PAF1" s="9"/>
      <c r="PAG1" s="9"/>
      <c r="PAH1" s="9"/>
      <c r="PAI1" s="9"/>
      <c r="PAJ1" s="9"/>
      <c r="PAK1" s="9"/>
      <c r="PAL1" s="9"/>
      <c r="PAM1" s="9"/>
      <c r="PAN1" s="9"/>
      <c r="PAO1" s="9"/>
      <c r="PAP1" s="9"/>
      <c r="PAQ1" s="9"/>
      <c r="PAR1" s="9"/>
      <c r="PAS1" s="9"/>
      <c r="PAT1" s="9"/>
      <c r="PAU1" s="9"/>
      <c r="PAV1" s="9"/>
      <c r="PAW1" s="9"/>
      <c r="PAX1" s="9"/>
      <c r="PAY1" s="9"/>
      <c r="PAZ1" s="9"/>
      <c r="PBA1" s="9"/>
      <c r="PBB1" s="9"/>
      <c r="PBC1" s="9"/>
      <c r="PBD1" s="9"/>
      <c r="PBE1" s="9"/>
      <c r="PBF1" s="9"/>
      <c r="PBG1" s="9"/>
      <c r="PBH1" s="9"/>
      <c r="PBI1" s="9"/>
      <c r="PBJ1" s="9"/>
      <c r="PBK1" s="9"/>
      <c r="PBL1" s="9"/>
      <c r="PBM1" s="9"/>
      <c r="PBN1" s="9"/>
      <c r="PBO1" s="9"/>
      <c r="PBP1" s="9"/>
      <c r="PBQ1" s="9"/>
      <c r="PBR1" s="9"/>
      <c r="PBS1" s="9"/>
      <c r="PBT1" s="9"/>
      <c r="PBU1" s="9"/>
      <c r="PBV1" s="9"/>
      <c r="PBW1" s="9"/>
      <c r="PBX1" s="9"/>
      <c r="PBY1" s="9"/>
      <c r="PBZ1" s="9"/>
      <c r="PCA1" s="9"/>
      <c r="PCB1" s="9"/>
      <c r="PCC1" s="9"/>
      <c r="PCD1" s="9"/>
      <c r="PCE1" s="9"/>
      <c r="PCF1" s="9"/>
      <c r="PCG1" s="9"/>
      <c r="PCH1" s="9"/>
      <c r="PCI1" s="9"/>
      <c r="PCJ1" s="9"/>
      <c r="PCK1" s="9"/>
      <c r="PCL1" s="9"/>
      <c r="PCM1" s="9"/>
      <c r="PCN1" s="9"/>
      <c r="PCO1" s="9"/>
      <c r="PCP1" s="9"/>
      <c r="PCQ1" s="9"/>
      <c r="PCR1" s="9"/>
      <c r="PCS1" s="9"/>
      <c r="PCT1" s="9"/>
      <c r="PCU1" s="9"/>
      <c r="PCV1" s="9"/>
      <c r="PCW1" s="9"/>
      <c r="PCX1" s="9"/>
      <c r="PCY1" s="9"/>
      <c r="PCZ1" s="9"/>
      <c r="PDA1" s="9"/>
      <c r="PDB1" s="9"/>
      <c r="PDC1" s="9"/>
      <c r="PDD1" s="9"/>
      <c r="PDE1" s="9"/>
      <c r="PDF1" s="9"/>
      <c r="PDG1" s="9"/>
      <c r="PDH1" s="9"/>
      <c r="PDI1" s="9"/>
      <c r="PDJ1" s="9"/>
      <c r="PDK1" s="9"/>
      <c r="PDL1" s="9"/>
      <c r="PDM1" s="9"/>
      <c r="PDN1" s="9"/>
      <c r="PDO1" s="9"/>
      <c r="PDP1" s="9"/>
      <c r="PDQ1" s="9"/>
      <c r="PDR1" s="9"/>
      <c r="PDS1" s="9"/>
      <c r="PDT1" s="9"/>
      <c r="PDU1" s="9"/>
      <c r="PDV1" s="9"/>
      <c r="PDW1" s="9"/>
      <c r="PDX1" s="9"/>
      <c r="PDY1" s="9"/>
      <c r="PDZ1" s="9"/>
      <c r="PEA1" s="9"/>
      <c r="PEB1" s="9"/>
      <c r="PEC1" s="9"/>
      <c r="PED1" s="9"/>
      <c r="PEE1" s="9"/>
      <c r="PEF1" s="9"/>
      <c r="PEG1" s="9"/>
      <c r="PEH1" s="9"/>
      <c r="PEI1" s="9"/>
      <c r="PEJ1" s="9"/>
      <c r="PEK1" s="9"/>
      <c r="PEL1" s="9"/>
      <c r="PEM1" s="9"/>
      <c r="PEN1" s="9"/>
      <c r="PEO1" s="9"/>
      <c r="PEP1" s="9"/>
      <c r="PEQ1" s="9"/>
      <c r="PER1" s="9"/>
      <c r="PES1" s="9"/>
      <c r="PET1" s="9"/>
      <c r="PEU1" s="9"/>
      <c r="PEV1" s="9"/>
      <c r="PEW1" s="9"/>
      <c r="PEX1" s="9"/>
      <c r="PEY1" s="9"/>
      <c r="PEZ1" s="9"/>
      <c r="PFA1" s="9"/>
      <c r="PFB1" s="9"/>
      <c r="PFC1" s="9"/>
      <c r="PFD1" s="9"/>
      <c r="PFE1" s="9"/>
      <c r="PFF1" s="9"/>
      <c r="PFG1" s="9"/>
      <c r="PFH1" s="9"/>
      <c r="PFI1" s="9"/>
      <c r="PFJ1" s="9"/>
      <c r="PFK1" s="9"/>
      <c r="PFL1" s="9"/>
      <c r="PFM1" s="9"/>
      <c r="PFN1" s="9"/>
      <c r="PFO1" s="9"/>
      <c r="PFP1" s="9"/>
      <c r="PFQ1" s="9"/>
      <c r="PFR1" s="9"/>
      <c r="PFS1" s="9"/>
      <c r="PFT1" s="9"/>
      <c r="PFU1" s="9"/>
      <c r="PFV1" s="9"/>
      <c r="PFW1" s="9"/>
      <c r="PFX1" s="9"/>
      <c r="PFY1" s="9"/>
      <c r="PFZ1" s="9"/>
      <c r="PGA1" s="9"/>
      <c r="PGB1" s="9"/>
      <c r="PGC1" s="9"/>
      <c r="PGD1" s="9"/>
      <c r="PGE1" s="9"/>
      <c r="PGF1" s="9"/>
      <c r="PGG1" s="9"/>
      <c r="PGH1" s="9"/>
      <c r="PGI1" s="9"/>
      <c r="PGJ1" s="9"/>
      <c r="PGK1" s="9"/>
      <c r="PGL1" s="9"/>
      <c r="PGM1" s="9"/>
      <c r="PGN1" s="9"/>
      <c r="PGO1" s="9"/>
      <c r="PGP1" s="9"/>
      <c r="PGQ1" s="9"/>
      <c r="PGR1" s="9"/>
      <c r="PGS1" s="9"/>
      <c r="PGT1" s="9"/>
      <c r="PGU1" s="9"/>
      <c r="PGV1" s="9"/>
      <c r="PGW1" s="9"/>
      <c r="PGX1" s="9"/>
      <c r="PGY1" s="9"/>
      <c r="PGZ1" s="9"/>
      <c r="PHA1" s="9"/>
      <c r="PHB1" s="9"/>
      <c r="PHC1" s="9"/>
      <c r="PHD1" s="9"/>
      <c r="PHE1" s="9"/>
      <c r="PHF1" s="9"/>
      <c r="PHG1" s="9"/>
      <c r="PHH1" s="9"/>
      <c r="PHI1" s="9"/>
      <c r="PHJ1" s="9"/>
      <c r="PHK1" s="9"/>
      <c r="PHL1" s="9"/>
      <c r="PHM1" s="9"/>
      <c r="PHN1" s="9"/>
      <c r="PHO1" s="9"/>
      <c r="PHP1" s="9"/>
      <c r="PHQ1" s="9"/>
      <c r="PHR1" s="9"/>
      <c r="PHS1" s="9"/>
      <c r="PHT1" s="9"/>
      <c r="PHU1" s="9"/>
      <c r="PHV1" s="9"/>
      <c r="PHW1" s="9"/>
      <c r="PHX1" s="9"/>
      <c r="PHY1" s="9"/>
      <c r="PHZ1" s="9"/>
      <c r="PIA1" s="9"/>
      <c r="PIB1" s="9"/>
      <c r="PIC1" s="9"/>
      <c r="PID1" s="9"/>
      <c r="PIE1" s="9"/>
      <c r="PIF1" s="9"/>
      <c r="PIG1" s="9"/>
      <c r="PIH1" s="9"/>
      <c r="PII1" s="9"/>
      <c r="PIJ1" s="9"/>
      <c r="PIK1" s="9"/>
      <c r="PIL1" s="9"/>
      <c r="PIM1" s="9"/>
      <c r="PIN1" s="9"/>
      <c r="PIO1" s="9"/>
      <c r="PIP1" s="9"/>
      <c r="PIQ1" s="9"/>
      <c r="PIR1" s="9"/>
      <c r="PIS1" s="9"/>
      <c r="PIT1" s="9"/>
      <c r="PIU1" s="9"/>
      <c r="PIV1" s="9"/>
      <c r="PIW1" s="9"/>
      <c r="PIX1" s="9"/>
      <c r="PIY1" s="9"/>
      <c r="PIZ1" s="9"/>
      <c r="PJA1" s="9"/>
      <c r="PJB1" s="9"/>
      <c r="PJC1" s="9"/>
      <c r="PJD1" s="9"/>
      <c r="PJE1" s="9"/>
      <c r="PJF1" s="9"/>
      <c r="PJG1" s="9"/>
      <c r="PJH1" s="9"/>
      <c r="PJI1" s="9"/>
      <c r="PJJ1" s="9"/>
      <c r="PJK1" s="9"/>
      <c r="PJL1" s="9"/>
      <c r="PJM1" s="9"/>
      <c r="PJN1" s="9"/>
      <c r="PJO1" s="9"/>
      <c r="PJP1" s="9"/>
      <c r="PJQ1" s="9"/>
      <c r="PJR1" s="9"/>
      <c r="PJS1" s="9"/>
      <c r="PJT1" s="9"/>
      <c r="PJU1" s="9"/>
      <c r="PJV1" s="9"/>
      <c r="PJW1" s="9"/>
      <c r="PJX1" s="9"/>
      <c r="PJY1" s="9"/>
      <c r="PJZ1" s="9"/>
      <c r="PKA1" s="9"/>
      <c r="PKB1" s="9"/>
      <c r="PKC1" s="9"/>
      <c r="PKD1" s="9"/>
      <c r="PKE1" s="9"/>
      <c r="PKF1" s="9"/>
      <c r="PKG1" s="9"/>
      <c r="PKH1" s="9"/>
      <c r="PKI1" s="9"/>
      <c r="PKJ1" s="9"/>
      <c r="PKK1" s="9"/>
      <c r="PKL1" s="9"/>
      <c r="PKM1" s="9"/>
      <c r="PKN1" s="9"/>
      <c r="PKO1" s="9"/>
      <c r="PKP1" s="9"/>
      <c r="PKQ1" s="9"/>
      <c r="PKR1" s="9"/>
      <c r="PKS1" s="9"/>
      <c r="PKT1" s="9"/>
      <c r="PKU1" s="9"/>
      <c r="PKV1" s="9"/>
      <c r="PKW1" s="9"/>
      <c r="PKX1" s="9"/>
      <c r="PKY1" s="9"/>
      <c r="PKZ1" s="9"/>
      <c r="PLA1" s="9"/>
      <c r="PLB1" s="9"/>
      <c r="PLC1" s="9"/>
      <c r="PLD1" s="9"/>
      <c r="PLE1" s="9"/>
      <c r="PLF1" s="9"/>
      <c r="PLG1" s="9"/>
      <c r="PLH1" s="9"/>
      <c r="PLI1" s="9"/>
      <c r="PLJ1" s="9"/>
      <c r="PLK1" s="9"/>
      <c r="PLL1" s="9"/>
      <c r="PLM1" s="9"/>
      <c r="PLN1" s="9"/>
      <c r="PLO1" s="9"/>
      <c r="PLP1" s="9"/>
      <c r="PLQ1" s="9"/>
      <c r="PLR1" s="9"/>
      <c r="PLS1" s="9"/>
      <c r="PLT1" s="9"/>
      <c r="PLU1" s="9"/>
      <c r="PLV1" s="9"/>
      <c r="PLW1" s="9"/>
      <c r="PLX1" s="9"/>
      <c r="PLY1" s="9"/>
      <c r="PLZ1" s="9"/>
      <c r="PMA1" s="9"/>
      <c r="PMB1" s="9"/>
      <c r="PMC1" s="9"/>
      <c r="PMD1" s="9"/>
      <c r="PME1" s="9"/>
      <c r="PMF1" s="9"/>
      <c r="PMG1" s="9"/>
      <c r="PMH1" s="9"/>
      <c r="PMI1" s="9"/>
      <c r="PMJ1" s="9"/>
      <c r="PMK1" s="9"/>
      <c r="PML1" s="9"/>
      <c r="PMM1" s="9"/>
      <c r="PMN1" s="9"/>
      <c r="PMO1" s="9"/>
      <c r="PMP1" s="9"/>
      <c r="PMQ1" s="9"/>
      <c r="PMR1" s="9"/>
      <c r="PMS1" s="9"/>
      <c r="PMT1" s="9"/>
      <c r="PMU1" s="9"/>
      <c r="PMV1" s="9"/>
      <c r="PMW1" s="9"/>
      <c r="PMX1" s="9"/>
      <c r="PMY1" s="9"/>
      <c r="PMZ1" s="9"/>
      <c r="PNA1" s="9"/>
      <c r="PNB1" s="9"/>
      <c r="PNC1" s="9"/>
      <c r="PND1" s="9"/>
      <c r="PNE1" s="9"/>
      <c r="PNF1" s="9"/>
      <c r="PNG1" s="9"/>
      <c r="PNH1" s="9"/>
      <c r="PNI1" s="9"/>
      <c r="PNJ1" s="9"/>
      <c r="PNK1" s="9"/>
      <c r="PNL1" s="9"/>
      <c r="PNM1" s="9"/>
      <c r="PNN1" s="9"/>
      <c r="PNO1" s="9"/>
      <c r="PNP1" s="9"/>
      <c r="PNQ1" s="9"/>
      <c r="PNR1" s="9"/>
      <c r="PNS1" s="9"/>
      <c r="PNT1" s="9"/>
      <c r="PNU1" s="9"/>
      <c r="PNV1" s="9"/>
      <c r="PNW1" s="9"/>
      <c r="PNX1" s="9"/>
      <c r="PNY1" s="9"/>
      <c r="PNZ1" s="9"/>
      <c r="POA1" s="9"/>
      <c r="POB1" s="9"/>
      <c r="POC1" s="9"/>
      <c r="POD1" s="9"/>
      <c r="POE1" s="9"/>
      <c r="POF1" s="9"/>
      <c r="POG1" s="9"/>
      <c r="POH1" s="9"/>
      <c r="POI1" s="9"/>
      <c r="POJ1" s="9"/>
      <c r="POK1" s="9"/>
      <c r="POL1" s="9"/>
      <c r="POM1" s="9"/>
      <c r="PON1" s="9"/>
      <c r="POO1" s="9"/>
      <c r="POP1" s="9"/>
      <c r="POQ1" s="9"/>
      <c r="POR1" s="9"/>
      <c r="POS1" s="9"/>
      <c r="POT1" s="9"/>
      <c r="POU1" s="9"/>
      <c r="POV1" s="9"/>
      <c r="POW1" s="9"/>
      <c r="POX1" s="9"/>
      <c r="POY1" s="9"/>
      <c r="POZ1" s="9"/>
      <c r="PPA1" s="9"/>
      <c r="PPB1" s="9"/>
      <c r="PPC1" s="9"/>
      <c r="PPD1" s="9"/>
      <c r="PPE1" s="9"/>
      <c r="PPF1" s="9"/>
      <c r="PPG1" s="9"/>
      <c r="PPH1" s="9"/>
      <c r="PPI1" s="9"/>
      <c r="PPJ1" s="9"/>
      <c r="PPK1" s="9"/>
      <c r="PPL1" s="9"/>
      <c r="PPM1" s="9"/>
      <c r="PPN1" s="9"/>
      <c r="PPO1" s="9"/>
      <c r="PPP1" s="9"/>
      <c r="PPQ1" s="9"/>
      <c r="PPR1" s="9"/>
      <c r="PPS1" s="9"/>
      <c r="PPT1" s="9"/>
      <c r="PPU1" s="9"/>
      <c r="PPV1" s="9"/>
      <c r="PPW1" s="9"/>
      <c r="PPX1" s="9"/>
      <c r="PPY1" s="9"/>
      <c r="PPZ1" s="9"/>
      <c r="PQA1" s="9"/>
      <c r="PQB1" s="9"/>
      <c r="PQC1" s="9"/>
      <c r="PQD1" s="9"/>
      <c r="PQE1" s="9"/>
      <c r="PQF1" s="9"/>
      <c r="PQG1" s="9"/>
      <c r="PQH1" s="9"/>
      <c r="PQI1" s="9"/>
      <c r="PQJ1" s="9"/>
      <c r="PQK1" s="9"/>
      <c r="PQL1" s="9"/>
      <c r="PQM1" s="9"/>
      <c r="PQN1" s="9"/>
      <c r="PQO1" s="9"/>
      <c r="PQP1" s="9"/>
      <c r="PQQ1" s="9"/>
      <c r="PQR1" s="9"/>
      <c r="PQS1" s="9"/>
      <c r="PQT1" s="9"/>
      <c r="PQU1" s="9"/>
      <c r="PQV1" s="9"/>
      <c r="PQW1" s="9"/>
      <c r="PQX1" s="9"/>
      <c r="PQY1" s="9"/>
      <c r="PQZ1" s="9"/>
      <c r="PRA1" s="9"/>
      <c r="PRB1" s="9"/>
      <c r="PRC1" s="9"/>
      <c r="PRD1" s="9"/>
      <c r="PRE1" s="9"/>
      <c r="PRF1" s="9"/>
      <c r="PRG1" s="9"/>
      <c r="PRH1" s="9"/>
      <c r="PRI1" s="9"/>
      <c r="PRJ1" s="9"/>
      <c r="PRK1" s="9"/>
      <c r="PRL1" s="9"/>
      <c r="PRM1" s="9"/>
      <c r="PRN1" s="9"/>
      <c r="PRO1" s="9"/>
      <c r="PRP1" s="9"/>
      <c r="PRQ1" s="9"/>
      <c r="PRR1" s="9"/>
      <c r="PRS1" s="9"/>
      <c r="PRT1" s="9"/>
      <c r="PRU1" s="9"/>
      <c r="PRV1" s="9"/>
      <c r="PRW1" s="9"/>
      <c r="PRX1" s="9"/>
      <c r="PRY1" s="9"/>
      <c r="PRZ1" s="9"/>
      <c r="PSA1" s="9"/>
      <c r="PSB1" s="9"/>
      <c r="PSC1" s="9"/>
      <c r="PSD1" s="9"/>
      <c r="PSE1" s="9"/>
      <c r="PSF1" s="9"/>
      <c r="PSG1" s="9"/>
      <c r="PSH1" s="9"/>
      <c r="PSI1" s="9"/>
      <c r="PSJ1" s="9"/>
      <c r="PSK1" s="9"/>
      <c r="PSL1" s="9"/>
      <c r="PSM1" s="9"/>
      <c r="PSN1" s="9"/>
      <c r="PSO1" s="9"/>
      <c r="PSP1" s="9"/>
      <c r="PSQ1" s="9"/>
      <c r="PSR1" s="9"/>
      <c r="PSS1" s="9"/>
      <c r="PST1" s="9"/>
      <c r="PSU1" s="9"/>
      <c r="PSV1" s="9"/>
      <c r="PSW1" s="9"/>
      <c r="PSX1" s="9"/>
      <c r="PSY1" s="9"/>
      <c r="PSZ1" s="9"/>
      <c r="PTA1" s="9"/>
      <c r="PTB1" s="9"/>
      <c r="PTC1" s="9"/>
      <c r="PTD1" s="9"/>
      <c r="PTE1" s="9"/>
      <c r="PTF1" s="9"/>
      <c r="PTG1" s="9"/>
      <c r="PTH1" s="9"/>
      <c r="PTI1" s="9"/>
      <c r="PTJ1" s="9"/>
      <c r="PTK1" s="9"/>
      <c r="PTL1" s="9"/>
      <c r="PTM1" s="9"/>
      <c r="PTN1" s="9"/>
      <c r="PTO1" s="9"/>
      <c r="PTP1" s="9"/>
      <c r="PTQ1" s="9"/>
      <c r="PTR1" s="9"/>
      <c r="PTS1" s="9"/>
      <c r="PTT1" s="9"/>
      <c r="PTU1" s="9"/>
      <c r="PTV1" s="9"/>
      <c r="PTW1" s="9"/>
      <c r="PTX1" s="9"/>
      <c r="PTY1" s="9"/>
      <c r="PTZ1" s="9"/>
      <c r="PUA1" s="9"/>
      <c r="PUB1" s="9"/>
      <c r="PUC1" s="9"/>
      <c r="PUD1" s="9"/>
      <c r="PUE1" s="9"/>
      <c r="PUF1" s="9"/>
      <c r="PUG1" s="9"/>
      <c r="PUH1" s="9"/>
      <c r="PUI1" s="9"/>
      <c r="PUJ1" s="9"/>
      <c r="PUK1" s="9"/>
      <c r="PUL1" s="9"/>
      <c r="PUM1" s="9"/>
      <c r="PUN1" s="9"/>
      <c r="PUO1" s="9"/>
      <c r="PUP1" s="9"/>
      <c r="PUQ1" s="9"/>
      <c r="PUR1" s="9"/>
      <c r="PUS1" s="9"/>
      <c r="PUT1" s="9"/>
      <c r="PUU1" s="9"/>
      <c r="PUV1" s="9"/>
      <c r="PUW1" s="9"/>
      <c r="PUX1" s="9"/>
      <c r="PUY1" s="9"/>
      <c r="PUZ1" s="9"/>
      <c r="PVA1" s="9"/>
      <c r="PVB1" s="9"/>
      <c r="PVC1" s="9"/>
      <c r="PVD1" s="9"/>
      <c r="PVE1" s="9"/>
      <c r="PVF1" s="9"/>
      <c r="PVG1" s="9"/>
      <c r="PVH1" s="9"/>
      <c r="PVI1" s="9"/>
      <c r="PVJ1" s="9"/>
      <c r="PVK1" s="9"/>
      <c r="PVL1" s="9"/>
      <c r="PVM1" s="9"/>
      <c r="PVN1" s="9"/>
      <c r="PVO1" s="9"/>
      <c r="PVP1" s="9"/>
      <c r="PVQ1" s="9"/>
      <c r="PVR1" s="9"/>
      <c r="PVS1" s="9"/>
      <c r="PVT1" s="9"/>
      <c r="PVU1" s="9"/>
      <c r="PVV1" s="9"/>
      <c r="PVW1" s="9"/>
      <c r="PVX1" s="9"/>
      <c r="PVY1" s="9"/>
      <c r="PVZ1" s="9"/>
      <c r="PWA1" s="9"/>
      <c r="PWB1" s="9"/>
      <c r="PWC1" s="9"/>
      <c r="PWD1" s="9"/>
      <c r="PWE1" s="9"/>
      <c r="PWF1" s="9"/>
      <c r="PWG1" s="9"/>
      <c r="PWH1" s="9"/>
      <c r="PWI1" s="9"/>
      <c r="PWJ1" s="9"/>
      <c r="PWK1" s="9"/>
      <c r="PWL1" s="9"/>
      <c r="PWM1" s="9"/>
      <c r="PWN1" s="9"/>
      <c r="PWO1" s="9"/>
      <c r="PWP1" s="9"/>
      <c r="PWQ1" s="9"/>
      <c r="PWR1" s="9"/>
      <c r="PWS1" s="9"/>
      <c r="PWT1" s="9"/>
      <c r="PWU1" s="9"/>
      <c r="PWV1" s="9"/>
      <c r="PWW1" s="9"/>
      <c r="PWX1" s="9"/>
      <c r="PWY1" s="9"/>
      <c r="PWZ1" s="9"/>
      <c r="PXA1" s="9"/>
      <c r="PXB1" s="9"/>
      <c r="PXC1" s="9"/>
      <c r="PXD1" s="9"/>
      <c r="PXE1" s="9"/>
      <c r="PXF1" s="9"/>
      <c r="PXG1" s="9"/>
      <c r="PXH1" s="9"/>
      <c r="PXI1" s="9"/>
      <c r="PXJ1" s="9"/>
      <c r="PXK1" s="9"/>
      <c r="PXL1" s="9"/>
      <c r="PXM1" s="9"/>
      <c r="PXN1" s="9"/>
      <c r="PXO1" s="9"/>
      <c r="PXP1" s="9"/>
      <c r="PXQ1" s="9"/>
      <c r="PXR1" s="9"/>
      <c r="PXS1" s="9"/>
      <c r="PXT1" s="9"/>
      <c r="PXU1" s="9"/>
      <c r="PXV1" s="9"/>
      <c r="PXW1" s="9"/>
      <c r="PXX1" s="9"/>
      <c r="PXY1" s="9"/>
      <c r="PXZ1" s="9"/>
      <c r="PYA1" s="9"/>
      <c r="PYB1" s="9"/>
      <c r="PYC1" s="9"/>
      <c r="PYD1" s="9"/>
      <c r="PYE1" s="9"/>
      <c r="PYF1" s="9"/>
      <c r="PYG1" s="9"/>
      <c r="PYH1" s="9"/>
      <c r="PYI1" s="9"/>
      <c r="PYJ1" s="9"/>
      <c r="PYK1" s="9"/>
      <c r="PYL1" s="9"/>
      <c r="PYM1" s="9"/>
      <c r="PYN1" s="9"/>
      <c r="PYO1" s="9"/>
      <c r="PYP1" s="9"/>
      <c r="PYQ1" s="9"/>
      <c r="PYR1" s="9"/>
      <c r="PYS1" s="9"/>
      <c r="PYT1" s="9"/>
      <c r="PYU1" s="9"/>
      <c r="PYV1" s="9"/>
      <c r="PYW1" s="9"/>
      <c r="PYX1" s="9"/>
      <c r="PYY1" s="9"/>
      <c r="PYZ1" s="9"/>
      <c r="PZA1" s="9"/>
      <c r="PZB1" s="9"/>
      <c r="PZC1" s="9"/>
      <c r="PZD1" s="9"/>
      <c r="PZE1" s="9"/>
      <c r="PZF1" s="9"/>
      <c r="PZG1" s="9"/>
      <c r="PZH1" s="9"/>
      <c r="PZI1" s="9"/>
      <c r="PZJ1" s="9"/>
      <c r="PZK1" s="9"/>
      <c r="PZL1" s="9"/>
      <c r="PZM1" s="9"/>
      <c r="PZN1" s="9"/>
      <c r="PZO1" s="9"/>
      <c r="PZP1" s="9"/>
      <c r="PZQ1" s="9"/>
      <c r="PZR1" s="9"/>
      <c r="PZS1" s="9"/>
      <c r="PZT1" s="9"/>
      <c r="PZU1" s="9"/>
      <c r="PZV1" s="9"/>
      <c r="PZW1" s="9"/>
      <c r="PZX1" s="9"/>
      <c r="PZY1" s="9"/>
      <c r="PZZ1" s="9"/>
      <c r="QAA1" s="9"/>
      <c r="QAB1" s="9"/>
      <c r="QAC1" s="9"/>
      <c r="QAD1" s="9"/>
      <c r="QAE1" s="9"/>
      <c r="QAF1" s="9"/>
      <c r="QAG1" s="9"/>
      <c r="QAH1" s="9"/>
      <c r="QAI1" s="9"/>
      <c r="QAJ1" s="9"/>
      <c r="QAK1" s="9"/>
      <c r="QAL1" s="9"/>
      <c r="QAM1" s="9"/>
      <c r="QAN1" s="9"/>
      <c r="QAO1" s="9"/>
      <c r="QAP1" s="9"/>
      <c r="QAQ1" s="9"/>
      <c r="QAR1" s="9"/>
      <c r="QAS1" s="9"/>
      <c r="QAT1" s="9"/>
      <c r="QAU1" s="9"/>
      <c r="QAV1" s="9"/>
      <c r="QAW1" s="9"/>
      <c r="QAX1" s="9"/>
      <c r="QAY1" s="9"/>
      <c r="QAZ1" s="9"/>
      <c r="QBA1" s="9"/>
      <c r="QBB1" s="9"/>
      <c r="QBC1" s="9"/>
      <c r="QBD1" s="9"/>
      <c r="QBE1" s="9"/>
      <c r="QBF1" s="9"/>
      <c r="QBG1" s="9"/>
      <c r="QBH1" s="9"/>
      <c r="QBI1" s="9"/>
      <c r="QBJ1" s="9"/>
      <c r="QBK1" s="9"/>
      <c r="QBL1" s="9"/>
      <c r="QBM1" s="9"/>
      <c r="QBN1" s="9"/>
      <c r="QBO1" s="9"/>
      <c r="QBP1" s="9"/>
      <c r="QBQ1" s="9"/>
      <c r="QBR1" s="9"/>
      <c r="QBS1" s="9"/>
      <c r="QBT1" s="9"/>
      <c r="QBU1" s="9"/>
      <c r="QBV1" s="9"/>
      <c r="QBW1" s="9"/>
      <c r="QBX1" s="9"/>
      <c r="QBY1" s="9"/>
      <c r="QBZ1" s="9"/>
      <c r="QCA1" s="9"/>
      <c r="QCB1" s="9"/>
      <c r="QCC1" s="9"/>
      <c r="QCD1" s="9"/>
      <c r="QCE1" s="9"/>
      <c r="QCF1" s="9"/>
      <c r="QCG1" s="9"/>
      <c r="QCH1" s="9"/>
      <c r="QCI1" s="9"/>
      <c r="QCJ1" s="9"/>
      <c r="QCK1" s="9"/>
      <c r="QCL1" s="9"/>
      <c r="QCM1" s="9"/>
      <c r="QCN1" s="9"/>
      <c r="QCO1" s="9"/>
      <c r="QCP1" s="9"/>
      <c r="QCQ1" s="9"/>
      <c r="QCR1" s="9"/>
      <c r="QCS1" s="9"/>
      <c r="QCT1" s="9"/>
      <c r="QCU1" s="9"/>
      <c r="QCV1" s="9"/>
      <c r="QCW1" s="9"/>
      <c r="QCX1" s="9"/>
      <c r="QCY1" s="9"/>
      <c r="QCZ1" s="9"/>
      <c r="QDA1" s="9"/>
      <c r="QDB1" s="9"/>
      <c r="QDC1" s="9"/>
      <c r="QDD1" s="9"/>
      <c r="QDE1" s="9"/>
      <c r="QDF1" s="9"/>
      <c r="QDG1" s="9"/>
      <c r="QDH1" s="9"/>
      <c r="QDI1" s="9"/>
      <c r="QDJ1" s="9"/>
      <c r="QDK1" s="9"/>
      <c r="QDL1" s="9"/>
      <c r="QDM1" s="9"/>
      <c r="QDN1" s="9"/>
      <c r="QDO1" s="9"/>
      <c r="QDP1" s="9"/>
      <c r="QDQ1" s="9"/>
      <c r="QDR1" s="9"/>
      <c r="QDS1" s="9"/>
      <c r="QDT1" s="9"/>
      <c r="QDU1" s="9"/>
      <c r="QDV1" s="9"/>
      <c r="QDW1" s="9"/>
      <c r="QDX1" s="9"/>
      <c r="QDY1" s="9"/>
      <c r="QDZ1" s="9"/>
      <c r="QEA1" s="9"/>
      <c r="QEB1" s="9"/>
      <c r="QEC1" s="9"/>
      <c r="QED1" s="9"/>
      <c r="QEE1" s="9"/>
      <c r="QEF1" s="9"/>
      <c r="QEG1" s="9"/>
      <c r="QEH1" s="9"/>
      <c r="QEI1" s="9"/>
      <c r="QEJ1" s="9"/>
      <c r="QEK1" s="9"/>
      <c r="QEL1" s="9"/>
      <c r="QEM1" s="9"/>
      <c r="QEN1" s="9"/>
      <c r="QEO1" s="9"/>
      <c r="QEP1" s="9"/>
      <c r="QEQ1" s="9"/>
      <c r="QER1" s="9"/>
      <c r="QES1" s="9"/>
      <c r="QET1" s="9"/>
      <c r="QEU1" s="9"/>
      <c r="QEV1" s="9"/>
      <c r="QEW1" s="9"/>
      <c r="QEX1" s="9"/>
      <c r="QEY1" s="9"/>
      <c r="QEZ1" s="9"/>
      <c r="QFA1" s="9"/>
      <c r="QFB1" s="9"/>
      <c r="QFC1" s="9"/>
      <c r="QFD1" s="9"/>
      <c r="QFE1" s="9"/>
      <c r="QFF1" s="9"/>
      <c r="QFG1" s="9"/>
      <c r="QFH1" s="9"/>
      <c r="QFI1" s="9"/>
      <c r="QFJ1" s="9"/>
      <c r="QFK1" s="9"/>
      <c r="QFL1" s="9"/>
      <c r="QFM1" s="9"/>
      <c r="QFN1" s="9"/>
      <c r="QFO1" s="9"/>
      <c r="QFP1" s="9"/>
      <c r="QFQ1" s="9"/>
      <c r="QFR1" s="9"/>
      <c r="QFS1" s="9"/>
      <c r="QFT1" s="9"/>
      <c r="QFU1" s="9"/>
      <c r="QFV1" s="9"/>
      <c r="QFW1" s="9"/>
      <c r="QFX1" s="9"/>
      <c r="QFY1" s="9"/>
      <c r="QFZ1" s="9"/>
      <c r="QGA1" s="9"/>
      <c r="QGB1" s="9"/>
      <c r="QGC1" s="9"/>
      <c r="QGD1" s="9"/>
      <c r="QGE1" s="9"/>
      <c r="QGF1" s="9"/>
      <c r="QGG1" s="9"/>
      <c r="QGH1" s="9"/>
      <c r="QGI1" s="9"/>
      <c r="QGJ1" s="9"/>
      <c r="QGK1" s="9"/>
      <c r="QGL1" s="9"/>
      <c r="QGM1" s="9"/>
      <c r="QGN1" s="9"/>
      <c r="QGO1" s="9"/>
      <c r="QGP1" s="9"/>
      <c r="QGQ1" s="9"/>
      <c r="QGR1" s="9"/>
      <c r="QGS1" s="9"/>
      <c r="QGT1" s="9"/>
      <c r="QGU1" s="9"/>
      <c r="QGV1" s="9"/>
      <c r="QGW1" s="9"/>
      <c r="QGX1" s="9"/>
      <c r="QGY1" s="9"/>
      <c r="QGZ1" s="9"/>
      <c r="QHA1" s="9"/>
      <c r="QHB1" s="9"/>
      <c r="QHC1" s="9"/>
      <c r="QHD1" s="9"/>
      <c r="QHE1" s="9"/>
      <c r="QHF1" s="9"/>
      <c r="QHG1" s="9"/>
      <c r="QHH1" s="9"/>
      <c r="QHI1" s="9"/>
      <c r="QHJ1" s="9"/>
      <c r="QHK1" s="9"/>
      <c r="QHL1" s="9"/>
      <c r="QHM1" s="9"/>
      <c r="QHN1" s="9"/>
      <c r="QHO1" s="9"/>
      <c r="QHP1" s="9"/>
      <c r="QHQ1" s="9"/>
      <c r="QHR1" s="9"/>
      <c r="QHS1" s="9"/>
      <c r="QHT1" s="9"/>
      <c r="QHU1" s="9"/>
      <c r="QHV1" s="9"/>
      <c r="QHW1" s="9"/>
      <c r="QHX1" s="9"/>
      <c r="QHY1" s="9"/>
      <c r="QHZ1" s="9"/>
      <c r="QIA1" s="9"/>
      <c r="QIB1" s="9"/>
      <c r="QIC1" s="9"/>
      <c r="QID1" s="9"/>
      <c r="QIE1" s="9"/>
      <c r="QIF1" s="9"/>
      <c r="QIG1" s="9"/>
      <c r="QIH1" s="9"/>
      <c r="QII1" s="9"/>
      <c r="QIJ1" s="9"/>
      <c r="QIK1" s="9"/>
      <c r="QIL1" s="9"/>
      <c r="QIM1" s="9"/>
      <c r="QIN1" s="9"/>
      <c r="QIO1" s="9"/>
      <c r="QIP1" s="9"/>
      <c r="QIQ1" s="9"/>
      <c r="QIR1" s="9"/>
      <c r="QIS1" s="9"/>
      <c r="QIT1" s="9"/>
      <c r="QIU1" s="9"/>
      <c r="QIV1" s="9"/>
      <c r="QIW1" s="9"/>
      <c r="QIX1" s="9"/>
      <c r="QIY1" s="9"/>
      <c r="QIZ1" s="9"/>
      <c r="QJA1" s="9"/>
      <c r="QJB1" s="9"/>
      <c r="QJC1" s="9"/>
      <c r="QJD1" s="9"/>
      <c r="QJE1" s="9"/>
      <c r="QJF1" s="9"/>
      <c r="QJG1" s="9"/>
      <c r="QJH1" s="9"/>
      <c r="QJI1" s="9"/>
      <c r="QJJ1" s="9"/>
      <c r="QJK1" s="9"/>
      <c r="QJL1" s="9"/>
      <c r="QJM1" s="9"/>
      <c r="QJN1" s="9"/>
      <c r="QJO1" s="9"/>
      <c r="QJP1" s="9"/>
      <c r="QJQ1" s="9"/>
      <c r="QJR1" s="9"/>
      <c r="QJS1" s="9"/>
      <c r="QJT1" s="9"/>
      <c r="QJU1" s="9"/>
      <c r="QJV1" s="9"/>
      <c r="QJW1" s="9"/>
      <c r="QJX1" s="9"/>
      <c r="QJY1" s="9"/>
      <c r="QJZ1" s="9"/>
      <c r="QKA1" s="9"/>
      <c r="QKB1" s="9"/>
      <c r="QKC1" s="9"/>
      <c r="QKD1" s="9"/>
      <c r="QKE1" s="9"/>
      <c r="QKF1" s="9"/>
      <c r="QKG1" s="9"/>
      <c r="QKH1" s="9"/>
      <c r="QKI1" s="9"/>
      <c r="QKJ1" s="9"/>
      <c r="QKK1" s="9"/>
      <c r="QKL1" s="9"/>
      <c r="QKM1" s="9"/>
      <c r="QKN1" s="9"/>
      <c r="QKO1" s="9"/>
      <c r="QKP1" s="9"/>
      <c r="QKQ1" s="9"/>
      <c r="QKR1" s="9"/>
      <c r="QKS1" s="9"/>
      <c r="QKT1" s="9"/>
      <c r="QKU1" s="9"/>
      <c r="QKV1" s="9"/>
      <c r="QKW1" s="9"/>
      <c r="QKX1" s="9"/>
      <c r="QKY1" s="9"/>
      <c r="QKZ1" s="9"/>
      <c r="QLA1" s="9"/>
      <c r="QLB1" s="9"/>
      <c r="QLC1" s="9"/>
      <c r="QLD1" s="9"/>
      <c r="QLE1" s="9"/>
      <c r="QLF1" s="9"/>
      <c r="QLG1" s="9"/>
      <c r="QLH1" s="9"/>
      <c r="QLI1" s="9"/>
      <c r="QLJ1" s="9"/>
      <c r="QLK1" s="9"/>
      <c r="QLL1" s="9"/>
      <c r="QLM1" s="9"/>
      <c r="QLN1" s="9"/>
      <c r="QLO1" s="9"/>
      <c r="QLP1" s="9"/>
      <c r="QLQ1" s="9"/>
      <c r="QLR1" s="9"/>
      <c r="QLS1" s="9"/>
      <c r="QLT1" s="9"/>
      <c r="QLU1" s="9"/>
      <c r="QLV1" s="9"/>
      <c r="QLW1" s="9"/>
      <c r="QLX1" s="9"/>
      <c r="QLY1" s="9"/>
      <c r="QLZ1" s="9"/>
      <c r="QMA1" s="9"/>
      <c r="QMB1" s="9"/>
      <c r="QMC1" s="9"/>
      <c r="QMD1" s="9"/>
      <c r="QME1" s="9"/>
      <c r="QMF1" s="9"/>
      <c r="QMG1" s="9"/>
      <c r="QMH1" s="9"/>
      <c r="QMI1" s="9"/>
      <c r="QMJ1" s="9"/>
      <c r="QMK1" s="9"/>
      <c r="QML1" s="9"/>
      <c r="QMM1" s="9"/>
      <c r="QMN1" s="9"/>
      <c r="QMO1" s="9"/>
      <c r="QMP1" s="9"/>
      <c r="QMQ1" s="9"/>
      <c r="QMR1" s="9"/>
      <c r="QMS1" s="9"/>
      <c r="QMT1" s="9"/>
      <c r="QMU1" s="9"/>
      <c r="QMV1" s="9"/>
      <c r="QMW1" s="9"/>
      <c r="QMX1" s="9"/>
      <c r="QMY1" s="9"/>
      <c r="QMZ1" s="9"/>
      <c r="QNA1" s="9"/>
      <c r="QNB1" s="9"/>
      <c r="QNC1" s="9"/>
      <c r="QND1" s="9"/>
      <c r="QNE1" s="9"/>
      <c r="QNF1" s="9"/>
      <c r="QNG1" s="9"/>
      <c r="QNH1" s="9"/>
      <c r="QNI1" s="9"/>
      <c r="QNJ1" s="9"/>
      <c r="QNK1" s="9"/>
      <c r="QNL1" s="9"/>
      <c r="QNM1" s="9"/>
      <c r="QNN1" s="9"/>
      <c r="QNO1" s="9"/>
      <c r="QNP1" s="9"/>
      <c r="QNQ1" s="9"/>
      <c r="QNR1" s="9"/>
      <c r="QNS1" s="9"/>
      <c r="QNT1" s="9"/>
      <c r="QNU1" s="9"/>
      <c r="QNV1" s="9"/>
      <c r="QNW1" s="9"/>
      <c r="QNX1" s="9"/>
      <c r="QNY1" s="9"/>
      <c r="QNZ1" s="9"/>
      <c r="QOA1" s="9"/>
      <c r="QOB1" s="9"/>
      <c r="QOC1" s="9"/>
      <c r="QOD1" s="9"/>
      <c r="QOE1" s="9"/>
      <c r="QOF1" s="9"/>
      <c r="QOG1" s="9"/>
      <c r="QOH1" s="9"/>
      <c r="QOI1" s="9"/>
      <c r="QOJ1" s="9"/>
      <c r="QOK1" s="9"/>
      <c r="QOL1" s="9"/>
      <c r="QOM1" s="9"/>
      <c r="QON1" s="9"/>
      <c r="QOO1" s="9"/>
      <c r="QOP1" s="9"/>
      <c r="QOQ1" s="9"/>
      <c r="QOR1" s="9"/>
      <c r="QOS1" s="9"/>
      <c r="QOT1" s="9"/>
      <c r="QOU1" s="9"/>
      <c r="QOV1" s="9"/>
      <c r="QOW1" s="9"/>
      <c r="QOX1" s="9"/>
      <c r="QOY1" s="9"/>
      <c r="QOZ1" s="9"/>
      <c r="QPA1" s="9"/>
      <c r="QPB1" s="9"/>
      <c r="QPC1" s="9"/>
      <c r="QPD1" s="9"/>
      <c r="QPE1" s="9"/>
      <c r="QPF1" s="9"/>
      <c r="QPG1" s="9"/>
      <c r="QPH1" s="9"/>
      <c r="QPI1" s="9"/>
      <c r="QPJ1" s="9"/>
      <c r="QPK1" s="9"/>
      <c r="QPL1" s="9"/>
      <c r="QPM1" s="9"/>
      <c r="QPN1" s="9"/>
      <c r="QPO1" s="9"/>
      <c r="QPP1" s="9"/>
      <c r="QPQ1" s="9"/>
      <c r="QPR1" s="9"/>
      <c r="QPS1" s="9"/>
      <c r="QPT1" s="9"/>
      <c r="QPU1" s="9"/>
      <c r="QPV1" s="9"/>
      <c r="QPW1" s="9"/>
      <c r="QPX1" s="9"/>
      <c r="QPY1" s="9"/>
      <c r="QPZ1" s="9"/>
      <c r="QQA1" s="9"/>
      <c r="QQB1" s="9"/>
      <c r="QQC1" s="9"/>
      <c r="QQD1" s="9"/>
      <c r="QQE1" s="9"/>
      <c r="QQF1" s="9"/>
      <c r="QQG1" s="9"/>
      <c r="QQH1" s="9"/>
      <c r="QQI1" s="9"/>
      <c r="QQJ1" s="9"/>
      <c r="QQK1" s="9"/>
      <c r="QQL1" s="9"/>
      <c r="QQM1" s="9"/>
      <c r="QQN1" s="9"/>
      <c r="QQO1" s="9"/>
      <c r="QQP1" s="9"/>
      <c r="QQQ1" s="9"/>
      <c r="QQR1" s="9"/>
      <c r="QQS1" s="9"/>
      <c r="QQT1" s="9"/>
      <c r="QQU1" s="9"/>
      <c r="QQV1" s="9"/>
      <c r="QQW1" s="9"/>
      <c r="QQX1" s="9"/>
      <c r="QQY1" s="9"/>
      <c r="QQZ1" s="9"/>
      <c r="QRA1" s="9"/>
      <c r="QRB1" s="9"/>
      <c r="QRC1" s="9"/>
      <c r="QRD1" s="9"/>
      <c r="QRE1" s="9"/>
      <c r="QRF1" s="9"/>
      <c r="QRG1" s="9"/>
      <c r="QRH1" s="9"/>
      <c r="QRI1" s="9"/>
      <c r="QRJ1" s="9"/>
      <c r="QRK1" s="9"/>
      <c r="QRL1" s="9"/>
      <c r="QRM1" s="9"/>
      <c r="QRN1" s="9"/>
      <c r="QRO1" s="9"/>
      <c r="QRP1" s="9"/>
      <c r="QRQ1" s="9"/>
      <c r="QRR1" s="9"/>
      <c r="QRS1" s="9"/>
      <c r="QRT1" s="9"/>
      <c r="QRU1" s="9"/>
      <c r="QRV1" s="9"/>
      <c r="QRW1" s="9"/>
      <c r="QRX1" s="9"/>
      <c r="QRY1" s="9"/>
      <c r="QRZ1" s="9"/>
      <c r="QSA1" s="9"/>
      <c r="QSB1" s="9"/>
      <c r="QSC1" s="9"/>
      <c r="QSD1" s="9"/>
      <c r="QSE1" s="9"/>
      <c r="QSF1" s="9"/>
      <c r="QSG1" s="9"/>
      <c r="QSH1" s="9"/>
      <c r="QSI1" s="9"/>
      <c r="QSJ1" s="9"/>
      <c r="QSK1" s="9"/>
      <c r="QSL1" s="9"/>
      <c r="QSM1" s="9"/>
      <c r="QSN1" s="9"/>
      <c r="QSO1" s="9"/>
      <c r="QSP1" s="9"/>
      <c r="QSQ1" s="9"/>
      <c r="QSR1" s="9"/>
      <c r="QSS1" s="9"/>
      <c r="QST1" s="9"/>
      <c r="QSU1" s="9"/>
      <c r="QSV1" s="9"/>
      <c r="QSW1" s="9"/>
      <c r="QSX1" s="9"/>
      <c r="QSY1" s="9"/>
      <c r="QSZ1" s="9"/>
      <c r="QTA1" s="9"/>
      <c r="QTB1" s="9"/>
      <c r="QTC1" s="9"/>
      <c r="QTD1" s="9"/>
      <c r="QTE1" s="9"/>
      <c r="QTF1" s="9"/>
      <c r="QTG1" s="9"/>
      <c r="QTH1" s="9"/>
      <c r="QTI1" s="9"/>
      <c r="QTJ1" s="9"/>
      <c r="QTK1" s="9"/>
      <c r="QTL1" s="9"/>
      <c r="QTM1" s="9"/>
      <c r="QTN1" s="9"/>
      <c r="QTO1" s="9"/>
      <c r="QTP1" s="9"/>
      <c r="QTQ1" s="9"/>
      <c r="QTR1" s="9"/>
      <c r="QTS1" s="9"/>
      <c r="QTT1" s="9"/>
      <c r="QTU1" s="9"/>
      <c r="QTV1" s="9"/>
      <c r="QTW1" s="9"/>
      <c r="QTX1" s="9"/>
      <c r="QTY1" s="9"/>
      <c r="QTZ1" s="9"/>
      <c r="QUA1" s="9"/>
      <c r="QUB1" s="9"/>
      <c r="QUC1" s="9"/>
      <c r="QUD1" s="9"/>
      <c r="QUE1" s="9"/>
      <c r="QUF1" s="9"/>
      <c r="QUG1" s="9"/>
      <c r="QUH1" s="9"/>
      <c r="QUI1" s="9"/>
      <c r="QUJ1" s="9"/>
      <c r="QUK1" s="9"/>
      <c r="QUL1" s="9"/>
      <c r="QUM1" s="9"/>
      <c r="QUN1" s="9"/>
      <c r="QUO1" s="9"/>
      <c r="QUP1" s="9"/>
      <c r="QUQ1" s="9"/>
      <c r="QUR1" s="9"/>
      <c r="QUS1" s="9"/>
      <c r="QUT1" s="9"/>
      <c r="QUU1" s="9"/>
      <c r="QUV1" s="9"/>
      <c r="QUW1" s="9"/>
      <c r="QUX1" s="9"/>
      <c r="QUY1" s="9"/>
      <c r="QUZ1" s="9"/>
      <c r="QVA1" s="9"/>
      <c r="QVB1" s="9"/>
      <c r="QVC1" s="9"/>
      <c r="QVD1" s="9"/>
      <c r="QVE1" s="9"/>
      <c r="QVF1" s="9"/>
      <c r="QVG1" s="9"/>
      <c r="QVH1" s="9"/>
      <c r="QVI1" s="9"/>
      <c r="QVJ1" s="9"/>
      <c r="QVK1" s="9"/>
      <c r="QVL1" s="9"/>
      <c r="QVM1" s="9"/>
      <c r="QVN1" s="9"/>
      <c r="QVO1" s="9"/>
      <c r="QVP1" s="9"/>
      <c r="QVQ1" s="9"/>
      <c r="QVR1" s="9"/>
      <c r="QVS1" s="9"/>
      <c r="QVT1" s="9"/>
      <c r="QVU1" s="9"/>
      <c r="QVV1" s="9"/>
      <c r="QVW1" s="9"/>
      <c r="QVX1" s="9"/>
      <c r="QVY1" s="9"/>
      <c r="QVZ1" s="9"/>
      <c r="QWA1" s="9"/>
      <c r="QWB1" s="9"/>
      <c r="QWC1" s="9"/>
      <c r="QWD1" s="9"/>
      <c r="QWE1" s="9"/>
      <c r="QWF1" s="9"/>
      <c r="QWG1" s="9"/>
      <c r="QWH1" s="9"/>
      <c r="QWI1" s="9"/>
      <c r="QWJ1" s="9"/>
      <c r="QWK1" s="9"/>
      <c r="QWL1" s="9"/>
      <c r="QWM1" s="9"/>
      <c r="QWN1" s="9"/>
      <c r="QWO1" s="9"/>
      <c r="QWP1" s="9"/>
      <c r="QWQ1" s="9"/>
      <c r="QWR1" s="9"/>
      <c r="QWS1" s="9"/>
      <c r="QWT1" s="9"/>
      <c r="QWU1" s="9"/>
      <c r="QWV1" s="9"/>
      <c r="QWW1" s="9"/>
      <c r="QWX1" s="9"/>
      <c r="QWY1" s="9"/>
      <c r="QWZ1" s="9"/>
      <c r="QXA1" s="9"/>
      <c r="QXB1" s="9"/>
      <c r="QXC1" s="9"/>
      <c r="QXD1" s="9"/>
      <c r="QXE1" s="9"/>
      <c r="QXF1" s="9"/>
      <c r="QXG1" s="9"/>
      <c r="QXH1" s="9"/>
      <c r="QXI1" s="9"/>
      <c r="QXJ1" s="9"/>
      <c r="QXK1" s="9"/>
      <c r="QXL1" s="9"/>
      <c r="QXM1" s="9"/>
      <c r="QXN1" s="9"/>
      <c r="QXO1" s="9"/>
      <c r="QXP1" s="9"/>
      <c r="QXQ1" s="9"/>
      <c r="QXR1" s="9"/>
      <c r="QXS1" s="9"/>
      <c r="QXT1" s="9"/>
      <c r="QXU1" s="9"/>
      <c r="QXV1" s="9"/>
      <c r="QXW1" s="9"/>
      <c r="QXX1" s="9"/>
      <c r="QXY1" s="9"/>
      <c r="QXZ1" s="9"/>
      <c r="QYA1" s="9"/>
      <c r="QYB1" s="9"/>
      <c r="QYC1" s="9"/>
      <c r="QYD1" s="9"/>
      <c r="QYE1" s="9"/>
      <c r="QYF1" s="9"/>
      <c r="QYG1" s="9"/>
      <c r="QYH1" s="9"/>
      <c r="QYI1" s="9"/>
      <c r="QYJ1" s="9"/>
      <c r="QYK1" s="9"/>
      <c r="QYL1" s="9"/>
      <c r="QYM1" s="9"/>
      <c r="QYN1" s="9"/>
      <c r="QYO1" s="9"/>
      <c r="QYP1" s="9"/>
      <c r="QYQ1" s="9"/>
      <c r="QYR1" s="9"/>
      <c r="QYS1" s="9"/>
      <c r="QYT1" s="9"/>
      <c r="QYU1" s="9"/>
      <c r="QYV1" s="9"/>
      <c r="QYW1" s="9"/>
      <c r="QYX1" s="9"/>
      <c r="QYY1" s="9"/>
      <c r="QYZ1" s="9"/>
      <c r="QZA1" s="9"/>
      <c r="QZB1" s="9"/>
      <c r="QZC1" s="9"/>
      <c r="QZD1" s="9"/>
      <c r="QZE1" s="9"/>
      <c r="QZF1" s="9"/>
      <c r="QZG1" s="9"/>
      <c r="QZH1" s="9"/>
      <c r="QZI1" s="9"/>
      <c r="QZJ1" s="9"/>
      <c r="QZK1" s="9"/>
      <c r="QZL1" s="9"/>
      <c r="QZM1" s="9"/>
      <c r="QZN1" s="9"/>
      <c r="QZO1" s="9"/>
      <c r="QZP1" s="9"/>
      <c r="QZQ1" s="9"/>
      <c r="QZR1" s="9"/>
      <c r="QZS1" s="9"/>
      <c r="QZT1" s="9"/>
      <c r="QZU1" s="9"/>
      <c r="QZV1" s="9"/>
      <c r="QZW1" s="9"/>
      <c r="QZX1" s="9"/>
      <c r="QZY1" s="9"/>
      <c r="QZZ1" s="9"/>
      <c r="RAA1" s="9"/>
      <c r="RAB1" s="9"/>
      <c r="RAC1" s="9"/>
      <c r="RAD1" s="9"/>
      <c r="RAE1" s="9"/>
      <c r="RAF1" s="9"/>
      <c r="RAG1" s="9"/>
      <c r="RAH1" s="9"/>
      <c r="RAI1" s="9"/>
      <c r="RAJ1" s="9"/>
      <c r="RAK1" s="9"/>
      <c r="RAL1" s="9"/>
      <c r="RAM1" s="9"/>
      <c r="RAN1" s="9"/>
      <c r="RAO1" s="9"/>
      <c r="RAP1" s="9"/>
      <c r="RAQ1" s="9"/>
      <c r="RAR1" s="9"/>
      <c r="RAS1" s="9"/>
      <c r="RAT1" s="9"/>
      <c r="RAU1" s="9"/>
      <c r="RAV1" s="9"/>
      <c r="RAW1" s="9"/>
      <c r="RAX1" s="9"/>
      <c r="RAY1" s="9"/>
      <c r="RAZ1" s="9"/>
      <c r="RBA1" s="9"/>
      <c r="RBB1" s="9"/>
      <c r="RBC1" s="9"/>
      <c r="RBD1" s="9"/>
      <c r="RBE1" s="9"/>
      <c r="RBF1" s="9"/>
      <c r="RBG1" s="9"/>
      <c r="RBH1" s="9"/>
      <c r="RBI1" s="9"/>
      <c r="RBJ1" s="9"/>
      <c r="RBK1" s="9"/>
      <c r="RBL1" s="9"/>
      <c r="RBM1" s="9"/>
      <c r="RBN1" s="9"/>
      <c r="RBO1" s="9"/>
      <c r="RBP1" s="9"/>
      <c r="RBQ1" s="9"/>
      <c r="RBR1" s="9"/>
      <c r="RBS1" s="9"/>
      <c r="RBT1" s="9"/>
      <c r="RBU1" s="9"/>
      <c r="RBV1" s="9"/>
      <c r="RBW1" s="9"/>
      <c r="RBX1" s="9"/>
      <c r="RBY1" s="9"/>
      <c r="RBZ1" s="9"/>
      <c r="RCA1" s="9"/>
      <c r="RCB1" s="9"/>
      <c r="RCC1" s="9"/>
      <c r="RCD1" s="9"/>
      <c r="RCE1" s="9"/>
      <c r="RCF1" s="9"/>
      <c r="RCG1" s="9"/>
      <c r="RCH1" s="9"/>
      <c r="RCI1" s="9"/>
      <c r="RCJ1" s="9"/>
      <c r="RCK1" s="9"/>
      <c r="RCL1" s="9"/>
      <c r="RCM1" s="9"/>
      <c r="RCN1" s="9"/>
      <c r="RCO1" s="9"/>
      <c r="RCP1" s="9"/>
      <c r="RCQ1" s="9"/>
      <c r="RCR1" s="9"/>
      <c r="RCS1" s="9"/>
      <c r="RCT1" s="9"/>
      <c r="RCU1" s="9"/>
      <c r="RCV1" s="9"/>
      <c r="RCW1" s="9"/>
      <c r="RCX1" s="9"/>
      <c r="RCY1" s="9"/>
      <c r="RCZ1" s="9"/>
      <c r="RDA1" s="9"/>
      <c r="RDB1" s="9"/>
      <c r="RDC1" s="9"/>
      <c r="RDD1" s="9"/>
      <c r="RDE1" s="9"/>
      <c r="RDF1" s="9"/>
      <c r="RDG1" s="9"/>
      <c r="RDH1" s="9"/>
      <c r="RDI1" s="9"/>
      <c r="RDJ1" s="9"/>
      <c r="RDK1" s="9"/>
      <c r="RDL1" s="9"/>
      <c r="RDM1" s="9"/>
      <c r="RDN1" s="9"/>
      <c r="RDO1" s="9"/>
      <c r="RDP1" s="9"/>
      <c r="RDQ1" s="9"/>
      <c r="RDR1" s="9"/>
      <c r="RDS1" s="9"/>
      <c r="RDT1" s="9"/>
      <c r="RDU1" s="9"/>
      <c r="RDV1" s="9"/>
      <c r="RDW1" s="9"/>
      <c r="RDX1" s="9"/>
      <c r="RDY1" s="9"/>
      <c r="RDZ1" s="9"/>
      <c r="REA1" s="9"/>
      <c r="REB1" s="9"/>
      <c r="REC1" s="9"/>
      <c r="RED1" s="9"/>
      <c r="REE1" s="9"/>
      <c r="REF1" s="9"/>
      <c r="REG1" s="9"/>
      <c r="REH1" s="9"/>
      <c r="REI1" s="9"/>
      <c r="REJ1" s="9"/>
      <c r="REK1" s="9"/>
      <c r="REL1" s="9"/>
      <c r="REM1" s="9"/>
      <c r="REN1" s="9"/>
      <c r="REO1" s="9"/>
      <c r="REP1" s="9"/>
      <c r="REQ1" s="9"/>
      <c r="RER1" s="9"/>
      <c r="RES1" s="9"/>
      <c r="RET1" s="9"/>
      <c r="REU1" s="9"/>
      <c r="REV1" s="9"/>
      <c r="REW1" s="9"/>
      <c r="REX1" s="9"/>
      <c r="REY1" s="9"/>
      <c r="REZ1" s="9"/>
      <c r="RFA1" s="9"/>
      <c r="RFB1" s="9"/>
      <c r="RFC1" s="9"/>
      <c r="RFD1" s="9"/>
      <c r="RFE1" s="9"/>
      <c r="RFF1" s="9"/>
      <c r="RFG1" s="9"/>
      <c r="RFH1" s="9"/>
      <c r="RFI1" s="9"/>
      <c r="RFJ1" s="9"/>
      <c r="RFK1" s="9"/>
      <c r="RFL1" s="9"/>
      <c r="RFM1" s="9"/>
      <c r="RFN1" s="9"/>
      <c r="RFO1" s="9"/>
      <c r="RFP1" s="9"/>
      <c r="RFQ1" s="9"/>
      <c r="RFR1" s="9"/>
      <c r="RFS1" s="9"/>
      <c r="RFT1" s="9"/>
      <c r="RFU1" s="9"/>
      <c r="RFV1" s="9"/>
      <c r="RFW1" s="9"/>
      <c r="RFX1" s="9"/>
      <c r="RFY1" s="9"/>
      <c r="RFZ1" s="9"/>
      <c r="RGA1" s="9"/>
      <c r="RGB1" s="9"/>
      <c r="RGC1" s="9"/>
      <c r="RGD1" s="9"/>
      <c r="RGE1" s="9"/>
      <c r="RGF1" s="9"/>
      <c r="RGG1" s="9"/>
      <c r="RGH1" s="9"/>
      <c r="RGI1" s="9"/>
      <c r="RGJ1" s="9"/>
      <c r="RGK1" s="9"/>
      <c r="RGL1" s="9"/>
      <c r="RGM1" s="9"/>
      <c r="RGN1" s="9"/>
      <c r="RGO1" s="9"/>
      <c r="RGP1" s="9"/>
      <c r="RGQ1" s="9"/>
      <c r="RGR1" s="9"/>
      <c r="RGS1" s="9"/>
      <c r="RGT1" s="9"/>
      <c r="RGU1" s="9"/>
      <c r="RGV1" s="9"/>
      <c r="RGW1" s="9"/>
      <c r="RGX1" s="9"/>
      <c r="RGY1" s="9"/>
      <c r="RGZ1" s="9"/>
      <c r="RHA1" s="9"/>
      <c r="RHB1" s="9"/>
      <c r="RHC1" s="9"/>
      <c r="RHD1" s="9"/>
      <c r="RHE1" s="9"/>
      <c r="RHF1" s="9"/>
      <c r="RHG1" s="9"/>
      <c r="RHH1" s="9"/>
      <c r="RHI1" s="9"/>
      <c r="RHJ1" s="9"/>
      <c r="RHK1" s="9"/>
      <c r="RHL1" s="9"/>
      <c r="RHM1" s="9"/>
      <c r="RHN1" s="9"/>
      <c r="RHO1" s="9"/>
      <c r="RHP1" s="9"/>
      <c r="RHQ1" s="9"/>
      <c r="RHR1" s="9"/>
      <c r="RHS1" s="9"/>
      <c r="RHT1" s="9"/>
      <c r="RHU1" s="9"/>
      <c r="RHV1" s="9"/>
      <c r="RHW1" s="9"/>
      <c r="RHX1" s="9"/>
      <c r="RHY1" s="9"/>
      <c r="RHZ1" s="9"/>
      <c r="RIA1" s="9"/>
      <c r="RIB1" s="9"/>
      <c r="RIC1" s="9"/>
      <c r="RID1" s="9"/>
      <c r="RIE1" s="9"/>
      <c r="RIF1" s="9"/>
      <c r="RIG1" s="9"/>
      <c r="RIH1" s="9"/>
      <c r="RII1" s="9"/>
      <c r="RIJ1" s="9"/>
      <c r="RIK1" s="9"/>
      <c r="RIL1" s="9"/>
      <c r="RIM1" s="9"/>
      <c r="RIN1" s="9"/>
      <c r="RIO1" s="9"/>
      <c r="RIP1" s="9"/>
      <c r="RIQ1" s="9"/>
      <c r="RIR1" s="9"/>
      <c r="RIS1" s="9"/>
      <c r="RIT1" s="9"/>
      <c r="RIU1" s="9"/>
      <c r="RIV1" s="9"/>
      <c r="RIW1" s="9"/>
      <c r="RIX1" s="9"/>
      <c r="RIY1" s="9"/>
      <c r="RIZ1" s="9"/>
      <c r="RJA1" s="9"/>
      <c r="RJB1" s="9"/>
      <c r="RJC1" s="9"/>
      <c r="RJD1" s="9"/>
      <c r="RJE1" s="9"/>
      <c r="RJF1" s="9"/>
      <c r="RJG1" s="9"/>
      <c r="RJH1" s="9"/>
      <c r="RJI1" s="9"/>
      <c r="RJJ1" s="9"/>
      <c r="RJK1" s="9"/>
      <c r="RJL1" s="9"/>
      <c r="RJM1" s="9"/>
      <c r="RJN1" s="9"/>
      <c r="RJO1" s="9"/>
      <c r="RJP1" s="9"/>
      <c r="RJQ1" s="9"/>
      <c r="RJR1" s="9"/>
      <c r="RJS1" s="9"/>
      <c r="RJT1" s="9"/>
      <c r="RJU1" s="9"/>
      <c r="RJV1" s="9"/>
      <c r="RJW1" s="9"/>
      <c r="RJX1" s="9"/>
      <c r="RJY1" s="9"/>
      <c r="RJZ1" s="9"/>
      <c r="RKA1" s="9"/>
      <c r="RKB1" s="9"/>
      <c r="RKC1" s="9"/>
      <c r="RKD1" s="9"/>
      <c r="RKE1" s="9"/>
      <c r="RKF1" s="9"/>
      <c r="RKG1" s="9"/>
      <c r="RKH1" s="9"/>
      <c r="RKI1" s="9"/>
      <c r="RKJ1" s="9"/>
      <c r="RKK1" s="9"/>
      <c r="RKL1" s="9"/>
      <c r="RKM1" s="9"/>
      <c r="RKN1" s="9"/>
      <c r="RKO1" s="9"/>
      <c r="RKP1" s="9"/>
      <c r="RKQ1" s="9"/>
      <c r="RKR1" s="9"/>
      <c r="RKS1" s="9"/>
      <c r="RKT1" s="9"/>
      <c r="RKU1" s="9"/>
      <c r="RKV1" s="9"/>
      <c r="RKW1" s="9"/>
      <c r="RKX1" s="9"/>
      <c r="RKY1" s="9"/>
      <c r="RKZ1" s="9"/>
      <c r="RLA1" s="9"/>
      <c r="RLB1" s="9"/>
      <c r="RLC1" s="9"/>
      <c r="RLD1" s="9"/>
      <c r="RLE1" s="9"/>
      <c r="RLF1" s="9"/>
      <c r="RLG1" s="9"/>
      <c r="RLH1" s="9"/>
      <c r="RLI1" s="9"/>
      <c r="RLJ1" s="9"/>
      <c r="RLK1" s="9"/>
      <c r="RLL1" s="9"/>
      <c r="RLM1" s="9"/>
      <c r="RLN1" s="9"/>
      <c r="RLO1" s="9"/>
      <c r="RLP1" s="9"/>
      <c r="RLQ1" s="9"/>
      <c r="RLR1" s="9"/>
      <c r="RLS1" s="9"/>
      <c r="RLT1" s="9"/>
      <c r="RLU1" s="9"/>
      <c r="RLV1" s="9"/>
      <c r="RLW1" s="9"/>
      <c r="RLX1" s="9"/>
      <c r="RLY1" s="9"/>
      <c r="RLZ1" s="9"/>
      <c r="RMA1" s="9"/>
      <c r="RMB1" s="9"/>
      <c r="RMC1" s="9"/>
      <c r="RMD1" s="9"/>
      <c r="RME1" s="9"/>
      <c r="RMF1" s="9"/>
      <c r="RMG1" s="9"/>
      <c r="RMH1" s="9"/>
      <c r="RMI1" s="9"/>
      <c r="RMJ1" s="9"/>
      <c r="RMK1" s="9"/>
      <c r="RML1" s="9"/>
      <c r="RMM1" s="9"/>
      <c r="RMN1" s="9"/>
      <c r="RMO1" s="9"/>
      <c r="RMP1" s="9"/>
      <c r="RMQ1" s="9"/>
      <c r="RMR1" s="9"/>
      <c r="RMS1" s="9"/>
      <c r="RMT1" s="9"/>
      <c r="RMU1" s="9"/>
      <c r="RMV1" s="9"/>
      <c r="RMW1" s="9"/>
      <c r="RMX1" s="9"/>
      <c r="RMY1" s="9"/>
      <c r="RMZ1" s="9"/>
      <c r="RNA1" s="9"/>
      <c r="RNB1" s="9"/>
      <c r="RNC1" s="9"/>
      <c r="RND1" s="9"/>
      <c r="RNE1" s="9"/>
      <c r="RNF1" s="9"/>
      <c r="RNG1" s="9"/>
      <c r="RNH1" s="9"/>
      <c r="RNI1" s="9"/>
      <c r="RNJ1" s="9"/>
      <c r="RNK1" s="9"/>
      <c r="RNL1" s="9"/>
      <c r="RNM1" s="9"/>
      <c r="RNN1" s="9"/>
      <c r="RNO1" s="9"/>
      <c r="RNP1" s="9"/>
      <c r="RNQ1" s="9"/>
      <c r="RNR1" s="9"/>
      <c r="RNS1" s="9"/>
      <c r="RNT1" s="9"/>
      <c r="RNU1" s="9"/>
      <c r="RNV1" s="9"/>
      <c r="RNW1" s="9"/>
      <c r="RNX1" s="9"/>
      <c r="RNY1" s="9"/>
      <c r="RNZ1" s="9"/>
      <c r="ROA1" s="9"/>
      <c r="ROB1" s="9"/>
      <c r="ROC1" s="9"/>
      <c r="ROD1" s="9"/>
      <c r="ROE1" s="9"/>
      <c r="ROF1" s="9"/>
      <c r="ROG1" s="9"/>
      <c r="ROH1" s="9"/>
      <c r="ROI1" s="9"/>
      <c r="ROJ1" s="9"/>
      <c r="ROK1" s="9"/>
      <c r="ROL1" s="9"/>
      <c r="ROM1" s="9"/>
      <c r="RON1" s="9"/>
      <c r="ROO1" s="9"/>
      <c r="ROP1" s="9"/>
      <c r="ROQ1" s="9"/>
      <c r="ROR1" s="9"/>
      <c r="ROS1" s="9"/>
      <c r="ROT1" s="9"/>
      <c r="ROU1" s="9"/>
      <c r="ROV1" s="9"/>
      <c r="ROW1" s="9"/>
      <c r="ROX1" s="9"/>
      <c r="ROY1" s="9"/>
      <c r="ROZ1" s="9"/>
      <c r="RPA1" s="9"/>
      <c r="RPB1" s="9"/>
      <c r="RPC1" s="9"/>
      <c r="RPD1" s="9"/>
      <c r="RPE1" s="9"/>
      <c r="RPF1" s="9"/>
      <c r="RPG1" s="9"/>
      <c r="RPH1" s="9"/>
      <c r="RPI1" s="9"/>
      <c r="RPJ1" s="9"/>
      <c r="RPK1" s="9"/>
      <c r="RPL1" s="9"/>
      <c r="RPM1" s="9"/>
      <c r="RPN1" s="9"/>
      <c r="RPO1" s="9"/>
      <c r="RPP1" s="9"/>
      <c r="RPQ1" s="9"/>
      <c r="RPR1" s="9"/>
      <c r="RPS1" s="9"/>
      <c r="RPT1" s="9"/>
      <c r="RPU1" s="9"/>
      <c r="RPV1" s="9"/>
      <c r="RPW1" s="9"/>
      <c r="RPX1" s="9"/>
      <c r="RPY1" s="9"/>
      <c r="RPZ1" s="9"/>
      <c r="RQA1" s="9"/>
      <c r="RQB1" s="9"/>
      <c r="RQC1" s="9"/>
      <c r="RQD1" s="9"/>
      <c r="RQE1" s="9"/>
      <c r="RQF1" s="9"/>
      <c r="RQG1" s="9"/>
      <c r="RQH1" s="9"/>
      <c r="RQI1" s="9"/>
      <c r="RQJ1" s="9"/>
      <c r="RQK1" s="9"/>
      <c r="RQL1" s="9"/>
      <c r="RQM1" s="9"/>
      <c r="RQN1" s="9"/>
      <c r="RQO1" s="9"/>
      <c r="RQP1" s="9"/>
      <c r="RQQ1" s="9"/>
      <c r="RQR1" s="9"/>
      <c r="RQS1" s="9"/>
      <c r="RQT1" s="9"/>
      <c r="RQU1" s="9"/>
      <c r="RQV1" s="9"/>
      <c r="RQW1" s="9"/>
      <c r="RQX1" s="9"/>
      <c r="RQY1" s="9"/>
      <c r="RQZ1" s="9"/>
      <c r="RRA1" s="9"/>
      <c r="RRB1" s="9"/>
      <c r="RRC1" s="9"/>
      <c r="RRD1" s="9"/>
      <c r="RRE1" s="9"/>
      <c r="RRF1" s="9"/>
      <c r="RRG1" s="9"/>
      <c r="RRH1" s="9"/>
      <c r="RRI1" s="9"/>
      <c r="RRJ1" s="9"/>
      <c r="RRK1" s="9"/>
      <c r="RRL1" s="9"/>
      <c r="RRM1" s="9"/>
      <c r="RRN1" s="9"/>
      <c r="RRO1" s="9"/>
      <c r="RRP1" s="9"/>
      <c r="RRQ1" s="9"/>
      <c r="RRR1" s="9"/>
      <c r="RRS1" s="9"/>
      <c r="RRT1" s="9"/>
      <c r="RRU1" s="9"/>
      <c r="RRV1" s="9"/>
      <c r="RRW1" s="9"/>
      <c r="RRX1" s="9"/>
      <c r="RRY1" s="9"/>
      <c r="RRZ1" s="9"/>
      <c r="RSA1" s="9"/>
      <c r="RSB1" s="9"/>
      <c r="RSC1" s="9"/>
      <c r="RSD1" s="9"/>
      <c r="RSE1" s="9"/>
      <c r="RSF1" s="9"/>
      <c r="RSG1" s="9"/>
      <c r="RSH1" s="9"/>
      <c r="RSI1" s="9"/>
      <c r="RSJ1" s="9"/>
      <c r="RSK1" s="9"/>
      <c r="RSL1" s="9"/>
      <c r="RSM1" s="9"/>
      <c r="RSN1" s="9"/>
      <c r="RSO1" s="9"/>
      <c r="RSP1" s="9"/>
      <c r="RSQ1" s="9"/>
      <c r="RSR1" s="9"/>
      <c r="RSS1" s="9"/>
      <c r="RST1" s="9"/>
      <c r="RSU1" s="9"/>
      <c r="RSV1" s="9"/>
      <c r="RSW1" s="9"/>
      <c r="RSX1" s="9"/>
      <c r="RSY1" s="9"/>
      <c r="RSZ1" s="9"/>
      <c r="RTA1" s="9"/>
      <c r="RTB1" s="9"/>
      <c r="RTC1" s="9"/>
      <c r="RTD1" s="9"/>
      <c r="RTE1" s="9"/>
      <c r="RTF1" s="9"/>
      <c r="RTG1" s="9"/>
      <c r="RTH1" s="9"/>
      <c r="RTI1" s="9"/>
      <c r="RTJ1" s="9"/>
      <c r="RTK1" s="9"/>
      <c r="RTL1" s="9"/>
      <c r="RTM1" s="9"/>
      <c r="RTN1" s="9"/>
      <c r="RTO1" s="9"/>
      <c r="RTP1" s="9"/>
      <c r="RTQ1" s="9"/>
      <c r="RTR1" s="9"/>
      <c r="RTS1" s="9"/>
      <c r="RTT1" s="9"/>
      <c r="RTU1" s="9"/>
      <c r="RTV1" s="9"/>
      <c r="RTW1" s="9"/>
      <c r="RTX1" s="9"/>
      <c r="RTY1" s="9"/>
      <c r="RTZ1" s="9"/>
      <c r="RUA1" s="9"/>
      <c r="RUB1" s="9"/>
      <c r="RUC1" s="9"/>
      <c r="RUD1" s="9"/>
      <c r="RUE1" s="9"/>
      <c r="RUF1" s="9"/>
      <c r="RUG1" s="9"/>
      <c r="RUH1" s="9"/>
      <c r="RUI1" s="9"/>
      <c r="RUJ1" s="9"/>
      <c r="RUK1" s="9"/>
      <c r="RUL1" s="9"/>
      <c r="RUM1" s="9"/>
      <c r="RUN1" s="9"/>
      <c r="RUO1" s="9"/>
      <c r="RUP1" s="9"/>
      <c r="RUQ1" s="9"/>
      <c r="RUR1" s="9"/>
      <c r="RUS1" s="9"/>
      <c r="RUT1" s="9"/>
      <c r="RUU1" s="9"/>
      <c r="RUV1" s="9"/>
      <c r="RUW1" s="9"/>
      <c r="RUX1" s="9"/>
      <c r="RUY1" s="9"/>
      <c r="RUZ1" s="9"/>
      <c r="RVA1" s="9"/>
      <c r="RVB1" s="9"/>
      <c r="RVC1" s="9"/>
      <c r="RVD1" s="9"/>
      <c r="RVE1" s="9"/>
      <c r="RVF1" s="9"/>
      <c r="RVG1" s="9"/>
      <c r="RVH1" s="9"/>
      <c r="RVI1" s="9"/>
      <c r="RVJ1" s="9"/>
      <c r="RVK1" s="9"/>
      <c r="RVL1" s="9"/>
      <c r="RVM1" s="9"/>
      <c r="RVN1" s="9"/>
      <c r="RVO1" s="9"/>
      <c r="RVP1" s="9"/>
      <c r="RVQ1" s="9"/>
      <c r="RVR1" s="9"/>
      <c r="RVS1" s="9"/>
      <c r="RVT1" s="9"/>
      <c r="RVU1" s="9"/>
      <c r="RVV1" s="9"/>
      <c r="RVW1" s="9"/>
      <c r="RVX1" s="9"/>
      <c r="RVY1" s="9"/>
      <c r="RVZ1" s="9"/>
      <c r="RWA1" s="9"/>
      <c r="RWB1" s="9"/>
      <c r="RWC1" s="9"/>
      <c r="RWD1" s="9"/>
      <c r="RWE1" s="9"/>
      <c r="RWF1" s="9"/>
      <c r="RWG1" s="9"/>
      <c r="RWH1" s="9"/>
      <c r="RWI1" s="9"/>
      <c r="RWJ1" s="9"/>
      <c r="RWK1" s="9"/>
      <c r="RWL1" s="9"/>
      <c r="RWM1" s="9"/>
      <c r="RWN1" s="9"/>
      <c r="RWO1" s="9"/>
      <c r="RWP1" s="9"/>
      <c r="RWQ1" s="9"/>
      <c r="RWR1" s="9"/>
      <c r="RWS1" s="9"/>
      <c r="RWT1" s="9"/>
      <c r="RWU1" s="9"/>
      <c r="RWV1" s="9"/>
      <c r="RWW1" s="9"/>
      <c r="RWX1" s="9"/>
      <c r="RWY1" s="9"/>
      <c r="RWZ1" s="9"/>
      <c r="RXA1" s="9"/>
      <c r="RXB1" s="9"/>
      <c r="RXC1" s="9"/>
      <c r="RXD1" s="9"/>
      <c r="RXE1" s="9"/>
      <c r="RXF1" s="9"/>
      <c r="RXG1" s="9"/>
      <c r="RXH1" s="9"/>
      <c r="RXI1" s="9"/>
      <c r="RXJ1" s="9"/>
      <c r="RXK1" s="9"/>
      <c r="RXL1" s="9"/>
      <c r="RXM1" s="9"/>
      <c r="RXN1" s="9"/>
      <c r="RXO1" s="9"/>
      <c r="RXP1" s="9"/>
      <c r="RXQ1" s="9"/>
      <c r="RXR1" s="9"/>
      <c r="RXS1" s="9"/>
      <c r="RXT1" s="9"/>
      <c r="RXU1" s="9"/>
      <c r="RXV1" s="9"/>
      <c r="RXW1" s="9"/>
      <c r="RXX1" s="9"/>
      <c r="RXY1" s="9"/>
      <c r="RXZ1" s="9"/>
      <c r="RYA1" s="9"/>
      <c r="RYB1" s="9"/>
      <c r="RYC1" s="9"/>
      <c r="RYD1" s="9"/>
      <c r="RYE1" s="9"/>
      <c r="RYF1" s="9"/>
      <c r="RYG1" s="9"/>
      <c r="RYH1" s="9"/>
      <c r="RYI1" s="9"/>
      <c r="RYJ1" s="9"/>
      <c r="RYK1" s="9"/>
      <c r="RYL1" s="9"/>
      <c r="RYM1" s="9"/>
      <c r="RYN1" s="9"/>
      <c r="RYO1" s="9"/>
      <c r="RYP1" s="9"/>
      <c r="RYQ1" s="9"/>
      <c r="RYR1" s="9"/>
      <c r="RYS1" s="9"/>
      <c r="RYT1" s="9"/>
      <c r="RYU1" s="9"/>
      <c r="RYV1" s="9"/>
      <c r="RYW1" s="9"/>
      <c r="RYX1" s="9"/>
      <c r="RYY1" s="9"/>
      <c r="RYZ1" s="9"/>
      <c r="RZA1" s="9"/>
      <c r="RZB1" s="9"/>
      <c r="RZC1" s="9"/>
      <c r="RZD1" s="9"/>
      <c r="RZE1" s="9"/>
      <c r="RZF1" s="9"/>
      <c r="RZG1" s="9"/>
      <c r="RZH1" s="9"/>
      <c r="RZI1" s="9"/>
      <c r="RZJ1" s="9"/>
      <c r="RZK1" s="9"/>
      <c r="RZL1" s="9"/>
      <c r="RZM1" s="9"/>
      <c r="RZN1" s="9"/>
      <c r="RZO1" s="9"/>
      <c r="RZP1" s="9"/>
      <c r="RZQ1" s="9"/>
      <c r="RZR1" s="9"/>
      <c r="RZS1" s="9"/>
      <c r="RZT1" s="9"/>
      <c r="RZU1" s="9"/>
      <c r="RZV1" s="9"/>
      <c r="RZW1" s="9"/>
      <c r="RZX1" s="9"/>
      <c r="RZY1" s="9"/>
      <c r="RZZ1" s="9"/>
      <c r="SAA1" s="9"/>
      <c r="SAB1" s="9"/>
      <c r="SAC1" s="9"/>
      <c r="SAD1" s="9"/>
      <c r="SAE1" s="9"/>
      <c r="SAF1" s="9"/>
      <c r="SAG1" s="9"/>
      <c r="SAH1" s="9"/>
      <c r="SAI1" s="9"/>
      <c r="SAJ1" s="9"/>
      <c r="SAK1" s="9"/>
      <c r="SAL1" s="9"/>
      <c r="SAM1" s="9"/>
      <c r="SAN1" s="9"/>
      <c r="SAO1" s="9"/>
      <c r="SAP1" s="9"/>
      <c r="SAQ1" s="9"/>
      <c r="SAR1" s="9"/>
      <c r="SAS1" s="9"/>
      <c r="SAT1" s="9"/>
      <c r="SAU1" s="9"/>
      <c r="SAV1" s="9"/>
      <c r="SAW1" s="9"/>
      <c r="SAX1" s="9"/>
      <c r="SAY1" s="9"/>
      <c r="SAZ1" s="9"/>
      <c r="SBA1" s="9"/>
      <c r="SBB1" s="9"/>
      <c r="SBC1" s="9"/>
      <c r="SBD1" s="9"/>
      <c r="SBE1" s="9"/>
      <c r="SBF1" s="9"/>
      <c r="SBG1" s="9"/>
      <c r="SBH1" s="9"/>
      <c r="SBI1" s="9"/>
      <c r="SBJ1" s="9"/>
      <c r="SBK1" s="9"/>
      <c r="SBL1" s="9"/>
      <c r="SBM1" s="9"/>
      <c r="SBN1" s="9"/>
      <c r="SBO1" s="9"/>
      <c r="SBP1" s="9"/>
      <c r="SBQ1" s="9"/>
      <c r="SBR1" s="9"/>
      <c r="SBS1" s="9"/>
      <c r="SBT1" s="9"/>
      <c r="SBU1" s="9"/>
      <c r="SBV1" s="9"/>
      <c r="SBW1" s="9"/>
      <c r="SBX1" s="9"/>
      <c r="SBY1" s="9"/>
      <c r="SBZ1" s="9"/>
      <c r="SCA1" s="9"/>
      <c r="SCB1" s="9"/>
      <c r="SCC1" s="9"/>
      <c r="SCD1" s="9"/>
      <c r="SCE1" s="9"/>
      <c r="SCF1" s="9"/>
      <c r="SCG1" s="9"/>
      <c r="SCH1" s="9"/>
      <c r="SCI1" s="9"/>
      <c r="SCJ1" s="9"/>
      <c r="SCK1" s="9"/>
      <c r="SCL1" s="9"/>
      <c r="SCM1" s="9"/>
      <c r="SCN1" s="9"/>
      <c r="SCO1" s="9"/>
      <c r="SCP1" s="9"/>
      <c r="SCQ1" s="9"/>
      <c r="SCR1" s="9"/>
      <c r="SCS1" s="9"/>
      <c r="SCT1" s="9"/>
      <c r="SCU1" s="9"/>
      <c r="SCV1" s="9"/>
      <c r="SCW1" s="9"/>
      <c r="SCX1" s="9"/>
      <c r="SCY1" s="9"/>
      <c r="SCZ1" s="9"/>
      <c r="SDA1" s="9"/>
      <c r="SDB1" s="9"/>
      <c r="SDC1" s="9"/>
      <c r="SDD1" s="9"/>
      <c r="SDE1" s="9"/>
      <c r="SDF1" s="9"/>
      <c r="SDG1" s="9"/>
      <c r="SDH1" s="9"/>
      <c r="SDI1" s="9"/>
      <c r="SDJ1" s="9"/>
      <c r="SDK1" s="9"/>
      <c r="SDL1" s="9"/>
      <c r="SDM1" s="9"/>
      <c r="SDN1" s="9"/>
      <c r="SDO1" s="9"/>
      <c r="SDP1" s="9"/>
      <c r="SDQ1" s="9"/>
      <c r="SDR1" s="9"/>
      <c r="SDS1" s="9"/>
      <c r="SDT1" s="9"/>
      <c r="SDU1" s="9"/>
      <c r="SDV1" s="9"/>
      <c r="SDW1" s="9"/>
      <c r="SDX1" s="9"/>
      <c r="SDY1" s="9"/>
      <c r="SDZ1" s="9"/>
      <c r="SEA1" s="9"/>
      <c r="SEB1" s="9"/>
      <c r="SEC1" s="9"/>
      <c r="SED1" s="9"/>
      <c r="SEE1" s="9"/>
      <c r="SEF1" s="9"/>
      <c r="SEG1" s="9"/>
      <c r="SEH1" s="9"/>
      <c r="SEI1" s="9"/>
      <c r="SEJ1" s="9"/>
      <c r="SEK1" s="9"/>
      <c r="SEL1" s="9"/>
      <c r="SEM1" s="9"/>
      <c r="SEN1" s="9"/>
      <c r="SEO1" s="9"/>
      <c r="SEP1" s="9"/>
      <c r="SEQ1" s="9"/>
      <c r="SER1" s="9"/>
      <c r="SES1" s="9"/>
      <c r="SET1" s="9"/>
      <c r="SEU1" s="9"/>
      <c r="SEV1" s="9"/>
      <c r="SEW1" s="9"/>
      <c r="SEX1" s="9"/>
      <c r="SEY1" s="9"/>
      <c r="SEZ1" s="9"/>
      <c r="SFA1" s="9"/>
      <c r="SFB1" s="9"/>
      <c r="SFC1" s="9"/>
      <c r="SFD1" s="9"/>
      <c r="SFE1" s="9"/>
      <c r="SFF1" s="9"/>
      <c r="SFG1" s="9"/>
      <c r="SFH1" s="9"/>
      <c r="SFI1" s="9"/>
      <c r="SFJ1" s="9"/>
      <c r="SFK1" s="9"/>
      <c r="SFL1" s="9"/>
      <c r="SFM1" s="9"/>
      <c r="SFN1" s="9"/>
      <c r="SFO1" s="9"/>
      <c r="SFP1" s="9"/>
      <c r="SFQ1" s="9"/>
      <c r="SFR1" s="9"/>
      <c r="SFS1" s="9"/>
      <c r="SFT1" s="9"/>
      <c r="SFU1" s="9"/>
      <c r="SFV1" s="9"/>
      <c r="SFW1" s="9"/>
      <c r="SFX1" s="9"/>
      <c r="SFY1" s="9"/>
      <c r="SFZ1" s="9"/>
      <c r="SGA1" s="9"/>
      <c r="SGB1" s="9"/>
      <c r="SGC1" s="9"/>
      <c r="SGD1" s="9"/>
      <c r="SGE1" s="9"/>
      <c r="SGF1" s="9"/>
      <c r="SGG1" s="9"/>
      <c r="SGH1" s="9"/>
      <c r="SGI1" s="9"/>
      <c r="SGJ1" s="9"/>
      <c r="SGK1" s="9"/>
      <c r="SGL1" s="9"/>
      <c r="SGM1" s="9"/>
      <c r="SGN1" s="9"/>
      <c r="SGO1" s="9"/>
      <c r="SGP1" s="9"/>
      <c r="SGQ1" s="9"/>
      <c r="SGR1" s="9"/>
      <c r="SGS1" s="9"/>
      <c r="SGT1" s="9"/>
      <c r="SGU1" s="9"/>
      <c r="SGV1" s="9"/>
      <c r="SGW1" s="9"/>
      <c r="SGX1" s="9"/>
      <c r="SGY1" s="9"/>
      <c r="SGZ1" s="9"/>
      <c r="SHA1" s="9"/>
      <c r="SHB1" s="9"/>
      <c r="SHC1" s="9"/>
      <c r="SHD1" s="9"/>
      <c r="SHE1" s="9"/>
      <c r="SHF1" s="9"/>
      <c r="SHG1" s="9"/>
      <c r="SHH1" s="9"/>
      <c r="SHI1" s="9"/>
      <c r="SHJ1" s="9"/>
      <c r="SHK1" s="9"/>
      <c r="SHL1" s="9"/>
      <c r="SHM1" s="9"/>
      <c r="SHN1" s="9"/>
      <c r="SHO1" s="9"/>
      <c r="SHP1" s="9"/>
      <c r="SHQ1" s="9"/>
      <c r="SHR1" s="9"/>
      <c r="SHS1" s="9"/>
      <c r="SHT1" s="9"/>
      <c r="SHU1" s="9"/>
      <c r="SHV1" s="9"/>
      <c r="SHW1" s="9"/>
      <c r="SHX1" s="9"/>
      <c r="SHY1" s="9"/>
      <c r="SHZ1" s="9"/>
      <c r="SIA1" s="9"/>
      <c r="SIB1" s="9"/>
      <c r="SIC1" s="9"/>
      <c r="SID1" s="9"/>
      <c r="SIE1" s="9"/>
      <c r="SIF1" s="9"/>
      <c r="SIG1" s="9"/>
      <c r="SIH1" s="9"/>
      <c r="SII1" s="9"/>
      <c r="SIJ1" s="9"/>
      <c r="SIK1" s="9"/>
      <c r="SIL1" s="9"/>
      <c r="SIM1" s="9"/>
      <c r="SIN1" s="9"/>
      <c r="SIO1" s="9"/>
      <c r="SIP1" s="9"/>
      <c r="SIQ1" s="9"/>
      <c r="SIR1" s="9"/>
      <c r="SIS1" s="9"/>
      <c r="SIT1" s="9"/>
      <c r="SIU1" s="9"/>
      <c r="SIV1" s="9"/>
      <c r="SIW1" s="9"/>
      <c r="SIX1" s="9"/>
      <c r="SIY1" s="9"/>
      <c r="SIZ1" s="9"/>
      <c r="SJA1" s="9"/>
      <c r="SJB1" s="9"/>
      <c r="SJC1" s="9"/>
      <c r="SJD1" s="9"/>
      <c r="SJE1" s="9"/>
      <c r="SJF1" s="9"/>
      <c r="SJG1" s="9"/>
      <c r="SJH1" s="9"/>
      <c r="SJI1" s="9"/>
      <c r="SJJ1" s="9"/>
      <c r="SJK1" s="9"/>
      <c r="SJL1" s="9"/>
      <c r="SJM1" s="9"/>
      <c r="SJN1" s="9"/>
      <c r="SJO1" s="9"/>
      <c r="SJP1" s="9"/>
      <c r="SJQ1" s="9"/>
      <c r="SJR1" s="9"/>
      <c r="SJS1" s="9"/>
      <c r="SJT1" s="9"/>
      <c r="SJU1" s="9"/>
      <c r="SJV1" s="9"/>
      <c r="SJW1" s="9"/>
      <c r="SJX1" s="9"/>
      <c r="SJY1" s="9"/>
      <c r="SJZ1" s="9"/>
      <c r="SKA1" s="9"/>
      <c r="SKB1" s="9"/>
      <c r="SKC1" s="9"/>
      <c r="SKD1" s="9"/>
      <c r="SKE1" s="9"/>
      <c r="SKF1" s="9"/>
      <c r="SKG1" s="9"/>
      <c r="SKH1" s="9"/>
      <c r="SKI1" s="9"/>
      <c r="SKJ1" s="9"/>
      <c r="SKK1" s="9"/>
      <c r="SKL1" s="9"/>
      <c r="SKM1" s="9"/>
      <c r="SKN1" s="9"/>
      <c r="SKO1" s="9"/>
      <c r="SKP1" s="9"/>
      <c r="SKQ1" s="9"/>
      <c r="SKR1" s="9"/>
      <c r="SKS1" s="9"/>
      <c r="SKT1" s="9"/>
      <c r="SKU1" s="9"/>
      <c r="SKV1" s="9"/>
      <c r="SKW1" s="9"/>
      <c r="SKX1" s="9"/>
      <c r="SKY1" s="9"/>
      <c r="SKZ1" s="9"/>
      <c r="SLA1" s="9"/>
      <c r="SLB1" s="9"/>
      <c r="SLC1" s="9"/>
      <c r="SLD1" s="9"/>
      <c r="SLE1" s="9"/>
      <c r="SLF1" s="9"/>
      <c r="SLG1" s="9"/>
      <c r="SLH1" s="9"/>
      <c r="SLI1" s="9"/>
      <c r="SLJ1" s="9"/>
      <c r="SLK1" s="9"/>
      <c r="SLL1" s="9"/>
      <c r="SLM1" s="9"/>
      <c r="SLN1" s="9"/>
      <c r="SLO1" s="9"/>
      <c r="SLP1" s="9"/>
      <c r="SLQ1" s="9"/>
      <c r="SLR1" s="9"/>
      <c r="SLS1" s="9"/>
      <c r="SLT1" s="9"/>
      <c r="SLU1" s="9"/>
      <c r="SLV1" s="9"/>
      <c r="SLW1" s="9"/>
      <c r="SLX1" s="9"/>
      <c r="SLY1" s="9"/>
      <c r="SLZ1" s="9"/>
      <c r="SMA1" s="9"/>
      <c r="SMB1" s="9"/>
      <c r="SMC1" s="9"/>
      <c r="SMD1" s="9"/>
      <c r="SME1" s="9"/>
      <c r="SMF1" s="9"/>
      <c r="SMG1" s="9"/>
      <c r="SMH1" s="9"/>
      <c r="SMI1" s="9"/>
      <c r="SMJ1" s="9"/>
      <c r="SMK1" s="9"/>
      <c r="SML1" s="9"/>
      <c r="SMM1" s="9"/>
      <c r="SMN1" s="9"/>
      <c r="SMO1" s="9"/>
      <c r="SMP1" s="9"/>
      <c r="SMQ1" s="9"/>
      <c r="SMR1" s="9"/>
      <c r="SMS1" s="9"/>
      <c r="SMT1" s="9"/>
      <c r="SMU1" s="9"/>
      <c r="SMV1" s="9"/>
      <c r="SMW1" s="9"/>
      <c r="SMX1" s="9"/>
      <c r="SMY1" s="9"/>
      <c r="SMZ1" s="9"/>
      <c r="SNA1" s="9"/>
      <c r="SNB1" s="9"/>
      <c r="SNC1" s="9"/>
      <c r="SND1" s="9"/>
      <c r="SNE1" s="9"/>
      <c r="SNF1" s="9"/>
      <c r="SNG1" s="9"/>
      <c r="SNH1" s="9"/>
      <c r="SNI1" s="9"/>
      <c r="SNJ1" s="9"/>
      <c r="SNK1" s="9"/>
      <c r="SNL1" s="9"/>
      <c r="SNM1" s="9"/>
      <c r="SNN1" s="9"/>
      <c r="SNO1" s="9"/>
      <c r="SNP1" s="9"/>
      <c r="SNQ1" s="9"/>
      <c r="SNR1" s="9"/>
      <c r="SNS1" s="9"/>
      <c r="SNT1" s="9"/>
      <c r="SNU1" s="9"/>
      <c r="SNV1" s="9"/>
      <c r="SNW1" s="9"/>
      <c r="SNX1" s="9"/>
      <c r="SNY1" s="9"/>
      <c r="SNZ1" s="9"/>
      <c r="SOA1" s="9"/>
      <c r="SOB1" s="9"/>
      <c r="SOC1" s="9"/>
      <c r="SOD1" s="9"/>
      <c r="SOE1" s="9"/>
      <c r="SOF1" s="9"/>
      <c r="SOG1" s="9"/>
      <c r="SOH1" s="9"/>
      <c r="SOI1" s="9"/>
      <c r="SOJ1" s="9"/>
      <c r="SOK1" s="9"/>
      <c r="SOL1" s="9"/>
      <c r="SOM1" s="9"/>
      <c r="SON1" s="9"/>
      <c r="SOO1" s="9"/>
      <c r="SOP1" s="9"/>
      <c r="SOQ1" s="9"/>
      <c r="SOR1" s="9"/>
      <c r="SOS1" s="9"/>
      <c r="SOT1" s="9"/>
      <c r="SOU1" s="9"/>
      <c r="SOV1" s="9"/>
      <c r="SOW1" s="9"/>
      <c r="SOX1" s="9"/>
      <c r="SOY1" s="9"/>
      <c r="SOZ1" s="9"/>
      <c r="SPA1" s="9"/>
      <c r="SPB1" s="9"/>
      <c r="SPC1" s="9"/>
      <c r="SPD1" s="9"/>
      <c r="SPE1" s="9"/>
      <c r="SPF1" s="9"/>
      <c r="SPG1" s="9"/>
      <c r="SPH1" s="9"/>
      <c r="SPI1" s="9"/>
      <c r="SPJ1" s="9"/>
      <c r="SPK1" s="9"/>
      <c r="SPL1" s="9"/>
      <c r="SPM1" s="9"/>
      <c r="SPN1" s="9"/>
      <c r="SPO1" s="9"/>
      <c r="SPP1" s="9"/>
      <c r="SPQ1" s="9"/>
      <c r="SPR1" s="9"/>
      <c r="SPS1" s="9"/>
      <c r="SPT1" s="9"/>
      <c r="SPU1" s="9"/>
      <c r="SPV1" s="9"/>
      <c r="SPW1" s="9"/>
      <c r="SPX1" s="9"/>
      <c r="SPY1" s="9"/>
      <c r="SPZ1" s="9"/>
      <c r="SQA1" s="9"/>
      <c r="SQB1" s="9"/>
      <c r="SQC1" s="9"/>
      <c r="SQD1" s="9"/>
      <c r="SQE1" s="9"/>
      <c r="SQF1" s="9"/>
      <c r="SQG1" s="9"/>
      <c r="SQH1" s="9"/>
      <c r="SQI1" s="9"/>
      <c r="SQJ1" s="9"/>
      <c r="SQK1" s="9"/>
      <c r="SQL1" s="9"/>
      <c r="SQM1" s="9"/>
      <c r="SQN1" s="9"/>
      <c r="SQO1" s="9"/>
      <c r="SQP1" s="9"/>
      <c r="SQQ1" s="9"/>
      <c r="SQR1" s="9"/>
      <c r="SQS1" s="9"/>
      <c r="SQT1" s="9"/>
      <c r="SQU1" s="9"/>
      <c r="SQV1" s="9"/>
      <c r="SQW1" s="9"/>
      <c r="SQX1" s="9"/>
      <c r="SQY1" s="9"/>
      <c r="SQZ1" s="9"/>
      <c r="SRA1" s="9"/>
      <c r="SRB1" s="9"/>
      <c r="SRC1" s="9"/>
      <c r="SRD1" s="9"/>
      <c r="SRE1" s="9"/>
      <c r="SRF1" s="9"/>
      <c r="SRG1" s="9"/>
      <c r="SRH1" s="9"/>
      <c r="SRI1" s="9"/>
      <c r="SRJ1" s="9"/>
      <c r="SRK1" s="9"/>
      <c r="SRL1" s="9"/>
      <c r="SRM1" s="9"/>
      <c r="SRN1" s="9"/>
      <c r="SRO1" s="9"/>
      <c r="SRP1" s="9"/>
      <c r="SRQ1" s="9"/>
      <c r="SRR1" s="9"/>
      <c r="SRS1" s="9"/>
      <c r="SRT1" s="9"/>
      <c r="SRU1" s="9"/>
      <c r="SRV1" s="9"/>
      <c r="SRW1" s="9"/>
      <c r="SRX1" s="9"/>
      <c r="SRY1" s="9"/>
      <c r="SRZ1" s="9"/>
      <c r="SSA1" s="9"/>
      <c r="SSB1" s="9"/>
      <c r="SSC1" s="9"/>
      <c r="SSD1" s="9"/>
      <c r="SSE1" s="9"/>
      <c r="SSF1" s="9"/>
      <c r="SSG1" s="9"/>
      <c r="SSH1" s="9"/>
      <c r="SSI1" s="9"/>
      <c r="SSJ1" s="9"/>
      <c r="SSK1" s="9"/>
      <c r="SSL1" s="9"/>
      <c r="SSM1" s="9"/>
      <c r="SSN1" s="9"/>
      <c r="SSO1" s="9"/>
      <c r="SSP1" s="9"/>
      <c r="SSQ1" s="9"/>
      <c r="SSR1" s="9"/>
      <c r="SSS1" s="9"/>
      <c r="SST1" s="9"/>
      <c r="SSU1" s="9"/>
      <c r="SSV1" s="9"/>
      <c r="SSW1" s="9"/>
      <c r="SSX1" s="9"/>
      <c r="SSY1" s="9"/>
      <c r="SSZ1" s="9"/>
      <c r="STA1" s="9"/>
      <c r="STB1" s="9"/>
      <c r="STC1" s="9"/>
      <c r="STD1" s="9"/>
      <c r="STE1" s="9"/>
      <c r="STF1" s="9"/>
      <c r="STG1" s="9"/>
      <c r="STH1" s="9"/>
      <c r="STI1" s="9"/>
      <c r="STJ1" s="9"/>
      <c r="STK1" s="9"/>
      <c r="STL1" s="9"/>
      <c r="STM1" s="9"/>
      <c r="STN1" s="9"/>
      <c r="STO1" s="9"/>
      <c r="STP1" s="9"/>
      <c r="STQ1" s="9"/>
      <c r="STR1" s="9"/>
      <c r="STS1" s="9"/>
      <c r="STT1" s="9"/>
      <c r="STU1" s="9"/>
      <c r="STV1" s="9"/>
      <c r="STW1" s="9"/>
      <c r="STX1" s="9"/>
      <c r="STY1" s="9"/>
      <c r="STZ1" s="9"/>
      <c r="SUA1" s="9"/>
      <c r="SUB1" s="9"/>
      <c r="SUC1" s="9"/>
      <c r="SUD1" s="9"/>
      <c r="SUE1" s="9"/>
      <c r="SUF1" s="9"/>
      <c r="SUG1" s="9"/>
      <c r="SUH1" s="9"/>
      <c r="SUI1" s="9"/>
      <c r="SUJ1" s="9"/>
      <c r="SUK1" s="9"/>
      <c r="SUL1" s="9"/>
      <c r="SUM1" s="9"/>
      <c r="SUN1" s="9"/>
      <c r="SUO1" s="9"/>
      <c r="SUP1" s="9"/>
      <c r="SUQ1" s="9"/>
      <c r="SUR1" s="9"/>
      <c r="SUS1" s="9"/>
      <c r="SUT1" s="9"/>
      <c r="SUU1" s="9"/>
      <c r="SUV1" s="9"/>
      <c r="SUW1" s="9"/>
      <c r="SUX1" s="9"/>
      <c r="SUY1" s="9"/>
      <c r="SUZ1" s="9"/>
      <c r="SVA1" s="9"/>
      <c r="SVB1" s="9"/>
      <c r="SVC1" s="9"/>
      <c r="SVD1" s="9"/>
      <c r="SVE1" s="9"/>
      <c r="SVF1" s="9"/>
      <c r="SVG1" s="9"/>
      <c r="SVH1" s="9"/>
      <c r="SVI1" s="9"/>
      <c r="SVJ1" s="9"/>
      <c r="SVK1" s="9"/>
      <c r="SVL1" s="9"/>
      <c r="SVM1" s="9"/>
      <c r="SVN1" s="9"/>
      <c r="SVO1" s="9"/>
      <c r="SVP1" s="9"/>
      <c r="SVQ1" s="9"/>
      <c r="SVR1" s="9"/>
      <c r="SVS1" s="9"/>
      <c r="SVT1" s="9"/>
      <c r="SVU1" s="9"/>
      <c r="SVV1" s="9"/>
      <c r="SVW1" s="9"/>
      <c r="SVX1" s="9"/>
      <c r="SVY1" s="9"/>
      <c r="SVZ1" s="9"/>
      <c r="SWA1" s="9"/>
      <c r="SWB1" s="9"/>
      <c r="SWC1" s="9"/>
      <c r="SWD1" s="9"/>
      <c r="SWE1" s="9"/>
      <c r="SWF1" s="9"/>
      <c r="SWG1" s="9"/>
      <c r="SWH1" s="9"/>
      <c r="SWI1" s="9"/>
      <c r="SWJ1" s="9"/>
      <c r="SWK1" s="9"/>
      <c r="SWL1" s="9"/>
      <c r="SWM1" s="9"/>
      <c r="SWN1" s="9"/>
      <c r="SWO1" s="9"/>
      <c r="SWP1" s="9"/>
      <c r="SWQ1" s="9"/>
      <c r="SWR1" s="9"/>
      <c r="SWS1" s="9"/>
      <c r="SWT1" s="9"/>
      <c r="SWU1" s="9"/>
      <c r="SWV1" s="9"/>
      <c r="SWW1" s="9"/>
      <c r="SWX1" s="9"/>
      <c r="SWY1" s="9"/>
      <c r="SWZ1" s="9"/>
      <c r="SXA1" s="9"/>
      <c r="SXB1" s="9"/>
      <c r="SXC1" s="9"/>
      <c r="SXD1" s="9"/>
      <c r="SXE1" s="9"/>
      <c r="SXF1" s="9"/>
      <c r="SXG1" s="9"/>
      <c r="SXH1" s="9"/>
      <c r="SXI1" s="9"/>
      <c r="SXJ1" s="9"/>
      <c r="SXK1" s="9"/>
      <c r="SXL1" s="9"/>
      <c r="SXM1" s="9"/>
      <c r="SXN1" s="9"/>
      <c r="SXO1" s="9"/>
      <c r="SXP1" s="9"/>
      <c r="SXQ1" s="9"/>
      <c r="SXR1" s="9"/>
      <c r="SXS1" s="9"/>
      <c r="SXT1" s="9"/>
      <c r="SXU1" s="9"/>
      <c r="SXV1" s="9"/>
      <c r="SXW1" s="9"/>
      <c r="SXX1" s="9"/>
      <c r="SXY1" s="9"/>
      <c r="SXZ1" s="9"/>
      <c r="SYA1" s="9"/>
      <c r="SYB1" s="9"/>
      <c r="SYC1" s="9"/>
      <c r="SYD1" s="9"/>
      <c r="SYE1" s="9"/>
      <c r="SYF1" s="9"/>
      <c r="SYG1" s="9"/>
      <c r="SYH1" s="9"/>
      <c r="SYI1" s="9"/>
      <c r="SYJ1" s="9"/>
      <c r="SYK1" s="9"/>
      <c r="SYL1" s="9"/>
      <c r="SYM1" s="9"/>
      <c r="SYN1" s="9"/>
      <c r="SYO1" s="9"/>
      <c r="SYP1" s="9"/>
      <c r="SYQ1" s="9"/>
      <c r="SYR1" s="9"/>
      <c r="SYS1" s="9"/>
      <c r="SYT1" s="9"/>
      <c r="SYU1" s="9"/>
      <c r="SYV1" s="9"/>
      <c r="SYW1" s="9"/>
      <c r="SYX1" s="9"/>
      <c r="SYY1" s="9"/>
      <c r="SYZ1" s="9"/>
      <c r="SZA1" s="9"/>
      <c r="SZB1" s="9"/>
      <c r="SZC1" s="9"/>
      <c r="SZD1" s="9"/>
      <c r="SZE1" s="9"/>
      <c r="SZF1" s="9"/>
      <c r="SZG1" s="9"/>
      <c r="SZH1" s="9"/>
      <c r="SZI1" s="9"/>
      <c r="SZJ1" s="9"/>
      <c r="SZK1" s="9"/>
      <c r="SZL1" s="9"/>
      <c r="SZM1" s="9"/>
      <c r="SZN1" s="9"/>
      <c r="SZO1" s="9"/>
      <c r="SZP1" s="9"/>
      <c r="SZQ1" s="9"/>
      <c r="SZR1" s="9"/>
      <c r="SZS1" s="9"/>
      <c r="SZT1" s="9"/>
      <c r="SZU1" s="9"/>
      <c r="SZV1" s="9"/>
      <c r="SZW1" s="9"/>
      <c r="SZX1" s="9"/>
      <c r="SZY1" s="9"/>
      <c r="SZZ1" s="9"/>
      <c r="TAA1" s="9"/>
      <c r="TAB1" s="9"/>
      <c r="TAC1" s="9"/>
      <c r="TAD1" s="9"/>
      <c r="TAE1" s="9"/>
      <c r="TAF1" s="9"/>
      <c r="TAG1" s="9"/>
      <c r="TAH1" s="9"/>
      <c r="TAI1" s="9"/>
      <c r="TAJ1" s="9"/>
      <c r="TAK1" s="9"/>
      <c r="TAL1" s="9"/>
      <c r="TAM1" s="9"/>
      <c r="TAN1" s="9"/>
      <c r="TAO1" s="9"/>
      <c r="TAP1" s="9"/>
      <c r="TAQ1" s="9"/>
      <c r="TAR1" s="9"/>
      <c r="TAS1" s="9"/>
      <c r="TAT1" s="9"/>
      <c r="TAU1" s="9"/>
      <c r="TAV1" s="9"/>
      <c r="TAW1" s="9"/>
      <c r="TAX1" s="9"/>
      <c r="TAY1" s="9"/>
      <c r="TAZ1" s="9"/>
      <c r="TBA1" s="9"/>
      <c r="TBB1" s="9"/>
      <c r="TBC1" s="9"/>
      <c r="TBD1" s="9"/>
      <c r="TBE1" s="9"/>
      <c r="TBF1" s="9"/>
      <c r="TBG1" s="9"/>
      <c r="TBH1" s="9"/>
      <c r="TBI1" s="9"/>
      <c r="TBJ1" s="9"/>
      <c r="TBK1" s="9"/>
      <c r="TBL1" s="9"/>
      <c r="TBM1" s="9"/>
      <c r="TBN1" s="9"/>
      <c r="TBO1" s="9"/>
      <c r="TBP1" s="9"/>
      <c r="TBQ1" s="9"/>
      <c r="TBR1" s="9"/>
      <c r="TBS1" s="9"/>
      <c r="TBT1" s="9"/>
      <c r="TBU1" s="9"/>
      <c r="TBV1" s="9"/>
      <c r="TBW1" s="9"/>
      <c r="TBX1" s="9"/>
      <c r="TBY1" s="9"/>
      <c r="TBZ1" s="9"/>
      <c r="TCA1" s="9"/>
      <c r="TCB1" s="9"/>
      <c r="TCC1" s="9"/>
      <c r="TCD1" s="9"/>
      <c r="TCE1" s="9"/>
      <c r="TCF1" s="9"/>
      <c r="TCG1" s="9"/>
      <c r="TCH1" s="9"/>
      <c r="TCI1" s="9"/>
      <c r="TCJ1" s="9"/>
      <c r="TCK1" s="9"/>
      <c r="TCL1" s="9"/>
      <c r="TCM1" s="9"/>
      <c r="TCN1" s="9"/>
      <c r="TCO1" s="9"/>
      <c r="TCP1" s="9"/>
      <c r="TCQ1" s="9"/>
      <c r="TCR1" s="9"/>
      <c r="TCS1" s="9"/>
      <c r="TCT1" s="9"/>
      <c r="TCU1" s="9"/>
      <c r="TCV1" s="9"/>
      <c r="TCW1" s="9"/>
      <c r="TCX1" s="9"/>
      <c r="TCY1" s="9"/>
      <c r="TCZ1" s="9"/>
      <c r="TDA1" s="9"/>
      <c r="TDB1" s="9"/>
      <c r="TDC1" s="9"/>
      <c r="TDD1" s="9"/>
      <c r="TDE1" s="9"/>
      <c r="TDF1" s="9"/>
      <c r="TDG1" s="9"/>
      <c r="TDH1" s="9"/>
      <c r="TDI1" s="9"/>
      <c r="TDJ1" s="9"/>
      <c r="TDK1" s="9"/>
      <c r="TDL1" s="9"/>
      <c r="TDM1" s="9"/>
      <c r="TDN1" s="9"/>
      <c r="TDO1" s="9"/>
      <c r="TDP1" s="9"/>
      <c r="TDQ1" s="9"/>
      <c r="TDR1" s="9"/>
      <c r="TDS1" s="9"/>
      <c r="TDT1" s="9"/>
      <c r="TDU1" s="9"/>
      <c r="TDV1" s="9"/>
      <c r="TDW1" s="9"/>
      <c r="TDX1" s="9"/>
      <c r="TDY1" s="9"/>
      <c r="TDZ1" s="9"/>
      <c r="TEA1" s="9"/>
      <c r="TEB1" s="9"/>
      <c r="TEC1" s="9"/>
      <c r="TED1" s="9"/>
      <c r="TEE1" s="9"/>
      <c r="TEF1" s="9"/>
      <c r="TEG1" s="9"/>
      <c r="TEH1" s="9"/>
      <c r="TEI1" s="9"/>
      <c r="TEJ1" s="9"/>
      <c r="TEK1" s="9"/>
      <c r="TEL1" s="9"/>
      <c r="TEM1" s="9"/>
      <c r="TEN1" s="9"/>
      <c r="TEO1" s="9"/>
      <c r="TEP1" s="9"/>
      <c r="TEQ1" s="9"/>
      <c r="TER1" s="9"/>
      <c r="TES1" s="9"/>
      <c r="TET1" s="9"/>
      <c r="TEU1" s="9"/>
      <c r="TEV1" s="9"/>
      <c r="TEW1" s="9"/>
      <c r="TEX1" s="9"/>
      <c r="TEY1" s="9"/>
      <c r="TEZ1" s="9"/>
      <c r="TFA1" s="9"/>
      <c r="TFB1" s="9"/>
      <c r="TFC1" s="9"/>
      <c r="TFD1" s="9"/>
      <c r="TFE1" s="9"/>
      <c r="TFF1" s="9"/>
      <c r="TFG1" s="9"/>
      <c r="TFH1" s="9"/>
      <c r="TFI1" s="9"/>
      <c r="TFJ1" s="9"/>
      <c r="TFK1" s="9"/>
      <c r="TFL1" s="9"/>
      <c r="TFM1" s="9"/>
      <c r="TFN1" s="9"/>
      <c r="TFO1" s="9"/>
      <c r="TFP1" s="9"/>
      <c r="TFQ1" s="9"/>
      <c r="TFR1" s="9"/>
      <c r="TFS1" s="9"/>
      <c r="TFT1" s="9"/>
      <c r="TFU1" s="9"/>
      <c r="TFV1" s="9"/>
      <c r="TFW1" s="9"/>
      <c r="TFX1" s="9"/>
      <c r="TFY1" s="9"/>
      <c r="TFZ1" s="9"/>
      <c r="TGA1" s="9"/>
      <c r="TGB1" s="9"/>
      <c r="TGC1" s="9"/>
      <c r="TGD1" s="9"/>
      <c r="TGE1" s="9"/>
      <c r="TGF1" s="9"/>
      <c r="TGG1" s="9"/>
      <c r="TGH1" s="9"/>
      <c r="TGI1" s="9"/>
      <c r="TGJ1" s="9"/>
      <c r="TGK1" s="9"/>
      <c r="TGL1" s="9"/>
      <c r="TGM1" s="9"/>
      <c r="TGN1" s="9"/>
      <c r="TGO1" s="9"/>
      <c r="TGP1" s="9"/>
      <c r="TGQ1" s="9"/>
      <c r="TGR1" s="9"/>
      <c r="TGS1" s="9"/>
      <c r="TGT1" s="9"/>
      <c r="TGU1" s="9"/>
      <c r="TGV1" s="9"/>
      <c r="TGW1" s="9"/>
      <c r="TGX1" s="9"/>
      <c r="TGY1" s="9"/>
      <c r="TGZ1" s="9"/>
      <c r="THA1" s="9"/>
      <c r="THB1" s="9"/>
      <c r="THC1" s="9"/>
      <c r="THD1" s="9"/>
      <c r="THE1" s="9"/>
      <c r="THF1" s="9"/>
      <c r="THG1" s="9"/>
      <c r="THH1" s="9"/>
      <c r="THI1" s="9"/>
      <c r="THJ1" s="9"/>
      <c r="THK1" s="9"/>
      <c r="THL1" s="9"/>
      <c r="THM1" s="9"/>
      <c r="THN1" s="9"/>
      <c r="THO1" s="9"/>
      <c r="THP1" s="9"/>
      <c r="THQ1" s="9"/>
      <c r="THR1" s="9"/>
      <c r="THS1" s="9"/>
      <c r="THT1" s="9"/>
      <c r="THU1" s="9"/>
      <c r="THV1" s="9"/>
      <c r="THW1" s="9"/>
      <c r="THX1" s="9"/>
      <c r="THY1" s="9"/>
      <c r="THZ1" s="9"/>
      <c r="TIA1" s="9"/>
      <c r="TIB1" s="9"/>
      <c r="TIC1" s="9"/>
      <c r="TID1" s="9"/>
      <c r="TIE1" s="9"/>
      <c r="TIF1" s="9"/>
      <c r="TIG1" s="9"/>
      <c r="TIH1" s="9"/>
      <c r="TII1" s="9"/>
      <c r="TIJ1" s="9"/>
      <c r="TIK1" s="9"/>
      <c r="TIL1" s="9"/>
      <c r="TIM1" s="9"/>
      <c r="TIN1" s="9"/>
      <c r="TIO1" s="9"/>
      <c r="TIP1" s="9"/>
      <c r="TIQ1" s="9"/>
      <c r="TIR1" s="9"/>
      <c r="TIS1" s="9"/>
      <c r="TIT1" s="9"/>
      <c r="TIU1" s="9"/>
      <c r="TIV1" s="9"/>
      <c r="TIW1" s="9"/>
      <c r="TIX1" s="9"/>
      <c r="TIY1" s="9"/>
      <c r="TIZ1" s="9"/>
      <c r="TJA1" s="9"/>
      <c r="TJB1" s="9"/>
      <c r="TJC1" s="9"/>
      <c r="TJD1" s="9"/>
      <c r="TJE1" s="9"/>
      <c r="TJF1" s="9"/>
      <c r="TJG1" s="9"/>
      <c r="TJH1" s="9"/>
      <c r="TJI1" s="9"/>
      <c r="TJJ1" s="9"/>
      <c r="TJK1" s="9"/>
      <c r="TJL1" s="9"/>
      <c r="TJM1" s="9"/>
      <c r="TJN1" s="9"/>
      <c r="TJO1" s="9"/>
      <c r="TJP1" s="9"/>
      <c r="TJQ1" s="9"/>
      <c r="TJR1" s="9"/>
      <c r="TJS1" s="9"/>
      <c r="TJT1" s="9"/>
      <c r="TJU1" s="9"/>
      <c r="TJV1" s="9"/>
      <c r="TJW1" s="9"/>
      <c r="TJX1" s="9"/>
      <c r="TJY1" s="9"/>
      <c r="TJZ1" s="9"/>
      <c r="TKA1" s="9"/>
      <c r="TKB1" s="9"/>
      <c r="TKC1" s="9"/>
      <c r="TKD1" s="9"/>
      <c r="TKE1" s="9"/>
      <c r="TKF1" s="9"/>
      <c r="TKG1" s="9"/>
      <c r="TKH1" s="9"/>
      <c r="TKI1" s="9"/>
      <c r="TKJ1" s="9"/>
      <c r="TKK1" s="9"/>
      <c r="TKL1" s="9"/>
      <c r="TKM1" s="9"/>
      <c r="TKN1" s="9"/>
      <c r="TKO1" s="9"/>
      <c r="TKP1" s="9"/>
      <c r="TKQ1" s="9"/>
      <c r="TKR1" s="9"/>
      <c r="TKS1" s="9"/>
      <c r="TKT1" s="9"/>
      <c r="TKU1" s="9"/>
      <c r="TKV1" s="9"/>
      <c r="TKW1" s="9"/>
      <c r="TKX1" s="9"/>
      <c r="TKY1" s="9"/>
      <c r="TKZ1" s="9"/>
      <c r="TLA1" s="9"/>
      <c r="TLB1" s="9"/>
      <c r="TLC1" s="9"/>
      <c r="TLD1" s="9"/>
      <c r="TLE1" s="9"/>
      <c r="TLF1" s="9"/>
      <c r="TLG1" s="9"/>
      <c r="TLH1" s="9"/>
      <c r="TLI1" s="9"/>
      <c r="TLJ1" s="9"/>
      <c r="TLK1" s="9"/>
      <c r="TLL1" s="9"/>
      <c r="TLM1" s="9"/>
      <c r="TLN1" s="9"/>
      <c r="TLO1" s="9"/>
      <c r="TLP1" s="9"/>
      <c r="TLQ1" s="9"/>
      <c r="TLR1" s="9"/>
      <c r="TLS1" s="9"/>
      <c r="TLT1" s="9"/>
      <c r="TLU1" s="9"/>
      <c r="TLV1" s="9"/>
      <c r="TLW1" s="9"/>
      <c r="TLX1" s="9"/>
      <c r="TLY1" s="9"/>
      <c r="TLZ1" s="9"/>
      <c r="TMA1" s="9"/>
      <c r="TMB1" s="9"/>
      <c r="TMC1" s="9"/>
      <c r="TMD1" s="9"/>
      <c r="TME1" s="9"/>
      <c r="TMF1" s="9"/>
      <c r="TMG1" s="9"/>
      <c r="TMH1" s="9"/>
      <c r="TMI1" s="9"/>
      <c r="TMJ1" s="9"/>
      <c r="TMK1" s="9"/>
      <c r="TML1" s="9"/>
      <c r="TMM1" s="9"/>
      <c r="TMN1" s="9"/>
      <c r="TMO1" s="9"/>
      <c r="TMP1" s="9"/>
      <c r="TMQ1" s="9"/>
      <c r="TMR1" s="9"/>
      <c r="TMS1" s="9"/>
      <c r="TMT1" s="9"/>
      <c r="TMU1" s="9"/>
      <c r="TMV1" s="9"/>
      <c r="TMW1" s="9"/>
      <c r="TMX1" s="9"/>
      <c r="TMY1" s="9"/>
      <c r="TMZ1" s="9"/>
      <c r="TNA1" s="9"/>
      <c r="TNB1" s="9"/>
      <c r="TNC1" s="9"/>
      <c r="TND1" s="9"/>
      <c r="TNE1" s="9"/>
      <c r="TNF1" s="9"/>
      <c r="TNG1" s="9"/>
      <c r="TNH1" s="9"/>
      <c r="TNI1" s="9"/>
      <c r="TNJ1" s="9"/>
      <c r="TNK1" s="9"/>
      <c r="TNL1" s="9"/>
      <c r="TNM1" s="9"/>
      <c r="TNN1" s="9"/>
      <c r="TNO1" s="9"/>
      <c r="TNP1" s="9"/>
      <c r="TNQ1" s="9"/>
      <c r="TNR1" s="9"/>
      <c r="TNS1" s="9"/>
      <c r="TNT1" s="9"/>
      <c r="TNU1" s="9"/>
      <c r="TNV1" s="9"/>
      <c r="TNW1" s="9"/>
      <c r="TNX1" s="9"/>
      <c r="TNY1" s="9"/>
      <c r="TNZ1" s="9"/>
      <c r="TOA1" s="9"/>
      <c r="TOB1" s="9"/>
      <c r="TOC1" s="9"/>
      <c r="TOD1" s="9"/>
      <c r="TOE1" s="9"/>
      <c r="TOF1" s="9"/>
      <c r="TOG1" s="9"/>
      <c r="TOH1" s="9"/>
      <c r="TOI1" s="9"/>
      <c r="TOJ1" s="9"/>
      <c r="TOK1" s="9"/>
      <c r="TOL1" s="9"/>
      <c r="TOM1" s="9"/>
      <c r="TON1" s="9"/>
      <c r="TOO1" s="9"/>
      <c r="TOP1" s="9"/>
      <c r="TOQ1" s="9"/>
      <c r="TOR1" s="9"/>
      <c r="TOS1" s="9"/>
      <c r="TOT1" s="9"/>
      <c r="TOU1" s="9"/>
      <c r="TOV1" s="9"/>
      <c r="TOW1" s="9"/>
      <c r="TOX1" s="9"/>
      <c r="TOY1" s="9"/>
      <c r="TOZ1" s="9"/>
      <c r="TPA1" s="9"/>
      <c r="TPB1" s="9"/>
      <c r="TPC1" s="9"/>
      <c r="TPD1" s="9"/>
      <c r="TPE1" s="9"/>
      <c r="TPF1" s="9"/>
      <c r="TPG1" s="9"/>
      <c r="TPH1" s="9"/>
      <c r="TPI1" s="9"/>
      <c r="TPJ1" s="9"/>
      <c r="TPK1" s="9"/>
      <c r="TPL1" s="9"/>
      <c r="TPM1" s="9"/>
      <c r="TPN1" s="9"/>
      <c r="TPO1" s="9"/>
      <c r="TPP1" s="9"/>
      <c r="TPQ1" s="9"/>
      <c r="TPR1" s="9"/>
      <c r="TPS1" s="9"/>
      <c r="TPT1" s="9"/>
      <c r="TPU1" s="9"/>
      <c r="TPV1" s="9"/>
      <c r="TPW1" s="9"/>
      <c r="TPX1" s="9"/>
      <c r="TPY1" s="9"/>
      <c r="TPZ1" s="9"/>
      <c r="TQA1" s="9"/>
      <c r="TQB1" s="9"/>
      <c r="TQC1" s="9"/>
      <c r="TQD1" s="9"/>
      <c r="TQE1" s="9"/>
      <c r="TQF1" s="9"/>
      <c r="TQG1" s="9"/>
      <c r="TQH1" s="9"/>
      <c r="TQI1" s="9"/>
      <c r="TQJ1" s="9"/>
      <c r="TQK1" s="9"/>
      <c r="TQL1" s="9"/>
      <c r="TQM1" s="9"/>
      <c r="TQN1" s="9"/>
      <c r="TQO1" s="9"/>
      <c r="TQP1" s="9"/>
      <c r="TQQ1" s="9"/>
      <c r="TQR1" s="9"/>
      <c r="TQS1" s="9"/>
      <c r="TQT1" s="9"/>
      <c r="TQU1" s="9"/>
      <c r="TQV1" s="9"/>
      <c r="TQW1" s="9"/>
      <c r="TQX1" s="9"/>
      <c r="TQY1" s="9"/>
      <c r="TQZ1" s="9"/>
      <c r="TRA1" s="9"/>
      <c r="TRB1" s="9"/>
      <c r="TRC1" s="9"/>
      <c r="TRD1" s="9"/>
      <c r="TRE1" s="9"/>
      <c r="TRF1" s="9"/>
      <c r="TRG1" s="9"/>
      <c r="TRH1" s="9"/>
      <c r="TRI1" s="9"/>
      <c r="TRJ1" s="9"/>
      <c r="TRK1" s="9"/>
      <c r="TRL1" s="9"/>
      <c r="TRM1" s="9"/>
      <c r="TRN1" s="9"/>
      <c r="TRO1" s="9"/>
      <c r="TRP1" s="9"/>
      <c r="TRQ1" s="9"/>
      <c r="TRR1" s="9"/>
      <c r="TRS1" s="9"/>
      <c r="TRT1" s="9"/>
      <c r="TRU1" s="9"/>
      <c r="TRV1" s="9"/>
      <c r="TRW1" s="9"/>
      <c r="TRX1" s="9"/>
      <c r="TRY1" s="9"/>
      <c r="TRZ1" s="9"/>
      <c r="TSA1" s="9"/>
      <c r="TSB1" s="9"/>
      <c r="TSC1" s="9"/>
      <c r="TSD1" s="9"/>
      <c r="TSE1" s="9"/>
      <c r="TSF1" s="9"/>
      <c r="TSG1" s="9"/>
      <c r="TSH1" s="9"/>
      <c r="TSI1" s="9"/>
      <c r="TSJ1" s="9"/>
      <c r="TSK1" s="9"/>
      <c r="TSL1" s="9"/>
      <c r="TSM1" s="9"/>
      <c r="TSN1" s="9"/>
      <c r="TSO1" s="9"/>
      <c r="TSP1" s="9"/>
      <c r="TSQ1" s="9"/>
      <c r="TSR1" s="9"/>
      <c r="TSS1" s="9"/>
      <c r="TST1" s="9"/>
      <c r="TSU1" s="9"/>
      <c r="TSV1" s="9"/>
      <c r="TSW1" s="9"/>
      <c r="TSX1" s="9"/>
      <c r="TSY1" s="9"/>
      <c r="TSZ1" s="9"/>
      <c r="TTA1" s="9"/>
      <c r="TTB1" s="9"/>
      <c r="TTC1" s="9"/>
      <c r="TTD1" s="9"/>
      <c r="TTE1" s="9"/>
      <c r="TTF1" s="9"/>
      <c r="TTG1" s="9"/>
      <c r="TTH1" s="9"/>
      <c r="TTI1" s="9"/>
      <c r="TTJ1" s="9"/>
      <c r="TTK1" s="9"/>
      <c r="TTL1" s="9"/>
      <c r="TTM1" s="9"/>
      <c r="TTN1" s="9"/>
      <c r="TTO1" s="9"/>
      <c r="TTP1" s="9"/>
      <c r="TTQ1" s="9"/>
      <c r="TTR1" s="9"/>
      <c r="TTS1" s="9"/>
      <c r="TTT1" s="9"/>
      <c r="TTU1" s="9"/>
      <c r="TTV1" s="9"/>
      <c r="TTW1" s="9"/>
      <c r="TTX1" s="9"/>
      <c r="TTY1" s="9"/>
      <c r="TTZ1" s="9"/>
      <c r="TUA1" s="9"/>
      <c r="TUB1" s="9"/>
      <c r="TUC1" s="9"/>
      <c r="TUD1" s="9"/>
      <c r="TUE1" s="9"/>
      <c r="TUF1" s="9"/>
      <c r="TUG1" s="9"/>
      <c r="TUH1" s="9"/>
      <c r="TUI1" s="9"/>
      <c r="TUJ1" s="9"/>
      <c r="TUK1" s="9"/>
      <c r="TUL1" s="9"/>
      <c r="TUM1" s="9"/>
      <c r="TUN1" s="9"/>
      <c r="TUO1" s="9"/>
      <c r="TUP1" s="9"/>
      <c r="TUQ1" s="9"/>
      <c r="TUR1" s="9"/>
      <c r="TUS1" s="9"/>
      <c r="TUT1" s="9"/>
      <c r="TUU1" s="9"/>
      <c r="TUV1" s="9"/>
      <c r="TUW1" s="9"/>
      <c r="TUX1" s="9"/>
      <c r="TUY1" s="9"/>
      <c r="TUZ1" s="9"/>
      <c r="TVA1" s="9"/>
      <c r="TVB1" s="9"/>
      <c r="TVC1" s="9"/>
      <c r="TVD1" s="9"/>
      <c r="TVE1" s="9"/>
      <c r="TVF1" s="9"/>
      <c r="TVG1" s="9"/>
      <c r="TVH1" s="9"/>
      <c r="TVI1" s="9"/>
      <c r="TVJ1" s="9"/>
      <c r="TVK1" s="9"/>
      <c r="TVL1" s="9"/>
      <c r="TVM1" s="9"/>
      <c r="TVN1" s="9"/>
      <c r="TVO1" s="9"/>
      <c r="TVP1" s="9"/>
      <c r="TVQ1" s="9"/>
      <c r="TVR1" s="9"/>
      <c r="TVS1" s="9"/>
      <c r="TVT1" s="9"/>
      <c r="TVU1" s="9"/>
      <c r="TVV1" s="9"/>
      <c r="TVW1" s="9"/>
      <c r="TVX1" s="9"/>
      <c r="TVY1" s="9"/>
      <c r="TVZ1" s="9"/>
      <c r="TWA1" s="9"/>
      <c r="TWB1" s="9"/>
      <c r="TWC1" s="9"/>
      <c r="TWD1" s="9"/>
      <c r="TWE1" s="9"/>
      <c r="TWF1" s="9"/>
      <c r="TWG1" s="9"/>
      <c r="TWH1" s="9"/>
      <c r="TWI1" s="9"/>
      <c r="TWJ1" s="9"/>
      <c r="TWK1" s="9"/>
      <c r="TWL1" s="9"/>
      <c r="TWM1" s="9"/>
      <c r="TWN1" s="9"/>
      <c r="TWO1" s="9"/>
      <c r="TWP1" s="9"/>
      <c r="TWQ1" s="9"/>
      <c r="TWR1" s="9"/>
      <c r="TWS1" s="9"/>
      <c r="TWT1" s="9"/>
      <c r="TWU1" s="9"/>
      <c r="TWV1" s="9"/>
      <c r="TWW1" s="9"/>
      <c r="TWX1" s="9"/>
      <c r="TWY1" s="9"/>
      <c r="TWZ1" s="9"/>
      <c r="TXA1" s="9"/>
      <c r="TXB1" s="9"/>
      <c r="TXC1" s="9"/>
      <c r="TXD1" s="9"/>
      <c r="TXE1" s="9"/>
      <c r="TXF1" s="9"/>
      <c r="TXG1" s="9"/>
      <c r="TXH1" s="9"/>
      <c r="TXI1" s="9"/>
      <c r="TXJ1" s="9"/>
      <c r="TXK1" s="9"/>
      <c r="TXL1" s="9"/>
      <c r="TXM1" s="9"/>
      <c r="TXN1" s="9"/>
      <c r="TXO1" s="9"/>
      <c r="TXP1" s="9"/>
      <c r="TXQ1" s="9"/>
      <c r="TXR1" s="9"/>
      <c r="TXS1" s="9"/>
      <c r="TXT1" s="9"/>
      <c r="TXU1" s="9"/>
      <c r="TXV1" s="9"/>
      <c r="TXW1" s="9"/>
      <c r="TXX1" s="9"/>
      <c r="TXY1" s="9"/>
      <c r="TXZ1" s="9"/>
      <c r="TYA1" s="9"/>
      <c r="TYB1" s="9"/>
      <c r="TYC1" s="9"/>
      <c r="TYD1" s="9"/>
      <c r="TYE1" s="9"/>
      <c r="TYF1" s="9"/>
      <c r="TYG1" s="9"/>
      <c r="TYH1" s="9"/>
      <c r="TYI1" s="9"/>
      <c r="TYJ1" s="9"/>
      <c r="TYK1" s="9"/>
      <c r="TYL1" s="9"/>
      <c r="TYM1" s="9"/>
      <c r="TYN1" s="9"/>
      <c r="TYO1" s="9"/>
      <c r="TYP1" s="9"/>
      <c r="TYQ1" s="9"/>
      <c r="TYR1" s="9"/>
      <c r="TYS1" s="9"/>
      <c r="TYT1" s="9"/>
      <c r="TYU1" s="9"/>
      <c r="TYV1" s="9"/>
      <c r="TYW1" s="9"/>
      <c r="TYX1" s="9"/>
      <c r="TYY1" s="9"/>
      <c r="TYZ1" s="9"/>
      <c r="TZA1" s="9"/>
      <c r="TZB1" s="9"/>
      <c r="TZC1" s="9"/>
      <c r="TZD1" s="9"/>
      <c r="TZE1" s="9"/>
      <c r="TZF1" s="9"/>
      <c r="TZG1" s="9"/>
      <c r="TZH1" s="9"/>
      <c r="TZI1" s="9"/>
      <c r="TZJ1" s="9"/>
      <c r="TZK1" s="9"/>
      <c r="TZL1" s="9"/>
      <c r="TZM1" s="9"/>
      <c r="TZN1" s="9"/>
      <c r="TZO1" s="9"/>
      <c r="TZP1" s="9"/>
      <c r="TZQ1" s="9"/>
      <c r="TZR1" s="9"/>
      <c r="TZS1" s="9"/>
      <c r="TZT1" s="9"/>
      <c r="TZU1" s="9"/>
      <c r="TZV1" s="9"/>
      <c r="TZW1" s="9"/>
      <c r="TZX1" s="9"/>
      <c r="TZY1" s="9"/>
      <c r="TZZ1" s="9"/>
      <c r="UAA1" s="9"/>
      <c r="UAB1" s="9"/>
      <c r="UAC1" s="9"/>
      <c r="UAD1" s="9"/>
      <c r="UAE1" s="9"/>
      <c r="UAF1" s="9"/>
      <c r="UAG1" s="9"/>
      <c r="UAH1" s="9"/>
      <c r="UAI1" s="9"/>
      <c r="UAJ1" s="9"/>
      <c r="UAK1" s="9"/>
      <c r="UAL1" s="9"/>
      <c r="UAM1" s="9"/>
      <c r="UAN1" s="9"/>
      <c r="UAO1" s="9"/>
      <c r="UAP1" s="9"/>
      <c r="UAQ1" s="9"/>
      <c r="UAR1" s="9"/>
      <c r="UAS1" s="9"/>
      <c r="UAT1" s="9"/>
      <c r="UAU1" s="9"/>
      <c r="UAV1" s="9"/>
      <c r="UAW1" s="9"/>
      <c r="UAX1" s="9"/>
      <c r="UAY1" s="9"/>
      <c r="UAZ1" s="9"/>
      <c r="UBA1" s="9"/>
      <c r="UBB1" s="9"/>
      <c r="UBC1" s="9"/>
      <c r="UBD1" s="9"/>
      <c r="UBE1" s="9"/>
      <c r="UBF1" s="9"/>
      <c r="UBG1" s="9"/>
      <c r="UBH1" s="9"/>
      <c r="UBI1" s="9"/>
      <c r="UBJ1" s="9"/>
      <c r="UBK1" s="9"/>
      <c r="UBL1" s="9"/>
      <c r="UBM1" s="9"/>
      <c r="UBN1" s="9"/>
      <c r="UBO1" s="9"/>
      <c r="UBP1" s="9"/>
      <c r="UBQ1" s="9"/>
      <c r="UBR1" s="9"/>
      <c r="UBS1" s="9"/>
      <c r="UBT1" s="9"/>
      <c r="UBU1" s="9"/>
      <c r="UBV1" s="9"/>
      <c r="UBW1" s="9"/>
      <c r="UBX1" s="9"/>
      <c r="UBY1" s="9"/>
      <c r="UBZ1" s="9"/>
      <c r="UCA1" s="9"/>
      <c r="UCB1" s="9"/>
      <c r="UCC1" s="9"/>
      <c r="UCD1" s="9"/>
      <c r="UCE1" s="9"/>
      <c r="UCF1" s="9"/>
      <c r="UCG1" s="9"/>
      <c r="UCH1" s="9"/>
      <c r="UCI1" s="9"/>
      <c r="UCJ1" s="9"/>
      <c r="UCK1" s="9"/>
      <c r="UCL1" s="9"/>
      <c r="UCM1" s="9"/>
      <c r="UCN1" s="9"/>
      <c r="UCO1" s="9"/>
      <c r="UCP1" s="9"/>
      <c r="UCQ1" s="9"/>
      <c r="UCR1" s="9"/>
      <c r="UCS1" s="9"/>
      <c r="UCT1" s="9"/>
      <c r="UCU1" s="9"/>
      <c r="UCV1" s="9"/>
      <c r="UCW1" s="9"/>
      <c r="UCX1" s="9"/>
      <c r="UCY1" s="9"/>
      <c r="UCZ1" s="9"/>
      <c r="UDA1" s="9"/>
      <c r="UDB1" s="9"/>
      <c r="UDC1" s="9"/>
      <c r="UDD1" s="9"/>
      <c r="UDE1" s="9"/>
      <c r="UDF1" s="9"/>
      <c r="UDG1" s="9"/>
      <c r="UDH1" s="9"/>
      <c r="UDI1" s="9"/>
      <c r="UDJ1" s="9"/>
      <c r="UDK1" s="9"/>
      <c r="UDL1" s="9"/>
      <c r="UDM1" s="9"/>
      <c r="UDN1" s="9"/>
      <c r="UDO1" s="9"/>
      <c r="UDP1" s="9"/>
      <c r="UDQ1" s="9"/>
      <c r="UDR1" s="9"/>
      <c r="UDS1" s="9"/>
      <c r="UDT1" s="9"/>
      <c r="UDU1" s="9"/>
      <c r="UDV1" s="9"/>
      <c r="UDW1" s="9"/>
      <c r="UDX1" s="9"/>
      <c r="UDY1" s="9"/>
      <c r="UDZ1" s="9"/>
      <c r="UEA1" s="9"/>
      <c r="UEB1" s="9"/>
      <c r="UEC1" s="9"/>
      <c r="UED1" s="9"/>
      <c r="UEE1" s="9"/>
      <c r="UEF1" s="9"/>
      <c r="UEG1" s="9"/>
      <c r="UEH1" s="9"/>
      <c r="UEI1" s="9"/>
      <c r="UEJ1" s="9"/>
      <c r="UEK1" s="9"/>
      <c r="UEL1" s="9"/>
      <c r="UEM1" s="9"/>
      <c r="UEN1" s="9"/>
      <c r="UEO1" s="9"/>
      <c r="UEP1" s="9"/>
      <c r="UEQ1" s="9"/>
      <c r="UER1" s="9"/>
      <c r="UES1" s="9"/>
      <c r="UET1" s="9"/>
      <c r="UEU1" s="9"/>
      <c r="UEV1" s="9"/>
      <c r="UEW1" s="9"/>
      <c r="UEX1" s="9"/>
      <c r="UEY1" s="9"/>
      <c r="UEZ1" s="9"/>
      <c r="UFA1" s="9"/>
      <c r="UFB1" s="9"/>
      <c r="UFC1" s="9"/>
      <c r="UFD1" s="9"/>
      <c r="UFE1" s="9"/>
      <c r="UFF1" s="9"/>
      <c r="UFG1" s="9"/>
      <c r="UFH1" s="9"/>
      <c r="UFI1" s="9"/>
      <c r="UFJ1" s="9"/>
      <c r="UFK1" s="9"/>
      <c r="UFL1" s="9"/>
      <c r="UFM1" s="9"/>
      <c r="UFN1" s="9"/>
      <c r="UFO1" s="9"/>
      <c r="UFP1" s="9"/>
      <c r="UFQ1" s="9"/>
      <c r="UFR1" s="9"/>
      <c r="UFS1" s="9"/>
      <c r="UFT1" s="9"/>
      <c r="UFU1" s="9"/>
      <c r="UFV1" s="9"/>
      <c r="UFW1" s="9"/>
      <c r="UFX1" s="9"/>
      <c r="UFY1" s="9"/>
      <c r="UFZ1" s="9"/>
      <c r="UGA1" s="9"/>
      <c r="UGB1" s="9"/>
      <c r="UGC1" s="9"/>
      <c r="UGD1" s="9"/>
      <c r="UGE1" s="9"/>
      <c r="UGF1" s="9"/>
      <c r="UGG1" s="9"/>
      <c r="UGH1" s="9"/>
      <c r="UGI1" s="9"/>
      <c r="UGJ1" s="9"/>
      <c r="UGK1" s="9"/>
      <c r="UGL1" s="9"/>
      <c r="UGM1" s="9"/>
      <c r="UGN1" s="9"/>
      <c r="UGO1" s="9"/>
      <c r="UGP1" s="9"/>
      <c r="UGQ1" s="9"/>
      <c r="UGR1" s="9"/>
      <c r="UGS1" s="9"/>
      <c r="UGT1" s="9"/>
      <c r="UGU1" s="9"/>
      <c r="UGV1" s="9"/>
      <c r="UGW1" s="9"/>
      <c r="UGX1" s="9"/>
      <c r="UGY1" s="9"/>
      <c r="UGZ1" s="9"/>
      <c r="UHA1" s="9"/>
      <c r="UHB1" s="9"/>
      <c r="UHC1" s="9"/>
      <c r="UHD1" s="9"/>
      <c r="UHE1" s="9"/>
      <c r="UHF1" s="9"/>
      <c r="UHG1" s="9"/>
      <c r="UHH1" s="9"/>
      <c r="UHI1" s="9"/>
      <c r="UHJ1" s="9"/>
      <c r="UHK1" s="9"/>
      <c r="UHL1" s="9"/>
      <c r="UHM1" s="9"/>
      <c r="UHN1" s="9"/>
      <c r="UHO1" s="9"/>
      <c r="UHP1" s="9"/>
      <c r="UHQ1" s="9"/>
      <c r="UHR1" s="9"/>
      <c r="UHS1" s="9"/>
      <c r="UHT1" s="9"/>
      <c r="UHU1" s="9"/>
      <c r="UHV1" s="9"/>
      <c r="UHW1" s="9"/>
      <c r="UHX1" s="9"/>
      <c r="UHY1" s="9"/>
      <c r="UHZ1" s="9"/>
      <c r="UIA1" s="9"/>
      <c r="UIB1" s="9"/>
      <c r="UIC1" s="9"/>
      <c r="UID1" s="9"/>
      <c r="UIE1" s="9"/>
      <c r="UIF1" s="9"/>
      <c r="UIG1" s="9"/>
      <c r="UIH1" s="9"/>
      <c r="UII1" s="9"/>
      <c r="UIJ1" s="9"/>
      <c r="UIK1" s="9"/>
      <c r="UIL1" s="9"/>
      <c r="UIM1" s="9"/>
      <c r="UIN1" s="9"/>
      <c r="UIO1" s="9"/>
      <c r="UIP1" s="9"/>
      <c r="UIQ1" s="9"/>
      <c r="UIR1" s="9"/>
      <c r="UIS1" s="9"/>
      <c r="UIT1" s="9"/>
      <c r="UIU1" s="9"/>
      <c r="UIV1" s="9"/>
      <c r="UIW1" s="9"/>
      <c r="UIX1" s="9"/>
      <c r="UIY1" s="9"/>
      <c r="UIZ1" s="9"/>
      <c r="UJA1" s="9"/>
      <c r="UJB1" s="9"/>
      <c r="UJC1" s="9"/>
      <c r="UJD1" s="9"/>
      <c r="UJE1" s="9"/>
      <c r="UJF1" s="9"/>
      <c r="UJG1" s="9"/>
      <c r="UJH1" s="9"/>
      <c r="UJI1" s="9"/>
      <c r="UJJ1" s="9"/>
      <c r="UJK1" s="9"/>
      <c r="UJL1" s="9"/>
      <c r="UJM1" s="9"/>
      <c r="UJN1" s="9"/>
      <c r="UJO1" s="9"/>
      <c r="UJP1" s="9"/>
      <c r="UJQ1" s="9"/>
      <c r="UJR1" s="9"/>
      <c r="UJS1" s="9"/>
      <c r="UJT1" s="9"/>
      <c r="UJU1" s="9"/>
      <c r="UJV1" s="9"/>
      <c r="UJW1" s="9"/>
      <c r="UJX1" s="9"/>
      <c r="UJY1" s="9"/>
      <c r="UJZ1" s="9"/>
      <c r="UKA1" s="9"/>
      <c r="UKB1" s="9"/>
      <c r="UKC1" s="9"/>
      <c r="UKD1" s="9"/>
      <c r="UKE1" s="9"/>
      <c r="UKF1" s="9"/>
      <c r="UKG1" s="9"/>
      <c r="UKH1" s="9"/>
      <c r="UKI1" s="9"/>
      <c r="UKJ1" s="9"/>
      <c r="UKK1" s="9"/>
      <c r="UKL1" s="9"/>
      <c r="UKM1" s="9"/>
      <c r="UKN1" s="9"/>
      <c r="UKO1" s="9"/>
      <c r="UKP1" s="9"/>
      <c r="UKQ1" s="9"/>
      <c r="UKR1" s="9"/>
      <c r="UKS1" s="9"/>
      <c r="UKT1" s="9"/>
      <c r="UKU1" s="9"/>
      <c r="UKV1" s="9"/>
      <c r="UKW1" s="9"/>
      <c r="UKX1" s="9"/>
      <c r="UKY1" s="9"/>
      <c r="UKZ1" s="9"/>
      <c r="ULA1" s="9"/>
      <c r="ULB1" s="9"/>
      <c r="ULC1" s="9"/>
      <c r="ULD1" s="9"/>
      <c r="ULE1" s="9"/>
      <c r="ULF1" s="9"/>
      <c r="ULG1" s="9"/>
      <c r="ULH1" s="9"/>
      <c r="ULI1" s="9"/>
      <c r="ULJ1" s="9"/>
      <c r="ULK1" s="9"/>
      <c r="ULL1" s="9"/>
      <c r="ULM1" s="9"/>
      <c r="ULN1" s="9"/>
      <c r="ULO1" s="9"/>
      <c r="ULP1" s="9"/>
      <c r="ULQ1" s="9"/>
      <c r="ULR1" s="9"/>
      <c r="ULS1" s="9"/>
      <c r="ULT1" s="9"/>
      <c r="ULU1" s="9"/>
      <c r="ULV1" s="9"/>
      <c r="ULW1" s="9"/>
      <c r="ULX1" s="9"/>
      <c r="ULY1" s="9"/>
      <c r="ULZ1" s="9"/>
      <c r="UMA1" s="9"/>
      <c r="UMB1" s="9"/>
      <c r="UMC1" s="9"/>
      <c r="UMD1" s="9"/>
      <c r="UME1" s="9"/>
      <c r="UMF1" s="9"/>
      <c r="UMG1" s="9"/>
      <c r="UMH1" s="9"/>
      <c r="UMI1" s="9"/>
      <c r="UMJ1" s="9"/>
      <c r="UMK1" s="9"/>
      <c r="UML1" s="9"/>
      <c r="UMM1" s="9"/>
      <c r="UMN1" s="9"/>
      <c r="UMO1" s="9"/>
      <c r="UMP1" s="9"/>
      <c r="UMQ1" s="9"/>
      <c r="UMR1" s="9"/>
      <c r="UMS1" s="9"/>
      <c r="UMT1" s="9"/>
      <c r="UMU1" s="9"/>
      <c r="UMV1" s="9"/>
      <c r="UMW1" s="9"/>
      <c r="UMX1" s="9"/>
      <c r="UMY1" s="9"/>
      <c r="UMZ1" s="9"/>
      <c r="UNA1" s="9"/>
      <c r="UNB1" s="9"/>
      <c r="UNC1" s="9"/>
      <c r="UND1" s="9"/>
      <c r="UNE1" s="9"/>
      <c r="UNF1" s="9"/>
      <c r="UNG1" s="9"/>
      <c r="UNH1" s="9"/>
      <c r="UNI1" s="9"/>
      <c r="UNJ1" s="9"/>
      <c r="UNK1" s="9"/>
      <c r="UNL1" s="9"/>
      <c r="UNM1" s="9"/>
      <c r="UNN1" s="9"/>
      <c r="UNO1" s="9"/>
      <c r="UNP1" s="9"/>
      <c r="UNQ1" s="9"/>
      <c r="UNR1" s="9"/>
      <c r="UNS1" s="9"/>
      <c r="UNT1" s="9"/>
      <c r="UNU1" s="9"/>
      <c r="UNV1" s="9"/>
      <c r="UNW1" s="9"/>
      <c r="UNX1" s="9"/>
      <c r="UNY1" s="9"/>
      <c r="UNZ1" s="9"/>
      <c r="UOA1" s="9"/>
      <c r="UOB1" s="9"/>
      <c r="UOC1" s="9"/>
      <c r="UOD1" s="9"/>
      <c r="UOE1" s="9"/>
      <c r="UOF1" s="9"/>
      <c r="UOG1" s="9"/>
      <c r="UOH1" s="9"/>
      <c r="UOI1" s="9"/>
      <c r="UOJ1" s="9"/>
      <c r="UOK1" s="9"/>
      <c r="UOL1" s="9"/>
      <c r="UOM1" s="9"/>
      <c r="UON1" s="9"/>
      <c r="UOO1" s="9"/>
      <c r="UOP1" s="9"/>
      <c r="UOQ1" s="9"/>
      <c r="UOR1" s="9"/>
      <c r="UOS1" s="9"/>
      <c r="UOT1" s="9"/>
      <c r="UOU1" s="9"/>
      <c r="UOV1" s="9"/>
      <c r="UOW1" s="9"/>
      <c r="UOX1" s="9"/>
      <c r="UOY1" s="9"/>
      <c r="UOZ1" s="9"/>
      <c r="UPA1" s="9"/>
      <c r="UPB1" s="9"/>
      <c r="UPC1" s="9"/>
      <c r="UPD1" s="9"/>
      <c r="UPE1" s="9"/>
      <c r="UPF1" s="9"/>
      <c r="UPG1" s="9"/>
      <c r="UPH1" s="9"/>
      <c r="UPI1" s="9"/>
      <c r="UPJ1" s="9"/>
      <c r="UPK1" s="9"/>
      <c r="UPL1" s="9"/>
      <c r="UPM1" s="9"/>
      <c r="UPN1" s="9"/>
      <c r="UPO1" s="9"/>
      <c r="UPP1" s="9"/>
      <c r="UPQ1" s="9"/>
      <c r="UPR1" s="9"/>
      <c r="UPS1" s="9"/>
      <c r="UPT1" s="9"/>
      <c r="UPU1" s="9"/>
      <c r="UPV1" s="9"/>
      <c r="UPW1" s="9"/>
      <c r="UPX1" s="9"/>
      <c r="UPY1" s="9"/>
      <c r="UPZ1" s="9"/>
      <c r="UQA1" s="9"/>
      <c r="UQB1" s="9"/>
      <c r="UQC1" s="9"/>
      <c r="UQD1" s="9"/>
      <c r="UQE1" s="9"/>
      <c r="UQF1" s="9"/>
      <c r="UQG1" s="9"/>
      <c r="UQH1" s="9"/>
      <c r="UQI1" s="9"/>
      <c r="UQJ1" s="9"/>
      <c r="UQK1" s="9"/>
      <c r="UQL1" s="9"/>
      <c r="UQM1" s="9"/>
      <c r="UQN1" s="9"/>
      <c r="UQO1" s="9"/>
      <c r="UQP1" s="9"/>
      <c r="UQQ1" s="9"/>
      <c r="UQR1" s="9"/>
      <c r="UQS1" s="9"/>
      <c r="UQT1" s="9"/>
      <c r="UQU1" s="9"/>
      <c r="UQV1" s="9"/>
      <c r="UQW1" s="9"/>
      <c r="UQX1" s="9"/>
      <c r="UQY1" s="9"/>
      <c r="UQZ1" s="9"/>
      <c r="URA1" s="9"/>
      <c r="URB1" s="9"/>
      <c r="URC1" s="9"/>
      <c r="URD1" s="9"/>
      <c r="URE1" s="9"/>
      <c r="URF1" s="9"/>
      <c r="URG1" s="9"/>
      <c r="URH1" s="9"/>
      <c r="URI1" s="9"/>
      <c r="URJ1" s="9"/>
      <c r="URK1" s="9"/>
      <c r="URL1" s="9"/>
      <c r="URM1" s="9"/>
      <c r="URN1" s="9"/>
      <c r="URO1" s="9"/>
      <c r="URP1" s="9"/>
      <c r="URQ1" s="9"/>
      <c r="URR1" s="9"/>
      <c r="URS1" s="9"/>
      <c r="URT1" s="9"/>
      <c r="URU1" s="9"/>
      <c r="URV1" s="9"/>
      <c r="URW1" s="9"/>
      <c r="URX1" s="9"/>
      <c r="URY1" s="9"/>
      <c r="URZ1" s="9"/>
      <c r="USA1" s="9"/>
      <c r="USB1" s="9"/>
      <c r="USC1" s="9"/>
      <c r="USD1" s="9"/>
      <c r="USE1" s="9"/>
      <c r="USF1" s="9"/>
      <c r="USG1" s="9"/>
      <c r="USH1" s="9"/>
      <c r="USI1" s="9"/>
      <c r="USJ1" s="9"/>
      <c r="USK1" s="9"/>
      <c r="USL1" s="9"/>
      <c r="USM1" s="9"/>
      <c r="USN1" s="9"/>
      <c r="USO1" s="9"/>
      <c r="USP1" s="9"/>
      <c r="USQ1" s="9"/>
      <c r="USR1" s="9"/>
      <c r="USS1" s="9"/>
      <c r="UST1" s="9"/>
      <c r="USU1" s="9"/>
      <c r="USV1" s="9"/>
      <c r="USW1" s="9"/>
      <c r="USX1" s="9"/>
      <c r="USY1" s="9"/>
      <c r="USZ1" s="9"/>
      <c r="UTA1" s="9"/>
      <c r="UTB1" s="9"/>
      <c r="UTC1" s="9"/>
      <c r="UTD1" s="9"/>
      <c r="UTE1" s="9"/>
      <c r="UTF1" s="9"/>
      <c r="UTG1" s="9"/>
      <c r="UTH1" s="9"/>
      <c r="UTI1" s="9"/>
      <c r="UTJ1" s="9"/>
      <c r="UTK1" s="9"/>
      <c r="UTL1" s="9"/>
      <c r="UTM1" s="9"/>
      <c r="UTN1" s="9"/>
      <c r="UTO1" s="9"/>
      <c r="UTP1" s="9"/>
      <c r="UTQ1" s="9"/>
      <c r="UTR1" s="9"/>
      <c r="UTS1" s="9"/>
      <c r="UTT1" s="9"/>
      <c r="UTU1" s="9"/>
      <c r="UTV1" s="9"/>
      <c r="UTW1" s="9"/>
      <c r="UTX1" s="9"/>
      <c r="UTY1" s="9"/>
      <c r="UTZ1" s="9"/>
      <c r="UUA1" s="9"/>
      <c r="UUB1" s="9"/>
      <c r="UUC1" s="9"/>
      <c r="UUD1" s="9"/>
      <c r="UUE1" s="9"/>
      <c r="UUF1" s="9"/>
      <c r="UUG1" s="9"/>
      <c r="UUH1" s="9"/>
      <c r="UUI1" s="9"/>
      <c r="UUJ1" s="9"/>
      <c r="UUK1" s="9"/>
      <c r="UUL1" s="9"/>
      <c r="UUM1" s="9"/>
      <c r="UUN1" s="9"/>
      <c r="UUO1" s="9"/>
      <c r="UUP1" s="9"/>
      <c r="UUQ1" s="9"/>
      <c r="UUR1" s="9"/>
      <c r="UUS1" s="9"/>
      <c r="UUT1" s="9"/>
      <c r="UUU1" s="9"/>
      <c r="UUV1" s="9"/>
      <c r="UUW1" s="9"/>
      <c r="UUX1" s="9"/>
      <c r="UUY1" s="9"/>
      <c r="UUZ1" s="9"/>
      <c r="UVA1" s="9"/>
      <c r="UVB1" s="9"/>
      <c r="UVC1" s="9"/>
      <c r="UVD1" s="9"/>
      <c r="UVE1" s="9"/>
      <c r="UVF1" s="9"/>
      <c r="UVG1" s="9"/>
      <c r="UVH1" s="9"/>
      <c r="UVI1" s="9"/>
      <c r="UVJ1" s="9"/>
      <c r="UVK1" s="9"/>
      <c r="UVL1" s="9"/>
      <c r="UVM1" s="9"/>
      <c r="UVN1" s="9"/>
      <c r="UVO1" s="9"/>
      <c r="UVP1" s="9"/>
      <c r="UVQ1" s="9"/>
      <c r="UVR1" s="9"/>
      <c r="UVS1" s="9"/>
      <c r="UVT1" s="9"/>
      <c r="UVU1" s="9"/>
      <c r="UVV1" s="9"/>
      <c r="UVW1" s="9"/>
      <c r="UVX1" s="9"/>
      <c r="UVY1" s="9"/>
      <c r="UVZ1" s="9"/>
      <c r="UWA1" s="9"/>
      <c r="UWB1" s="9"/>
      <c r="UWC1" s="9"/>
      <c r="UWD1" s="9"/>
      <c r="UWE1" s="9"/>
      <c r="UWF1" s="9"/>
      <c r="UWG1" s="9"/>
      <c r="UWH1" s="9"/>
      <c r="UWI1" s="9"/>
      <c r="UWJ1" s="9"/>
      <c r="UWK1" s="9"/>
      <c r="UWL1" s="9"/>
      <c r="UWM1" s="9"/>
      <c r="UWN1" s="9"/>
      <c r="UWO1" s="9"/>
      <c r="UWP1" s="9"/>
      <c r="UWQ1" s="9"/>
      <c r="UWR1" s="9"/>
      <c r="UWS1" s="9"/>
      <c r="UWT1" s="9"/>
      <c r="UWU1" s="9"/>
      <c r="UWV1" s="9"/>
      <c r="UWW1" s="9"/>
      <c r="UWX1" s="9"/>
      <c r="UWY1" s="9"/>
      <c r="UWZ1" s="9"/>
      <c r="UXA1" s="9"/>
      <c r="UXB1" s="9"/>
      <c r="UXC1" s="9"/>
      <c r="UXD1" s="9"/>
      <c r="UXE1" s="9"/>
      <c r="UXF1" s="9"/>
      <c r="UXG1" s="9"/>
      <c r="UXH1" s="9"/>
      <c r="UXI1" s="9"/>
      <c r="UXJ1" s="9"/>
      <c r="UXK1" s="9"/>
      <c r="UXL1" s="9"/>
      <c r="UXM1" s="9"/>
      <c r="UXN1" s="9"/>
      <c r="UXO1" s="9"/>
      <c r="UXP1" s="9"/>
      <c r="UXQ1" s="9"/>
      <c r="UXR1" s="9"/>
      <c r="UXS1" s="9"/>
      <c r="UXT1" s="9"/>
      <c r="UXU1" s="9"/>
      <c r="UXV1" s="9"/>
      <c r="UXW1" s="9"/>
      <c r="UXX1" s="9"/>
      <c r="UXY1" s="9"/>
      <c r="UXZ1" s="9"/>
      <c r="UYA1" s="9"/>
      <c r="UYB1" s="9"/>
      <c r="UYC1" s="9"/>
      <c r="UYD1" s="9"/>
      <c r="UYE1" s="9"/>
      <c r="UYF1" s="9"/>
      <c r="UYG1" s="9"/>
      <c r="UYH1" s="9"/>
      <c r="UYI1" s="9"/>
      <c r="UYJ1" s="9"/>
      <c r="UYK1" s="9"/>
      <c r="UYL1" s="9"/>
      <c r="UYM1" s="9"/>
      <c r="UYN1" s="9"/>
      <c r="UYO1" s="9"/>
      <c r="UYP1" s="9"/>
      <c r="UYQ1" s="9"/>
      <c r="UYR1" s="9"/>
      <c r="UYS1" s="9"/>
      <c r="UYT1" s="9"/>
      <c r="UYU1" s="9"/>
      <c r="UYV1" s="9"/>
      <c r="UYW1" s="9"/>
      <c r="UYX1" s="9"/>
      <c r="UYY1" s="9"/>
      <c r="UYZ1" s="9"/>
      <c r="UZA1" s="9"/>
      <c r="UZB1" s="9"/>
      <c r="UZC1" s="9"/>
      <c r="UZD1" s="9"/>
      <c r="UZE1" s="9"/>
      <c r="UZF1" s="9"/>
      <c r="UZG1" s="9"/>
      <c r="UZH1" s="9"/>
      <c r="UZI1" s="9"/>
      <c r="UZJ1" s="9"/>
      <c r="UZK1" s="9"/>
      <c r="UZL1" s="9"/>
      <c r="UZM1" s="9"/>
      <c r="UZN1" s="9"/>
      <c r="UZO1" s="9"/>
      <c r="UZP1" s="9"/>
      <c r="UZQ1" s="9"/>
      <c r="UZR1" s="9"/>
      <c r="UZS1" s="9"/>
      <c r="UZT1" s="9"/>
      <c r="UZU1" s="9"/>
      <c r="UZV1" s="9"/>
      <c r="UZW1" s="9"/>
      <c r="UZX1" s="9"/>
      <c r="UZY1" s="9"/>
      <c r="UZZ1" s="9"/>
      <c r="VAA1" s="9"/>
      <c r="VAB1" s="9"/>
      <c r="VAC1" s="9"/>
      <c r="VAD1" s="9"/>
      <c r="VAE1" s="9"/>
      <c r="VAF1" s="9"/>
      <c r="VAG1" s="9"/>
      <c r="VAH1" s="9"/>
      <c r="VAI1" s="9"/>
      <c r="VAJ1" s="9"/>
      <c r="VAK1" s="9"/>
      <c r="VAL1" s="9"/>
      <c r="VAM1" s="9"/>
      <c r="VAN1" s="9"/>
      <c r="VAO1" s="9"/>
      <c r="VAP1" s="9"/>
      <c r="VAQ1" s="9"/>
      <c r="VAR1" s="9"/>
      <c r="VAS1" s="9"/>
      <c r="VAT1" s="9"/>
      <c r="VAU1" s="9"/>
      <c r="VAV1" s="9"/>
      <c r="VAW1" s="9"/>
      <c r="VAX1" s="9"/>
      <c r="VAY1" s="9"/>
      <c r="VAZ1" s="9"/>
      <c r="VBA1" s="9"/>
      <c r="VBB1" s="9"/>
      <c r="VBC1" s="9"/>
      <c r="VBD1" s="9"/>
      <c r="VBE1" s="9"/>
      <c r="VBF1" s="9"/>
      <c r="VBG1" s="9"/>
      <c r="VBH1" s="9"/>
      <c r="VBI1" s="9"/>
      <c r="VBJ1" s="9"/>
      <c r="VBK1" s="9"/>
      <c r="VBL1" s="9"/>
      <c r="VBM1" s="9"/>
      <c r="VBN1" s="9"/>
      <c r="VBO1" s="9"/>
      <c r="VBP1" s="9"/>
      <c r="VBQ1" s="9"/>
      <c r="VBR1" s="9"/>
      <c r="VBS1" s="9"/>
      <c r="VBT1" s="9"/>
      <c r="VBU1" s="9"/>
      <c r="VBV1" s="9"/>
      <c r="VBW1" s="9"/>
      <c r="VBX1" s="9"/>
      <c r="VBY1" s="9"/>
      <c r="VBZ1" s="9"/>
      <c r="VCA1" s="9"/>
      <c r="VCB1" s="9"/>
      <c r="VCC1" s="9"/>
      <c r="VCD1" s="9"/>
      <c r="VCE1" s="9"/>
      <c r="VCF1" s="9"/>
      <c r="VCG1" s="9"/>
      <c r="VCH1" s="9"/>
      <c r="VCI1" s="9"/>
      <c r="VCJ1" s="9"/>
      <c r="VCK1" s="9"/>
      <c r="VCL1" s="9"/>
      <c r="VCM1" s="9"/>
      <c r="VCN1" s="9"/>
      <c r="VCO1" s="9"/>
      <c r="VCP1" s="9"/>
      <c r="VCQ1" s="9"/>
      <c r="VCR1" s="9"/>
      <c r="VCS1" s="9"/>
      <c r="VCT1" s="9"/>
      <c r="VCU1" s="9"/>
      <c r="VCV1" s="9"/>
      <c r="VCW1" s="9"/>
      <c r="VCX1" s="9"/>
      <c r="VCY1" s="9"/>
      <c r="VCZ1" s="9"/>
      <c r="VDA1" s="9"/>
      <c r="VDB1" s="9"/>
      <c r="VDC1" s="9"/>
      <c r="VDD1" s="9"/>
      <c r="VDE1" s="9"/>
      <c r="VDF1" s="9"/>
      <c r="VDG1" s="9"/>
      <c r="VDH1" s="9"/>
      <c r="VDI1" s="9"/>
      <c r="VDJ1" s="9"/>
      <c r="VDK1" s="9"/>
      <c r="VDL1" s="9"/>
      <c r="VDM1" s="9"/>
      <c r="VDN1" s="9"/>
      <c r="VDO1" s="9"/>
      <c r="VDP1" s="9"/>
      <c r="VDQ1" s="9"/>
      <c r="VDR1" s="9"/>
      <c r="VDS1" s="9"/>
      <c r="VDT1" s="9"/>
      <c r="VDU1" s="9"/>
      <c r="VDV1" s="9"/>
      <c r="VDW1" s="9"/>
      <c r="VDX1" s="9"/>
      <c r="VDY1" s="9"/>
      <c r="VDZ1" s="9"/>
      <c r="VEA1" s="9"/>
      <c r="VEB1" s="9"/>
      <c r="VEC1" s="9"/>
      <c r="VED1" s="9"/>
      <c r="VEE1" s="9"/>
      <c r="VEF1" s="9"/>
      <c r="VEG1" s="9"/>
      <c r="VEH1" s="9"/>
      <c r="VEI1" s="9"/>
      <c r="VEJ1" s="9"/>
      <c r="VEK1" s="9"/>
      <c r="VEL1" s="9"/>
      <c r="VEM1" s="9"/>
      <c r="VEN1" s="9"/>
      <c r="VEO1" s="9"/>
      <c r="VEP1" s="9"/>
      <c r="VEQ1" s="9"/>
      <c r="VER1" s="9"/>
      <c r="VES1" s="9"/>
      <c r="VET1" s="9"/>
      <c r="VEU1" s="9"/>
      <c r="VEV1" s="9"/>
      <c r="VEW1" s="9"/>
      <c r="VEX1" s="9"/>
      <c r="VEY1" s="9"/>
      <c r="VEZ1" s="9"/>
      <c r="VFA1" s="9"/>
      <c r="VFB1" s="9"/>
      <c r="VFC1" s="9"/>
      <c r="VFD1" s="9"/>
      <c r="VFE1" s="9"/>
      <c r="VFF1" s="9"/>
      <c r="VFG1" s="9"/>
      <c r="VFH1" s="9"/>
      <c r="VFI1" s="9"/>
      <c r="VFJ1" s="9"/>
      <c r="VFK1" s="9"/>
      <c r="VFL1" s="9"/>
      <c r="VFM1" s="9"/>
      <c r="VFN1" s="9"/>
      <c r="VFO1" s="9"/>
      <c r="VFP1" s="9"/>
      <c r="VFQ1" s="9"/>
      <c r="VFR1" s="9"/>
      <c r="VFS1" s="9"/>
      <c r="VFT1" s="9"/>
      <c r="VFU1" s="9"/>
      <c r="VFV1" s="9"/>
      <c r="VFW1" s="9"/>
      <c r="VFX1" s="9"/>
      <c r="VFY1" s="9"/>
      <c r="VFZ1" s="9"/>
      <c r="VGA1" s="9"/>
      <c r="VGB1" s="9"/>
      <c r="VGC1" s="9"/>
      <c r="VGD1" s="9"/>
      <c r="VGE1" s="9"/>
      <c r="VGF1" s="9"/>
      <c r="VGG1" s="9"/>
      <c r="VGH1" s="9"/>
      <c r="VGI1" s="9"/>
      <c r="VGJ1" s="9"/>
      <c r="VGK1" s="9"/>
      <c r="VGL1" s="9"/>
      <c r="VGM1" s="9"/>
      <c r="VGN1" s="9"/>
      <c r="VGO1" s="9"/>
      <c r="VGP1" s="9"/>
      <c r="VGQ1" s="9"/>
      <c r="VGR1" s="9"/>
      <c r="VGS1" s="9"/>
      <c r="VGT1" s="9"/>
      <c r="VGU1" s="9"/>
      <c r="VGV1" s="9"/>
      <c r="VGW1" s="9"/>
      <c r="VGX1" s="9"/>
      <c r="VGY1" s="9"/>
      <c r="VGZ1" s="9"/>
      <c r="VHA1" s="9"/>
      <c r="VHB1" s="9"/>
      <c r="VHC1" s="9"/>
      <c r="VHD1" s="9"/>
      <c r="VHE1" s="9"/>
      <c r="VHF1" s="9"/>
      <c r="VHG1" s="9"/>
      <c r="VHH1" s="9"/>
      <c r="VHI1" s="9"/>
      <c r="VHJ1" s="9"/>
      <c r="VHK1" s="9"/>
      <c r="VHL1" s="9"/>
      <c r="VHM1" s="9"/>
      <c r="VHN1" s="9"/>
      <c r="VHO1" s="9"/>
      <c r="VHP1" s="9"/>
      <c r="VHQ1" s="9"/>
      <c r="VHR1" s="9"/>
      <c r="VHS1" s="9"/>
      <c r="VHT1" s="9"/>
      <c r="VHU1" s="9"/>
      <c r="VHV1" s="9"/>
      <c r="VHW1" s="9"/>
      <c r="VHX1" s="9"/>
      <c r="VHY1" s="9"/>
      <c r="VHZ1" s="9"/>
      <c r="VIA1" s="9"/>
      <c r="VIB1" s="9"/>
      <c r="VIC1" s="9"/>
      <c r="VID1" s="9"/>
      <c r="VIE1" s="9"/>
      <c r="VIF1" s="9"/>
      <c r="VIG1" s="9"/>
      <c r="VIH1" s="9"/>
      <c r="VII1" s="9"/>
      <c r="VIJ1" s="9"/>
      <c r="VIK1" s="9"/>
      <c r="VIL1" s="9"/>
      <c r="VIM1" s="9"/>
      <c r="VIN1" s="9"/>
      <c r="VIO1" s="9"/>
      <c r="VIP1" s="9"/>
      <c r="VIQ1" s="9"/>
      <c r="VIR1" s="9"/>
      <c r="VIS1" s="9"/>
      <c r="VIT1" s="9"/>
      <c r="VIU1" s="9"/>
      <c r="VIV1" s="9"/>
      <c r="VIW1" s="9"/>
      <c r="VIX1" s="9"/>
      <c r="VIY1" s="9"/>
      <c r="VIZ1" s="9"/>
      <c r="VJA1" s="9"/>
      <c r="VJB1" s="9"/>
      <c r="VJC1" s="9"/>
      <c r="VJD1" s="9"/>
      <c r="VJE1" s="9"/>
      <c r="VJF1" s="9"/>
      <c r="VJG1" s="9"/>
      <c r="VJH1" s="9"/>
      <c r="VJI1" s="9"/>
      <c r="VJJ1" s="9"/>
      <c r="VJK1" s="9"/>
      <c r="VJL1" s="9"/>
      <c r="VJM1" s="9"/>
      <c r="VJN1" s="9"/>
      <c r="VJO1" s="9"/>
      <c r="VJP1" s="9"/>
      <c r="VJQ1" s="9"/>
      <c r="VJR1" s="9"/>
      <c r="VJS1" s="9"/>
      <c r="VJT1" s="9"/>
      <c r="VJU1" s="9"/>
      <c r="VJV1" s="9"/>
      <c r="VJW1" s="9"/>
      <c r="VJX1" s="9"/>
      <c r="VJY1" s="9"/>
      <c r="VJZ1" s="9"/>
      <c r="VKA1" s="9"/>
      <c r="VKB1" s="9"/>
      <c r="VKC1" s="9"/>
      <c r="VKD1" s="9"/>
      <c r="VKE1" s="9"/>
      <c r="VKF1" s="9"/>
      <c r="VKG1" s="9"/>
      <c r="VKH1" s="9"/>
      <c r="VKI1" s="9"/>
      <c r="VKJ1" s="9"/>
      <c r="VKK1" s="9"/>
      <c r="VKL1" s="9"/>
      <c r="VKM1" s="9"/>
      <c r="VKN1" s="9"/>
      <c r="VKO1" s="9"/>
      <c r="VKP1" s="9"/>
      <c r="VKQ1" s="9"/>
      <c r="VKR1" s="9"/>
      <c r="VKS1" s="9"/>
      <c r="VKT1" s="9"/>
      <c r="VKU1" s="9"/>
      <c r="VKV1" s="9"/>
      <c r="VKW1" s="9"/>
      <c r="VKX1" s="9"/>
      <c r="VKY1" s="9"/>
      <c r="VKZ1" s="9"/>
      <c r="VLA1" s="9"/>
      <c r="VLB1" s="9"/>
      <c r="VLC1" s="9"/>
      <c r="VLD1" s="9"/>
      <c r="VLE1" s="9"/>
      <c r="VLF1" s="9"/>
      <c r="VLG1" s="9"/>
      <c r="VLH1" s="9"/>
      <c r="VLI1" s="9"/>
      <c r="VLJ1" s="9"/>
      <c r="VLK1" s="9"/>
      <c r="VLL1" s="9"/>
      <c r="VLM1" s="9"/>
      <c r="VLN1" s="9"/>
      <c r="VLO1" s="9"/>
      <c r="VLP1" s="9"/>
      <c r="VLQ1" s="9"/>
      <c r="VLR1" s="9"/>
      <c r="VLS1" s="9"/>
      <c r="VLT1" s="9"/>
      <c r="VLU1" s="9"/>
      <c r="VLV1" s="9"/>
      <c r="VLW1" s="9"/>
      <c r="VLX1" s="9"/>
      <c r="VLY1" s="9"/>
      <c r="VLZ1" s="9"/>
      <c r="VMA1" s="9"/>
      <c r="VMB1" s="9"/>
      <c r="VMC1" s="9"/>
      <c r="VMD1" s="9"/>
      <c r="VME1" s="9"/>
      <c r="VMF1" s="9"/>
      <c r="VMG1" s="9"/>
      <c r="VMH1" s="9"/>
      <c r="VMI1" s="9"/>
      <c r="VMJ1" s="9"/>
      <c r="VMK1" s="9"/>
      <c r="VML1" s="9"/>
      <c r="VMM1" s="9"/>
      <c r="VMN1" s="9"/>
      <c r="VMO1" s="9"/>
      <c r="VMP1" s="9"/>
      <c r="VMQ1" s="9"/>
      <c r="VMR1" s="9"/>
      <c r="VMS1" s="9"/>
      <c r="VMT1" s="9"/>
      <c r="VMU1" s="9"/>
      <c r="VMV1" s="9"/>
      <c r="VMW1" s="9"/>
      <c r="VMX1" s="9"/>
      <c r="VMY1" s="9"/>
      <c r="VMZ1" s="9"/>
      <c r="VNA1" s="9"/>
      <c r="VNB1" s="9"/>
      <c r="VNC1" s="9"/>
      <c r="VND1" s="9"/>
      <c r="VNE1" s="9"/>
      <c r="VNF1" s="9"/>
      <c r="VNG1" s="9"/>
      <c r="VNH1" s="9"/>
      <c r="VNI1" s="9"/>
      <c r="VNJ1" s="9"/>
      <c r="VNK1" s="9"/>
      <c r="VNL1" s="9"/>
      <c r="VNM1" s="9"/>
      <c r="VNN1" s="9"/>
      <c r="VNO1" s="9"/>
      <c r="VNP1" s="9"/>
      <c r="VNQ1" s="9"/>
      <c r="VNR1" s="9"/>
      <c r="VNS1" s="9"/>
      <c r="VNT1" s="9"/>
      <c r="VNU1" s="9"/>
      <c r="VNV1" s="9"/>
      <c r="VNW1" s="9"/>
      <c r="VNX1" s="9"/>
      <c r="VNY1" s="9"/>
      <c r="VNZ1" s="9"/>
      <c r="VOA1" s="9"/>
      <c r="VOB1" s="9"/>
      <c r="VOC1" s="9"/>
      <c r="VOD1" s="9"/>
      <c r="VOE1" s="9"/>
      <c r="VOF1" s="9"/>
      <c r="VOG1" s="9"/>
      <c r="VOH1" s="9"/>
      <c r="VOI1" s="9"/>
      <c r="VOJ1" s="9"/>
      <c r="VOK1" s="9"/>
      <c r="VOL1" s="9"/>
      <c r="VOM1" s="9"/>
      <c r="VON1" s="9"/>
      <c r="VOO1" s="9"/>
      <c r="VOP1" s="9"/>
      <c r="VOQ1" s="9"/>
      <c r="VOR1" s="9"/>
      <c r="VOS1" s="9"/>
      <c r="VOT1" s="9"/>
      <c r="VOU1" s="9"/>
      <c r="VOV1" s="9"/>
      <c r="VOW1" s="9"/>
      <c r="VOX1" s="9"/>
      <c r="VOY1" s="9"/>
      <c r="VOZ1" s="9"/>
      <c r="VPA1" s="9"/>
      <c r="VPB1" s="9"/>
      <c r="VPC1" s="9"/>
      <c r="VPD1" s="9"/>
      <c r="VPE1" s="9"/>
      <c r="VPF1" s="9"/>
      <c r="VPG1" s="9"/>
      <c r="VPH1" s="9"/>
      <c r="VPI1" s="9"/>
      <c r="VPJ1" s="9"/>
      <c r="VPK1" s="9"/>
      <c r="VPL1" s="9"/>
      <c r="VPM1" s="9"/>
      <c r="VPN1" s="9"/>
      <c r="VPO1" s="9"/>
      <c r="VPP1" s="9"/>
      <c r="VPQ1" s="9"/>
      <c r="VPR1" s="9"/>
      <c r="VPS1" s="9"/>
      <c r="VPT1" s="9"/>
      <c r="VPU1" s="9"/>
      <c r="VPV1" s="9"/>
      <c r="VPW1" s="9"/>
      <c r="VPX1" s="9"/>
      <c r="VPY1" s="9"/>
      <c r="VPZ1" s="9"/>
      <c r="VQA1" s="9"/>
      <c r="VQB1" s="9"/>
      <c r="VQC1" s="9"/>
      <c r="VQD1" s="9"/>
      <c r="VQE1" s="9"/>
      <c r="VQF1" s="9"/>
      <c r="VQG1" s="9"/>
      <c r="VQH1" s="9"/>
      <c r="VQI1" s="9"/>
      <c r="VQJ1" s="9"/>
      <c r="VQK1" s="9"/>
      <c r="VQL1" s="9"/>
      <c r="VQM1" s="9"/>
      <c r="VQN1" s="9"/>
      <c r="VQO1" s="9"/>
      <c r="VQP1" s="9"/>
      <c r="VQQ1" s="9"/>
      <c r="VQR1" s="9"/>
      <c r="VQS1" s="9"/>
      <c r="VQT1" s="9"/>
      <c r="VQU1" s="9"/>
      <c r="VQV1" s="9"/>
      <c r="VQW1" s="9"/>
      <c r="VQX1" s="9"/>
      <c r="VQY1" s="9"/>
      <c r="VQZ1" s="9"/>
      <c r="VRA1" s="9"/>
      <c r="VRB1" s="9"/>
      <c r="VRC1" s="9"/>
      <c r="VRD1" s="9"/>
      <c r="VRE1" s="9"/>
      <c r="VRF1" s="9"/>
      <c r="VRG1" s="9"/>
      <c r="VRH1" s="9"/>
      <c r="VRI1" s="9"/>
      <c r="VRJ1" s="9"/>
      <c r="VRK1" s="9"/>
      <c r="VRL1" s="9"/>
      <c r="VRM1" s="9"/>
      <c r="VRN1" s="9"/>
      <c r="VRO1" s="9"/>
      <c r="VRP1" s="9"/>
      <c r="VRQ1" s="9"/>
      <c r="VRR1" s="9"/>
      <c r="VRS1" s="9"/>
      <c r="VRT1" s="9"/>
      <c r="VRU1" s="9"/>
      <c r="VRV1" s="9"/>
      <c r="VRW1" s="9"/>
      <c r="VRX1" s="9"/>
      <c r="VRY1" s="9"/>
      <c r="VRZ1" s="9"/>
      <c r="VSA1" s="9"/>
      <c r="VSB1" s="9"/>
      <c r="VSC1" s="9"/>
      <c r="VSD1" s="9"/>
      <c r="VSE1" s="9"/>
      <c r="VSF1" s="9"/>
      <c r="VSG1" s="9"/>
      <c r="VSH1" s="9"/>
      <c r="VSI1" s="9"/>
      <c r="VSJ1" s="9"/>
      <c r="VSK1" s="9"/>
      <c r="VSL1" s="9"/>
      <c r="VSM1" s="9"/>
      <c r="VSN1" s="9"/>
      <c r="VSO1" s="9"/>
      <c r="VSP1" s="9"/>
      <c r="VSQ1" s="9"/>
      <c r="VSR1" s="9"/>
      <c r="VSS1" s="9"/>
      <c r="VST1" s="9"/>
      <c r="VSU1" s="9"/>
      <c r="VSV1" s="9"/>
      <c r="VSW1" s="9"/>
      <c r="VSX1" s="9"/>
      <c r="VSY1" s="9"/>
      <c r="VSZ1" s="9"/>
      <c r="VTA1" s="9"/>
      <c r="VTB1" s="9"/>
      <c r="VTC1" s="9"/>
      <c r="VTD1" s="9"/>
      <c r="VTE1" s="9"/>
      <c r="VTF1" s="9"/>
      <c r="VTG1" s="9"/>
      <c r="VTH1" s="9"/>
      <c r="VTI1" s="9"/>
      <c r="VTJ1" s="9"/>
      <c r="VTK1" s="9"/>
      <c r="VTL1" s="9"/>
      <c r="VTM1" s="9"/>
      <c r="VTN1" s="9"/>
      <c r="VTO1" s="9"/>
      <c r="VTP1" s="9"/>
      <c r="VTQ1" s="9"/>
      <c r="VTR1" s="9"/>
      <c r="VTS1" s="9"/>
      <c r="VTT1" s="9"/>
      <c r="VTU1" s="9"/>
      <c r="VTV1" s="9"/>
      <c r="VTW1" s="9"/>
      <c r="VTX1" s="9"/>
      <c r="VTY1" s="9"/>
      <c r="VTZ1" s="9"/>
      <c r="VUA1" s="9"/>
      <c r="VUB1" s="9"/>
      <c r="VUC1" s="9"/>
      <c r="VUD1" s="9"/>
      <c r="VUE1" s="9"/>
      <c r="VUF1" s="9"/>
      <c r="VUG1" s="9"/>
      <c r="VUH1" s="9"/>
      <c r="VUI1" s="9"/>
      <c r="VUJ1" s="9"/>
      <c r="VUK1" s="9"/>
      <c r="VUL1" s="9"/>
      <c r="VUM1" s="9"/>
      <c r="VUN1" s="9"/>
      <c r="VUO1" s="9"/>
      <c r="VUP1" s="9"/>
      <c r="VUQ1" s="9"/>
      <c r="VUR1" s="9"/>
      <c r="VUS1" s="9"/>
      <c r="VUT1" s="9"/>
      <c r="VUU1" s="9"/>
      <c r="VUV1" s="9"/>
      <c r="VUW1" s="9"/>
      <c r="VUX1" s="9"/>
      <c r="VUY1" s="9"/>
      <c r="VUZ1" s="9"/>
      <c r="VVA1" s="9"/>
      <c r="VVB1" s="9"/>
      <c r="VVC1" s="9"/>
      <c r="VVD1" s="9"/>
      <c r="VVE1" s="9"/>
      <c r="VVF1" s="9"/>
      <c r="VVG1" s="9"/>
      <c r="VVH1" s="9"/>
      <c r="VVI1" s="9"/>
      <c r="VVJ1" s="9"/>
      <c r="VVK1" s="9"/>
      <c r="VVL1" s="9"/>
      <c r="VVM1" s="9"/>
      <c r="VVN1" s="9"/>
      <c r="VVO1" s="9"/>
      <c r="VVP1" s="9"/>
      <c r="VVQ1" s="9"/>
      <c r="VVR1" s="9"/>
      <c r="VVS1" s="9"/>
      <c r="VVT1" s="9"/>
      <c r="VVU1" s="9"/>
      <c r="VVV1" s="9"/>
      <c r="VVW1" s="9"/>
      <c r="VVX1" s="9"/>
      <c r="VVY1" s="9"/>
      <c r="VVZ1" s="9"/>
      <c r="VWA1" s="9"/>
      <c r="VWB1" s="9"/>
      <c r="VWC1" s="9"/>
      <c r="VWD1" s="9"/>
      <c r="VWE1" s="9"/>
      <c r="VWF1" s="9"/>
      <c r="VWG1" s="9"/>
      <c r="VWH1" s="9"/>
      <c r="VWI1" s="9"/>
      <c r="VWJ1" s="9"/>
      <c r="VWK1" s="9"/>
      <c r="VWL1" s="9"/>
      <c r="VWM1" s="9"/>
      <c r="VWN1" s="9"/>
      <c r="VWO1" s="9"/>
      <c r="VWP1" s="9"/>
      <c r="VWQ1" s="9"/>
      <c r="VWR1" s="9"/>
      <c r="VWS1" s="9"/>
      <c r="VWT1" s="9"/>
      <c r="VWU1" s="9"/>
      <c r="VWV1" s="9"/>
      <c r="VWW1" s="9"/>
      <c r="VWX1" s="9"/>
      <c r="VWY1" s="9"/>
      <c r="VWZ1" s="9"/>
      <c r="VXA1" s="9"/>
      <c r="VXB1" s="9"/>
      <c r="VXC1" s="9"/>
      <c r="VXD1" s="9"/>
      <c r="VXE1" s="9"/>
      <c r="VXF1" s="9"/>
      <c r="VXG1" s="9"/>
      <c r="VXH1" s="9"/>
      <c r="VXI1" s="9"/>
      <c r="VXJ1" s="9"/>
      <c r="VXK1" s="9"/>
      <c r="VXL1" s="9"/>
      <c r="VXM1" s="9"/>
      <c r="VXN1" s="9"/>
      <c r="VXO1" s="9"/>
      <c r="VXP1" s="9"/>
      <c r="VXQ1" s="9"/>
      <c r="VXR1" s="9"/>
      <c r="VXS1" s="9"/>
      <c r="VXT1" s="9"/>
      <c r="VXU1" s="9"/>
      <c r="VXV1" s="9"/>
      <c r="VXW1" s="9"/>
      <c r="VXX1" s="9"/>
      <c r="VXY1" s="9"/>
      <c r="VXZ1" s="9"/>
      <c r="VYA1" s="9"/>
      <c r="VYB1" s="9"/>
      <c r="VYC1" s="9"/>
      <c r="VYD1" s="9"/>
      <c r="VYE1" s="9"/>
      <c r="VYF1" s="9"/>
      <c r="VYG1" s="9"/>
      <c r="VYH1" s="9"/>
      <c r="VYI1" s="9"/>
      <c r="VYJ1" s="9"/>
      <c r="VYK1" s="9"/>
      <c r="VYL1" s="9"/>
      <c r="VYM1" s="9"/>
      <c r="VYN1" s="9"/>
      <c r="VYO1" s="9"/>
      <c r="VYP1" s="9"/>
      <c r="VYQ1" s="9"/>
      <c r="VYR1" s="9"/>
      <c r="VYS1" s="9"/>
      <c r="VYT1" s="9"/>
      <c r="VYU1" s="9"/>
      <c r="VYV1" s="9"/>
      <c r="VYW1" s="9"/>
      <c r="VYX1" s="9"/>
      <c r="VYY1" s="9"/>
      <c r="VYZ1" s="9"/>
      <c r="VZA1" s="9"/>
      <c r="VZB1" s="9"/>
      <c r="VZC1" s="9"/>
      <c r="VZD1" s="9"/>
      <c r="VZE1" s="9"/>
      <c r="VZF1" s="9"/>
      <c r="VZG1" s="9"/>
      <c r="VZH1" s="9"/>
      <c r="VZI1" s="9"/>
      <c r="VZJ1" s="9"/>
      <c r="VZK1" s="9"/>
      <c r="VZL1" s="9"/>
      <c r="VZM1" s="9"/>
      <c r="VZN1" s="9"/>
      <c r="VZO1" s="9"/>
      <c r="VZP1" s="9"/>
      <c r="VZQ1" s="9"/>
      <c r="VZR1" s="9"/>
      <c r="VZS1" s="9"/>
      <c r="VZT1" s="9"/>
      <c r="VZU1" s="9"/>
      <c r="VZV1" s="9"/>
      <c r="VZW1" s="9"/>
      <c r="VZX1" s="9"/>
      <c r="VZY1" s="9"/>
      <c r="VZZ1" s="9"/>
      <c r="WAA1" s="9"/>
      <c r="WAB1" s="9"/>
      <c r="WAC1" s="9"/>
      <c r="WAD1" s="9"/>
      <c r="WAE1" s="9"/>
      <c r="WAF1" s="9"/>
      <c r="WAG1" s="9"/>
      <c r="WAH1" s="9"/>
      <c r="WAI1" s="9"/>
      <c r="WAJ1" s="9"/>
      <c r="WAK1" s="9"/>
      <c r="WAL1" s="9"/>
      <c r="WAM1" s="9"/>
      <c r="WAN1" s="9"/>
      <c r="WAO1" s="9"/>
      <c r="WAP1" s="9"/>
      <c r="WAQ1" s="9"/>
      <c r="WAR1" s="9"/>
      <c r="WAS1" s="9"/>
      <c r="WAT1" s="9"/>
      <c r="WAU1" s="9"/>
      <c r="WAV1" s="9"/>
      <c r="WAW1" s="9"/>
      <c r="WAX1" s="9"/>
      <c r="WAY1" s="9"/>
      <c r="WAZ1" s="9"/>
      <c r="WBA1" s="9"/>
      <c r="WBB1" s="9"/>
      <c r="WBC1" s="9"/>
      <c r="WBD1" s="9"/>
      <c r="WBE1" s="9"/>
      <c r="WBF1" s="9"/>
      <c r="WBG1" s="9"/>
      <c r="WBH1" s="9"/>
      <c r="WBI1" s="9"/>
      <c r="WBJ1" s="9"/>
      <c r="WBK1" s="9"/>
      <c r="WBL1" s="9"/>
      <c r="WBM1" s="9"/>
      <c r="WBN1" s="9"/>
      <c r="WBO1" s="9"/>
      <c r="WBP1" s="9"/>
      <c r="WBQ1" s="9"/>
      <c r="WBR1" s="9"/>
      <c r="WBS1" s="9"/>
      <c r="WBT1" s="9"/>
      <c r="WBU1" s="9"/>
      <c r="WBV1" s="9"/>
      <c r="WBW1" s="9"/>
      <c r="WBX1" s="9"/>
      <c r="WBY1" s="9"/>
      <c r="WBZ1" s="9"/>
      <c r="WCA1" s="9"/>
      <c r="WCB1" s="9"/>
      <c r="WCC1" s="9"/>
      <c r="WCD1" s="9"/>
      <c r="WCE1" s="9"/>
      <c r="WCF1" s="9"/>
      <c r="WCG1" s="9"/>
      <c r="WCH1" s="9"/>
      <c r="WCI1" s="9"/>
      <c r="WCJ1" s="9"/>
      <c r="WCK1" s="9"/>
      <c r="WCL1" s="9"/>
      <c r="WCM1" s="9"/>
      <c r="WCN1" s="9"/>
      <c r="WCO1" s="9"/>
      <c r="WCP1" s="9"/>
      <c r="WCQ1" s="9"/>
      <c r="WCR1" s="9"/>
      <c r="WCS1" s="9"/>
      <c r="WCT1" s="9"/>
      <c r="WCU1" s="9"/>
      <c r="WCV1" s="9"/>
      <c r="WCW1" s="9"/>
      <c r="WCX1" s="9"/>
      <c r="WCY1" s="9"/>
      <c r="WCZ1" s="9"/>
      <c r="WDA1" s="9"/>
      <c r="WDB1" s="9"/>
      <c r="WDC1" s="9"/>
      <c r="WDD1" s="9"/>
      <c r="WDE1" s="9"/>
      <c r="WDF1" s="9"/>
      <c r="WDG1" s="9"/>
      <c r="WDH1" s="9"/>
      <c r="WDI1" s="9"/>
      <c r="WDJ1" s="9"/>
      <c r="WDK1" s="9"/>
      <c r="WDL1" s="9"/>
      <c r="WDM1" s="9"/>
      <c r="WDN1" s="9"/>
      <c r="WDO1" s="9"/>
      <c r="WDP1" s="9"/>
      <c r="WDQ1" s="9"/>
      <c r="WDR1" s="9"/>
      <c r="WDS1" s="9"/>
      <c r="WDT1" s="9"/>
      <c r="WDU1" s="9"/>
      <c r="WDV1" s="9"/>
      <c r="WDW1" s="9"/>
      <c r="WDX1" s="9"/>
      <c r="WDY1" s="9"/>
      <c r="WDZ1" s="9"/>
      <c r="WEA1" s="9"/>
      <c r="WEB1" s="9"/>
      <c r="WEC1" s="9"/>
      <c r="WED1" s="9"/>
      <c r="WEE1" s="9"/>
      <c r="WEF1" s="9"/>
      <c r="WEG1" s="9"/>
      <c r="WEH1" s="9"/>
      <c r="WEI1" s="9"/>
      <c r="WEJ1" s="9"/>
      <c r="WEK1" s="9"/>
      <c r="WEL1" s="9"/>
      <c r="WEM1" s="9"/>
      <c r="WEN1" s="9"/>
      <c r="WEO1" s="9"/>
      <c r="WEP1" s="9"/>
      <c r="WEQ1" s="9"/>
      <c r="WER1" s="9"/>
      <c r="WES1" s="9"/>
      <c r="WET1" s="9"/>
      <c r="WEU1" s="9"/>
      <c r="WEV1" s="9"/>
      <c r="WEW1" s="9"/>
      <c r="WEX1" s="9"/>
      <c r="WEY1" s="9"/>
      <c r="WEZ1" s="9"/>
      <c r="WFA1" s="9"/>
      <c r="WFB1" s="9"/>
      <c r="WFC1" s="9"/>
      <c r="WFD1" s="9"/>
      <c r="WFE1" s="9"/>
      <c r="WFF1" s="9"/>
      <c r="WFG1" s="9"/>
      <c r="WFH1" s="9"/>
      <c r="WFI1" s="9"/>
      <c r="WFJ1" s="9"/>
      <c r="WFK1" s="9"/>
      <c r="WFL1" s="9"/>
      <c r="WFM1" s="9"/>
      <c r="WFN1" s="9"/>
      <c r="WFO1" s="9"/>
      <c r="WFP1" s="9"/>
      <c r="WFQ1" s="9"/>
      <c r="WFR1" s="9"/>
      <c r="WFS1" s="9"/>
      <c r="WFT1" s="9"/>
      <c r="WFU1" s="9"/>
      <c r="WFV1" s="9"/>
      <c r="WFW1" s="9"/>
      <c r="WFX1" s="9"/>
      <c r="WFY1" s="9"/>
      <c r="WFZ1" s="9"/>
      <c r="WGA1" s="9"/>
      <c r="WGB1" s="9"/>
      <c r="WGC1" s="9"/>
      <c r="WGD1" s="9"/>
      <c r="WGE1" s="9"/>
      <c r="WGF1" s="9"/>
      <c r="WGG1" s="9"/>
      <c r="WGH1" s="9"/>
      <c r="WGI1" s="9"/>
      <c r="WGJ1" s="9"/>
      <c r="WGK1" s="9"/>
      <c r="WGL1" s="9"/>
      <c r="WGM1" s="9"/>
      <c r="WGN1" s="9"/>
      <c r="WGO1" s="9"/>
      <c r="WGP1" s="9"/>
      <c r="WGQ1" s="9"/>
      <c r="WGR1" s="9"/>
      <c r="WGS1" s="9"/>
      <c r="WGT1" s="9"/>
      <c r="WGU1" s="9"/>
      <c r="WGV1" s="9"/>
      <c r="WGW1" s="9"/>
      <c r="WGX1" s="9"/>
      <c r="WGY1" s="9"/>
      <c r="WGZ1" s="9"/>
      <c r="WHA1" s="9"/>
      <c r="WHB1" s="9"/>
      <c r="WHC1" s="9"/>
      <c r="WHD1" s="9"/>
      <c r="WHE1" s="9"/>
      <c r="WHF1" s="9"/>
      <c r="WHG1" s="9"/>
      <c r="WHH1" s="9"/>
      <c r="WHI1" s="9"/>
      <c r="WHJ1" s="9"/>
      <c r="WHK1" s="9"/>
      <c r="WHL1" s="9"/>
      <c r="WHM1" s="9"/>
      <c r="WHN1" s="9"/>
      <c r="WHO1" s="9"/>
      <c r="WHP1" s="9"/>
      <c r="WHQ1" s="9"/>
      <c r="WHR1" s="9"/>
      <c r="WHS1" s="9"/>
      <c r="WHT1" s="9"/>
      <c r="WHU1" s="9"/>
      <c r="WHV1" s="9"/>
      <c r="WHW1" s="9"/>
      <c r="WHX1" s="9"/>
      <c r="WHY1" s="9"/>
      <c r="WHZ1" s="9"/>
      <c r="WIA1" s="9"/>
      <c r="WIB1" s="9"/>
      <c r="WIC1" s="9"/>
      <c r="WID1" s="9"/>
      <c r="WIE1" s="9"/>
      <c r="WIF1" s="9"/>
      <c r="WIG1" s="9"/>
      <c r="WIH1" s="9"/>
      <c r="WII1" s="9"/>
      <c r="WIJ1" s="9"/>
      <c r="WIK1" s="9"/>
      <c r="WIL1" s="9"/>
      <c r="WIM1" s="9"/>
      <c r="WIN1" s="9"/>
      <c r="WIO1" s="9"/>
      <c r="WIP1" s="9"/>
      <c r="WIQ1" s="9"/>
      <c r="WIR1" s="9"/>
      <c r="WIS1" s="9"/>
      <c r="WIT1" s="9"/>
      <c r="WIU1" s="9"/>
      <c r="WIV1" s="9"/>
      <c r="WIW1" s="9"/>
      <c r="WIX1" s="9"/>
      <c r="WIY1" s="9"/>
      <c r="WIZ1" s="9"/>
      <c r="WJA1" s="9"/>
      <c r="WJB1" s="9"/>
      <c r="WJC1" s="9"/>
      <c r="WJD1" s="9"/>
      <c r="WJE1" s="9"/>
      <c r="WJF1" s="9"/>
      <c r="WJG1" s="9"/>
      <c r="WJH1" s="9"/>
      <c r="WJI1" s="9"/>
      <c r="WJJ1" s="9"/>
      <c r="WJK1" s="9"/>
      <c r="WJL1" s="9"/>
      <c r="WJM1" s="9"/>
      <c r="WJN1" s="9"/>
      <c r="WJO1" s="9"/>
      <c r="WJP1" s="9"/>
      <c r="WJQ1" s="9"/>
      <c r="WJR1" s="9"/>
      <c r="WJS1" s="9"/>
      <c r="WJT1" s="9"/>
      <c r="WJU1" s="9"/>
      <c r="WJV1" s="9"/>
      <c r="WJW1" s="9"/>
      <c r="WJX1" s="9"/>
      <c r="WJY1" s="9"/>
      <c r="WJZ1" s="9"/>
      <c r="WKA1" s="9"/>
      <c r="WKB1" s="9"/>
      <c r="WKC1" s="9"/>
      <c r="WKD1" s="9"/>
      <c r="WKE1" s="9"/>
      <c r="WKF1" s="9"/>
      <c r="WKG1" s="9"/>
      <c r="WKH1" s="9"/>
      <c r="WKI1" s="9"/>
      <c r="WKJ1" s="9"/>
      <c r="WKK1" s="9"/>
      <c r="WKL1" s="9"/>
      <c r="WKM1" s="9"/>
      <c r="WKN1" s="9"/>
      <c r="WKO1" s="9"/>
      <c r="WKP1" s="9"/>
      <c r="WKQ1" s="9"/>
      <c r="WKR1" s="9"/>
      <c r="WKS1" s="9"/>
      <c r="WKT1" s="9"/>
      <c r="WKU1" s="9"/>
      <c r="WKV1" s="9"/>
      <c r="WKW1" s="9"/>
      <c r="WKX1" s="9"/>
      <c r="WKY1" s="9"/>
      <c r="WKZ1" s="9"/>
      <c r="WLA1" s="9"/>
      <c r="WLB1" s="9"/>
      <c r="WLC1" s="9"/>
      <c r="WLD1" s="9"/>
      <c r="WLE1" s="9"/>
      <c r="WLF1" s="9"/>
      <c r="WLG1" s="9"/>
      <c r="WLH1" s="9"/>
      <c r="WLI1" s="9"/>
      <c r="WLJ1" s="9"/>
      <c r="WLK1" s="9"/>
      <c r="WLL1" s="9"/>
      <c r="WLM1" s="9"/>
      <c r="WLN1" s="9"/>
      <c r="WLO1" s="9"/>
      <c r="WLP1" s="9"/>
      <c r="WLQ1" s="9"/>
      <c r="WLR1" s="9"/>
      <c r="WLS1" s="9"/>
      <c r="WLT1" s="9"/>
      <c r="WLU1" s="9"/>
      <c r="WLV1" s="9"/>
      <c r="WLW1" s="9"/>
      <c r="WLX1" s="9"/>
      <c r="WLY1" s="9"/>
      <c r="WLZ1" s="9"/>
      <c r="WMA1" s="9"/>
      <c r="WMB1" s="9"/>
      <c r="WMC1" s="9"/>
      <c r="WMD1" s="9"/>
      <c r="WME1" s="9"/>
      <c r="WMF1" s="9"/>
      <c r="WMG1" s="9"/>
      <c r="WMH1" s="9"/>
      <c r="WMI1" s="9"/>
      <c r="WMJ1" s="9"/>
      <c r="WMK1" s="9"/>
      <c r="WML1" s="9"/>
      <c r="WMM1" s="9"/>
      <c r="WMN1" s="9"/>
      <c r="WMO1" s="9"/>
      <c r="WMP1" s="9"/>
      <c r="WMQ1" s="9"/>
      <c r="WMR1" s="9"/>
      <c r="WMS1" s="9"/>
      <c r="WMT1" s="9"/>
      <c r="WMU1" s="9"/>
      <c r="WMV1" s="9"/>
      <c r="WMW1" s="9"/>
      <c r="WMX1" s="9"/>
      <c r="WMY1" s="9"/>
      <c r="WMZ1" s="9"/>
      <c r="WNA1" s="9"/>
      <c r="WNB1" s="9"/>
      <c r="WNC1" s="9"/>
      <c r="WND1" s="9"/>
      <c r="WNE1" s="9"/>
      <c r="WNF1" s="9"/>
      <c r="WNG1" s="9"/>
      <c r="WNH1" s="9"/>
      <c r="WNI1" s="9"/>
      <c r="WNJ1" s="9"/>
      <c r="WNK1" s="9"/>
      <c r="WNL1" s="9"/>
      <c r="WNM1" s="9"/>
      <c r="WNN1" s="9"/>
      <c r="WNO1" s="9"/>
      <c r="WNP1" s="9"/>
      <c r="WNQ1" s="9"/>
      <c r="WNR1" s="9"/>
      <c r="WNS1" s="9"/>
      <c r="WNT1" s="9"/>
      <c r="WNU1" s="9"/>
      <c r="WNV1" s="9"/>
      <c r="WNW1" s="9"/>
      <c r="WNX1" s="9"/>
      <c r="WNY1" s="9"/>
      <c r="WNZ1" s="9"/>
      <c r="WOA1" s="9"/>
      <c r="WOB1" s="9"/>
      <c r="WOC1" s="9"/>
      <c r="WOD1" s="9"/>
      <c r="WOE1" s="9"/>
      <c r="WOF1" s="9"/>
      <c r="WOG1" s="9"/>
      <c r="WOH1" s="9"/>
      <c r="WOI1" s="9"/>
      <c r="WOJ1" s="9"/>
      <c r="WOK1" s="9"/>
      <c r="WOL1" s="9"/>
      <c r="WOM1" s="9"/>
      <c r="WON1" s="9"/>
      <c r="WOO1" s="9"/>
      <c r="WOP1" s="9"/>
      <c r="WOQ1" s="9"/>
      <c r="WOR1" s="9"/>
      <c r="WOS1" s="9"/>
      <c r="WOT1" s="9"/>
      <c r="WOU1" s="9"/>
      <c r="WOV1" s="9"/>
      <c r="WOW1" s="9"/>
      <c r="WOX1" s="9"/>
      <c r="WOY1" s="9"/>
      <c r="WOZ1" s="9"/>
      <c r="WPA1" s="9"/>
      <c r="WPB1" s="9"/>
      <c r="WPC1" s="9"/>
      <c r="WPD1" s="9"/>
      <c r="WPE1" s="9"/>
      <c r="WPF1" s="9"/>
      <c r="WPG1" s="9"/>
      <c r="WPH1" s="9"/>
      <c r="WPI1" s="9"/>
      <c r="WPJ1" s="9"/>
      <c r="WPK1" s="9"/>
      <c r="WPL1" s="9"/>
      <c r="WPM1" s="9"/>
      <c r="WPN1" s="9"/>
      <c r="WPO1" s="9"/>
      <c r="WPP1" s="9"/>
      <c r="WPQ1" s="9"/>
      <c r="WPR1" s="9"/>
      <c r="WPS1" s="9"/>
      <c r="WPT1" s="9"/>
      <c r="WPU1" s="9"/>
      <c r="WPV1" s="9"/>
      <c r="WPW1" s="9"/>
      <c r="WPX1" s="9"/>
      <c r="WPY1" s="9"/>
      <c r="WPZ1" s="9"/>
      <c r="WQA1" s="9"/>
      <c r="WQB1" s="9"/>
      <c r="WQC1" s="9"/>
      <c r="WQD1" s="9"/>
      <c r="WQE1" s="9"/>
      <c r="WQF1" s="9"/>
      <c r="WQG1" s="9"/>
      <c r="WQH1" s="9"/>
      <c r="WQI1" s="9"/>
      <c r="WQJ1" s="9"/>
      <c r="WQK1" s="9"/>
      <c r="WQL1" s="9"/>
      <c r="WQM1" s="9"/>
      <c r="WQN1" s="9"/>
      <c r="WQO1" s="9"/>
      <c r="WQP1" s="9"/>
      <c r="WQQ1" s="9"/>
      <c r="WQR1" s="9"/>
      <c r="WQS1" s="9"/>
      <c r="WQT1" s="9"/>
      <c r="WQU1" s="9"/>
      <c r="WQV1" s="9"/>
      <c r="WQW1" s="9"/>
      <c r="WQX1" s="9"/>
      <c r="WQY1" s="9"/>
      <c r="WQZ1" s="9"/>
      <c r="WRA1" s="9"/>
      <c r="WRB1" s="9"/>
      <c r="WRC1" s="9"/>
      <c r="WRD1" s="9"/>
      <c r="WRE1" s="9"/>
      <c r="WRF1" s="9"/>
      <c r="WRG1" s="9"/>
      <c r="WRH1" s="9"/>
      <c r="WRI1" s="9"/>
      <c r="WRJ1" s="9"/>
      <c r="WRK1" s="9"/>
      <c r="WRL1" s="9"/>
      <c r="WRM1" s="9"/>
      <c r="WRN1" s="9"/>
      <c r="WRO1" s="9"/>
      <c r="WRP1" s="9"/>
      <c r="WRQ1" s="9"/>
      <c r="WRR1" s="9"/>
      <c r="WRS1" s="9"/>
      <c r="WRT1" s="9"/>
      <c r="WRU1" s="9"/>
      <c r="WRV1" s="9"/>
      <c r="WRW1" s="9"/>
      <c r="WRX1" s="9"/>
      <c r="WRY1" s="9"/>
      <c r="WRZ1" s="9"/>
      <c r="WSA1" s="9"/>
      <c r="WSB1" s="9"/>
      <c r="WSC1" s="9"/>
      <c r="WSD1" s="9"/>
      <c r="WSE1" s="9"/>
      <c r="WSF1" s="9"/>
      <c r="WSG1" s="9"/>
      <c r="WSH1" s="9"/>
      <c r="WSI1" s="9"/>
      <c r="WSJ1" s="9"/>
      <c r="WSK1" s="9"/>
      <c r="WSL1" s="9"/>
      <c r="WSM1" s="9"/>
      <c r="WSN1" s="9"/>
      <c r="WSO1" s="9"/>
      <c r="WSP1" s="9"/>
      <c r="WSQ1" s="9"/>
      <c r="WSR1" s="9"/>
      <c r="WSS1" s="9"/>
      <c r="WST1" s="9"/>
      <c r="WSU1" s="9"/>
      <c r="WSV1" s="9"/>
      <c r="WSW1" s="9"/>
      <c r="WSX1" s="9"/>
      <c r="WSY1" s="9"/>
      <c r="WSZ1" s="9"/>
      <c r="WTA1" s="9"/>
      <c r="WTB1" s="9"/>
      <c r="WTC1" s="9"/>
      <c r="WTD1" s="9"/>
      <c r="WTE1" s="9"/>
      <c r="WTF1" s="9"/>
      <c r="WTG1" s="9"/>
      <c r="WTH1" s="9"/>
      <c r="WTI1" s="9"/>
      <c r="WTJ1" s="9"/>
      <c r="WTK1" s="9"/>
      <c r="WTL1" s="9"/>
      <c r="WTM1" s="9"/>
      <c r="WTN1" s="9"/>
      <c r="WTO1" s="9"/>
      <c r="WTP1" s="9"/>
      <c r="WTQ1" s="9"/>
      <c r="WTR1" s="9"/>
      <c r="WTS1" s="9"/>
      <c r="WTT1" s="9"/>
      <c r="WTU1" s="9"/>
      <c r="WTV1" s="9"/>
      <c r="WTW1" s="9"/>
      <c r="WTX1" s="9"/>
      <c r="WTY1" s="9"/>
      <c r="WTZ1" s="9"/>
      <c r="WUA1" s="9"/>
      <c r="WUB1" s="9"/>
      <c r="WUC1" s="9"/>
      <c r="WUD1" s="9"/>
      <c r="WUE1" s="9"/>
      <c r="WUF1" s="9"/>
      <c r="WUG1" s="9"/>
      <c r="WUH1" s="9"/>
      <c r="WUI1" s="9"/>
      <c r="WUJ1" s="9"/>
      <c r="WUK1" s="9"/>
      <c r="WUL1" s="9"/>
      <c r="WUM1" s="9"/>
      <c r="WUN1" s="9"/>
      <c r="WUO1" s="9"/>
      <c r="WUP1" s="9"/>
      <c r="WUQ1" s="9"/>
      <c r="WUR1" s="9"/>
      <c r="WUS1" s="9"/>
      <c r="WUT1" s="9"/>
      <c r="WUU1" s="9"/>
      <c r="WUV1" s="9"/>
      <c r="WUW1" s="9"/>
      <c r="WUX1" s="9"/>
      <c r="WUY1" s="9"/>
      <c r="WUZ1" s="9"/>
      <c r="WVA1" s="9"/>
      <c r="WVB1" s="9"/>
      <c r="WVC1" s="9"/>
      <c r="WVD1" s="9"/>
      <c r="WVE1" s="9"/>
      <c r="WVF1" s="9"/>
      <c r="WVG1" s="9"/>
      <c r="WVH1" s="9"/>
      <c r="WVI1" s="9"/>
      <c r="WVJ1" s="9"/>
      <c r="WVK1" s="9"/>
      <c r="WVL1" s="9"/>
      <c r="WVM1" s="9"/>
      <c r="WVN1" s="9"/>
      <c r="WVO1" s="9"/>
      <c r="WVP1" s="9"/>
      <c r="WVQ1" s="9"/>
      <c r="WVR1" s="9"/>
      <c r="WVS1" s="9"/>
      <c r="WVT1" s="9"/>
      <c r="WVU1" s="9"/>
      <c r="WVV1" s="9"/>
      <c r="WVW1" s="9"/>
      <c r="WVX1" s="9"/>
      <c r="WVY1" s="9"/>
      <c r="WVZ1" s="9"/>
      <c r="WWA1" s="9"/>
      <c r="WWB1" s="9"/>
      <c r="WWC1" s="9"/>
      <c r="WWD1" s="9"/>
      <c r="WWE1" s="9"/>
      <c r="WWF1" s="9"/>
      <c r="WWG1" s="9"/>
      <c r="WWH1" s="9"/>
      <c r="WWI1" s="9"/>
      <c r="WWJ1" s="9"/>
      <c r="WWK1" s="9"/>
      <c r="WWL1" s="9"/>
      <c r="WWM1" s="9"/>
      <c r="WWN1" s="9"/>
      <c r="WWO1" s="9"/>
      <c r="WWP1" s="9"/>
      <c r="WWQ1" s="9"/>
      <c r="WWR1" s="9"/>
      <c r="WWS1" s="9"/>
      <c r="WWT1" s="9"/>
      <c r="WWU1" s="9"/>
      <c r="WWV1" s="9"/>
      <c r="WWW1" s="9"/>
      <c r="WWX1" s="9"/>
      <c r="WWY1" s="9"/>
      <c r="WWZ1" s="9"/>
      <c r="WXA1" s="9"/>
      <c r="WXB1" s="9"/>
      <c r="WXC1" s="9"/>
      <c r="WXD1" s="9"/>
      <c r="WXE1" s="9"/>
      <c r="WXF1" s="9"/>
      <c r="WXG1" s="9"/>
      <c r="WXH1" s="9"/>
      <c r="WXI1" s="9"/>
      <c r="WXJ1" s="9"/>
      <c r="WXK1" s="9"/>
      <c r="WXL1" s="9"/>
      <c r="WXM1" s="9"/>
      <c r="WXN1" s="9"/>
      <c r="WXO1" s="9"/>
      <c r="WXP1" s="9"/>
      <c r="WXQ1" s="9"/>
      <c r="WXR1" s="9"/>
      <c r="WXS1" s="9"/>
      <c r="WXT1" s="9"/>
      <c r="WXU1" s="9"/>
      <c r="WXV1" s="9"/>
      <c r="WXW1" s="9"/>
      <c r="WXX1" s="9"/>
      <c r="WXY1" s="9"/>
      <c r="WXZ1" s="9"/>
      <c r="WYA1" s="9"/>
      <c r="WYB1" s="9"/>
      <c r="WYC1" s="9"/>
      <c r="WYD1" s="9"/>
      <c r="WYE1" s="9"/>
      <c r="WYF1" s="9"/>
      <c r="WYG1" s="9"/>
      <c r="WYH1" s="9"/>
      <c r="WYI1" s="9"/>
      <c r="WYJ1" s="9"/>
      <c r="WYK1" s="9"/>
      <c r="WYL1" s="9"/>
      <c r="WYM1" s="9"/>
      <c r="WYN1" s="9"/>
      <c r="WYO1" s="9"/>
      <c r="WYP1" s="9"/>
      <c r="WYQ1" s="9"/>
      <c r="WYR1" s="9"/>
      <c r="WYS1" s="9"/>
      <c r="WYT1" s="9"/>
      <c r="WYU1" s="9"/>
      <c r="WYV1" s="9"/>
      <c r="WYW1" s="9"/>
      <c r="WYX1" s="9"/>
      <c r="WYY1" s="9"/>
      <c r="WYZ1" s="9"/>
      <c r="WZA1" s="9"/>
      <c r="WZB1" s="9"/>
      <c r="WZC1" s="9"/>
      <c r="WZD1" s="9"/>
      <c r="WZE1" s="9"/>
      <c r="WZF1" s="9"/>
      <c r="WZG1" s="9"/>
      <c r="WZH1" s="9"/>
      <c r="WZI1" s="9"/>
      <c r="WZJ1" s="9"/>
      <c r="WZK1" s="9"/>
      <c r="WZL1" s="9"/>
      <c r="WZM1" s="9"/>
      <c r="WZN1" s="9"/>
      <c r="WZO1" s="9"/>
      <c r="WZP1" s="9"/>
      <c r="WZQ1" s="9"/>
      <c r="WZR1" s="9"/>
      <c r="WZS1" s="9"/>
      <c r="WZT1" s="9"/>
      <c r="WZU1" s="9"/>
      <c r="WZV1" s="9"/>
      <c r="WZW1" s="9"/>
      <c r="WZX1" s="9"/>
      <c r="WZY1" s="9"/>
      <c r="WZZ1" s="9"/>
      <c r="XAA1" s="9"/>
      <c r="XAB1" s="9"/>
      <c r="XAC1" s="9"/>
      <c r="XAD1" s="9"/>
      <c r="XAE1" s="9"/>
      <c r="XAF1" s="9"/>
      <c r="XAG1" s="9"/>
      <c r="XAH1" s="9"/>
      <c r="XAI1" s="9"/>
      <c r="XAJ1" s="9"/>
      <c r="XAK1" s="9"/>
      <c r="XAL1" s="9"/>
      <c r="XAM1" s="9"/>
      <c r="XAN1" s="9"/>
      <c r="XAO1" s="9"/>
      <c r="XAP1" s="9"/>
      <c r="XAQ1" s="9"/>
      <c r="XAR1" s="9"/>
      <c r="XAS1" s="9"/>
      <c r="XAT1" s="9"/>
      <c r="XAU1" s="9"/>
      <c r="XAV1" s="9"/>
      <c r="XAW1" s="9"/>
      <c r="XAX1" s="9"/>
      <c r="XAY1" s="9"/>
      <c r="XAZ1" s="9"/>
      <c r="XBA1" s="9"/>
      <c r="XBB1" s="9"/>
      <c r="XBC1" s="9"/>
      <c r="XBD1" s="9"/>
      <c r="XBE1" s="9"/>
      <c r="XBF1" s="9"/>
      <c r="XBG1" s="9"/>
      <c r="XBH1" s="9"/>
      <c r="XBI1" s="9"/>
      <c r="XBJ1" s="9"/>
      <c r="XBK1" s="9"/>
      <c r="XBL1" s="9"/>
      <c r="XBM1" s="9"/>
      <c r="XBN1" s="9"/>
      <c r="XBO1" s="9"/>
      <c r="XBP1" s="9"/>
      <c r="XBQ1" s="9"/>
      <c r="XBR1" s="9"/>
      <c r="XBS1" s="9"/>
      <c r="XBT1" s="9"/>
      <c r="XBU1" s="9"/>
      <c r="XBV1" s="9"/>
      <c r="XBW1" s="9"/>
      <c r="XBX1" s="9"/>
      <c r="XBY1" s="9"/>
      <c r="XBZ1" s="9"/>
      <c r="XCA1" s="9"/>
      <c r="XCB1" s="9"/>
      <c r="XCC1" s="9"/>
      <c r="XCD1" s="9"/>
      <c r="XCE1" s="9"/>
      <c r="XCF1" s="9"/>
      <c r="XCG1" s="9"/>
      <c r="XCH1" s="9"/>
      <c r="XCI1" s="9"/>
      <c r="XCJ1" s="9"/>
      <c r="XCK1" s="9"/>
      <c r="XCL1" s="9"/>
      <c r="XCM1" s="9"/>
      <c r="XCN1" s="9"/>
      <c r="XCO1" s="9"/>
      <c r="XCP1" s="9"/>
      <c r="XCQ1" s="9"/>
      <c r="XCR1" s="9"/>
      <c r="XCS1" s="9"/>
      <c r="XCT1" s="9"/>
      <c r="XCU1" s="9"/>
      <c r="XCV1" s="9"/>
      <c r="XCW1" s="9"/>
      <c r="XCX1" s="9"/>
      <c r="XCY1" s="9"/>
      <c r="XCZ1" s="9"/>
      <c r="XDA1" s="9"/>
      <c r="XDB1" s="9"/>
      <c r="XDC1" s="9"/>
      <c r="XDD1" s="9"/>
      <c r="XDE1" s="9"/>
      <c r="XDF1" s="9"/>
      <c r="XDG1" s="9"/>
      <c r="XDH1" s="9"/>
      <c r="XDI1" s="9"/>
      <c r="XDJ1" s="9"/>
      <c r="XDK1" s="9"/>
      <c r="XDL1" s="9"/>
      <c r="XDM1" s="9"/>
      <c r="XDN1" s="9"/>
      <c r="XDO1" s="9"/>
      <c r="XDP1" s="9"/>
      <c r="XDQ1" s="9"/>
      <c r="XDR1" s="9"/>
      <c r="XDS1" s="9"/>
      <c r="XDT1" s="9"/>
      <c r="XDU1" s="9"/>
      <c r="XDV1" s="9"/>
      <c r="XDW1" s="9"/>
      <c r="XDX1" s="9"/>
      <c r="XDY1" s="9"/>
      <c r="XDZ1" s="9"/>
      <c r="XEA1" s="9"/>
      <c r="XEB1" s="9"/>
      <c r="XEC1" s="9"/>
      <c r="XED1" s="9"/>
      <c r="XEE1" s="9"/>
      <c r="XEF1" s="9"/>
      <c r="XEG1" s="9"/>
      <c r="XEH1" s="9"/>
      <c r="XEI1" s="9"/>
      <c r="XEJ1" s="9"/>
      <c r="XEK1" s="9"/>
      <c r="XEL1" s="9"/>
      <c r="XEM1" s="9"/>
      <c r="XEN1" s="9"/>
      <c r="XEO1" s="9"/>
      <c r="XEP1" s="9"/>
      <c r="XEQ1" s="9"/>
      <c r="XER1" s="9"/>
      <c r="XES1" s="9"/>
      <c r="XET1" s="9"/>
      <c r="XEU1" s="9"/>
      <c r="XEV1" s="9"/>
      <c r="XEW1" s="9"/>
      <c r="XEX1" s="9"/>
      <c r="XEY1" s="9"/>
      <c r="XEZ1" s="9"/>
    </row>
    <row r="2" spans="1:16380">
      <c r="Q2" s="9"/>
    </row>
    <row r="3" spans="1:16380" s="30" customFormat="1" ht="51">
      <c r="C3" s="30" t="s">
        <v>68</v>
      </c>
      <c r="D3" s="30" t="s">
        <v>362</v>
      </c>
      <c r="E3" s="30" t="s">
        <v>363</v>
      </c>
      <c r="F3" s="30" t="s">
        <v>364</v>
      </c>
      <c r="G3" s="30" t="s">
        <v>1087</v>
      </c>
      <c r="H3" s="30" t="s">
        <v>340</v>
      </c>
      <c r="I3" s="30" t="s">
        <v>342</v>
      </c>
      <c r="J3" s="30" t="s">
        <v>952</v>
      </c>
      <c r="K3" s="30" t="s">
        <v>1087</v>
      </c>
      <c r="L3" s="30" t="s">
        <v>365</v>
      </c>
      <c r="M3" s="30" t="s">
        <v>366</v>
      </c>
      <c r="N3" s="30" t="s">
        <v>367</v>
      </c>
      <c r="O3" s="30" t="s">
        <v>368</v>
      </c>
      <c r="P3" s="30" t="s">
        <v>176</v>
      </c>
      <c r="R3" s="9"/>
    </row>
    <row r="4" spans="1:16380">
      <c r="B4" s="31" t="s">
        <v>351</v>
      </c>
      <c r="C4" s="2">
        <v>1</v>
      </c>
      <c r="D4" s="2">
        <v>3</v>
      </c>
      <c r="E4" s="2">
        <v>5</v>
      </c>
      <c r="F4" s="2" t="s">
        <v>148</v>
      </c>
      <c r="G4" s="529" t="s">
        <v>1096</v>
      </c>
      <c r="H4" s="2">
        <v>9</v>
      </c>
      <c r="I4" s="2">
        <v>10</v>
      </c>
      <c r="J4" s="529" t="s">
        <v>944</v>
      </c>
      <c r="K4" s="529" t="s">
        <v>1098</v>
      </c>
      <c r="L4" s="2">
        <v>13</v>
      </c>
      <c r="M4" s="2">
        <v>16</v>
      </c>
      <c r="N4" s="2">
        <v>18</v>
      </c>
      <c r="O4" s="2" t="s">
        <v>174</v>
      </c>
      <c r="P4" s="2" t="s">
        <v>175</v>
      </c>
    </row>
    <row r="5" spans="1:16380">
      <c r="A5" s="542"/>
      <c r="B5" s="512">
        <v>46023</v>
      </c>
      <c r="C5" s="480">
        <v>14093366.82088</v>
      </c>
      <c r="D5" s="480">
        <v>4247590.3891199995</v>
      </c>
      <c r="E5" s="480">
        <v>204751.17874999999</v>
      </c>
      <c r="F5" s="480">
        <v>64751.178749999999</v>
      </c>
      <c r="G5" s="480">
        <f t="shared" ref="G5:G16" si="0">R5-R4</f>
        <v>0</v>
      </c>
      <c r="H5" s="480">
        <v>19526762.165082071</v>
      </c>
      <c r="I5" s="480">
        <v>1987136.595956431</v>
      </c>
      <c r="J5" s="480">
        <v>38074.3125</v>
      </c>
      <c r="K5" s="480">
        <v>0</v>
      </c>
      <c r="L5" s="480">
        <v>612853</v>
      </c>
      <c r="M5" s="480">
        <v>1752473.0000000002</v>
      </c>
      <c r="N5" s="480">
        <v>775580.47868629987</v>
      </c>
      <c r="O5" s="480">
        <v>461457</v>
      </c>
      <c r="P5" s="480">
        <v>10043.916463778705</v>
      </c>
    </row>
    <row r="6" spans="1:16380">
      <c r="A6" s="542"/>
      <c r="B6" s="513">
        <v>46054</v>
      </c>
      <c r="C6" s="480">
        <v>13242841.03224</v>
      </c>
      <c r="D6" s="480">
        <v>4251254.8977600001</v>
      </c>
      <c r="E6" s="480">
        <v>64751.178749999999</v>
      </c>
      <c r="F6" s="480">
        <v>64751.178749999999</v>
      </c>
      <c r="G6" s="480">
        <f t="shared" si="0"/>
        <v>0</v>
      </c>
      <c r="H6" s="480">
        <v>19657575.766145632</v>
      </c>
      <c r="I6" s="480">
        <v>1995364.0791564309</v>
      </c>
      <c r="J6" s="480">
        <v>38074.3125</v>
      </c>
      <c r="K6" s="480">
        <v>0</v>
      </c>
      <c r="L6" s="480">
        <v>512997</v>
      </c>
      <c r="M6" s="480">
        <v>1752473.0000000002</v>
      </c>
      <c r="N6" s="480">
        <v>775580.47868629987</v>
      </c>
      <c r="O6" s="480">
        <v>461457</v>
      </c>
      <c r="P6" s="480">
        <v>10044.018905900157</v>
      </c>
    </row>
    <row r="7" spans="1:16380">
      <c r="A7" s="542"/>
      <c r="B7" s="513">
        <v>46082</v>
      </c>
      <c r="C7" s="480">
        <v>13651463.751839999</v>
      </c>
      <c r="D7" s="480">
        <v>4625724.4581599999</v>
      </c>
      <c r="E7" s="480">
        <v>64751.178749999999</v>
      </c>
      <c r="F7" s="480">
        <v>64751.178750000006</v>
      </c>
      <c r="G7" s="480">
        <f t="shared" si="0"/>
        <v>0</v>
      </c>
      <c r="H7" s="480">
        <v>19773311.252792709</v>
      </c>
      <c r="I7" s="480">
        <v>2035778.1651429075</v>
      </c>
      <c r="J7" s="480">
        <v>38074.3125</v>
      </c>
      <c r="K7" s="480">
        <v>0</v>
      </c>
      <c r="L7" s="480">
        <v>486176</v>
      </c>
      <c r="M7" s="480">
        <v>1752473</v>
      </c>
      <c r="N7" s="480">
        <v>775580.47866629984</v>
      </c>
      <c r="O7" s="480">
        <v>461457</v>
      </c>
      <c r="P7" s="480">
        <v>10044.126097454142</v>
      </c>
    </row>
    <row r="8" spans="1:16380">
      <c r="A8" s="542"/>
      <c r="B8" s="513">
        <v>46113</v>
      </c>
      <c r="C8" s="480">
        <v>13527386.63472</v>
      </c>
      <c r="D8" s="480">
        <v>4516386.63528</v>
      </c>
      <c r="E8" s="480">
        <v>64751.178749999999</v>
      </c>
      <c r="F8" s="480">
        <v>64751.178749999992</v>
      </c>
      <c r="G8" s="480">
        <f t="shared" si="0"/>
        <v>0</v>
      </c>
      <c r="H8" s="480">
        <v>19876950.454385236</v>
      </c>
      <c r="I8" s="480">
        <v>2115901.1211172785</v>
      </c>
      <c r="J8" s="480">
        <v>38074.3125</v>
      </c>
      <c r="K8" s="480">
        <v>0</v>
      </c>
      <c r="L8" s="480">
        <v>542187</v>
      </c>
      <c r="M8" s="480">
        <v>1752473</v>
      </c>
      <c r="N8" s="480">
        <v>775580.47866629984</v>
      </c>
      <c r="O8" s="480">
        <v>461457</v>
      </c>
      <c r="P8" s="480">
        <v>10044.221621374263</v>
      </c>
    </row>
    <row r="9" spans="1:16380">
      <c r="A9" s="542"/>
      <c r="B9" s="513">
        <v>46143</v>
      </c>
      <c r="C9" s="480">
        <v>12799926.213599999</v>
      </c>
      <c r="D9" s="480">
        <v>4334517.2363999998</v>
      </c>
      <c r="E9" s="480">
        <v>64751.178749999999</v>
      </c>
      <c r="F9" s="480">
        <v>64751.178749999992</v>
      </c>
      <c r="G9" s="480">
        <f t="shared" si="0"/>
        <v>0</v>
      </c>
      <c r="H9" s="480">
        <v>19899872.12415031</v>
      </c>
      <c r="I9" s="480">
        <v>2145696.3419672782</v>
      </c>
      <c r="J9" s="480">
        <v>38074.3125</v>
      </c>
      <c r="K9" s="480">
        <v>0</v>
      </c>
      <c r="L9" s="480">
        <v>518642</v>
      </c>
      <c r="M9" s="480">
        <v>1752473</v>
      </c>
      <c r="N9" s="480">
        <v>775580.47866629984</v>
      </c>
      <c r="O9" s="480">
        <v>461457</v>
      </c>
      <c r="P9" s="480">
        <v>10044.297393665987</v>
      </c>
    </row>
    <row r="10" spans="1:16380">
      <c r="A10" s="542"/>
      <c r="B10" s="513">
        <v>46174</v>
      </c>
      <c r="C10" s="480">
        <v>13483888.713919999</v>
      </c>
      <c r="D10" s="480">
        <v>4697303.6260799998</v>
      </c>
      <c r="E10" s="480">
        <v>64751.178749999999</v>
      </c>
      <c r="F10" s="480">
        <v>64751.178750000021</v>
      </c>
      <c r="G10" s="480">
        <f t="shared" si="0"/>
        <v>0</v>
      </c>
      <c r="H10" s="480">
        <v>19951657.088302482</v>
      </c>
      <c r="I10" s="480">
        <v>2159782.0430172784</v>
      </c>
      <c r="J10" s="480">
        <v>38074.3125</v>
      </c>
      <c r="K10" s="480">
        <v>0</v>
      </c>
      <c r="L10" s="480">
        <v>546452</v>
      </c>
      <c r="M10" s="480">
        <v>1752473.0000000002</v>
      </c>
      <c r="N10" s="480">
        <v>775580.47868629987</v>
      </c>
      <c r="O10" s="480">
        <v>461457</v>
      </c>
      <c r="P10" s="480">
        <v>10044.383815348019</v>
      </c>
    </row>
    <row r="11" spans="1:16380">
      <c r="A11" s="542"/>
      <c r="B11" s="513">
        <v>46204</v>
      </c>
      <c r="C11" s="480">
        <v>13180576.446079999</v>
      </c>
      <c r="D11" s="480">
        <v>4530176.71392</v>
      </c>
      <c r="E11" s="480">
        <v>0</v>
      </c>
      <c r="F11" s="480">
        <v>0</v>
      </c>
      <c r="G11" s="480">
        <f t="shared" si="0"/>
        <v>0</v>
      </c>
      <c r="H11" s="480">
        <v>20114316.493243508</v>
      </c>
      <c r="I11" s="480">
        <v>2110198.3689046917</v>
      </c>
      <c r="J11" s="480">
        <v>38074.3125</v>
      </c>
      <c r="K11" s="480">
        <v>0</v>
      </c>
      <c r="L11" s="480">
        <v>570020</v>
      </c>
      <c r="M11" s="480">
        <v>1752473</v>
      </c>
      <c r="N11" s="480">
        <v>775580.46500229987</v>
      </c>
      <c r="O11" s="480">
        <v>461457</v>
      </c>
      <c r="P11" s="480">
        <v>10044.461746276598</v>
      </c>
    </row>
    <row r="12" spans="1:16380">
      <c r="A12" s="542"/>
      <c r="B12" s="513">
        <v>46235</v>
      </c>
      <c r="C12" s="480">
        <v>12872482.479519999</v>
      </c>
      <c r="D12" s="480">
        <v>4358171.3104799995</v>
      </c>
      <c r="E12" s="480">
        <v>0</v>
      </c>
      <c r="F12" s="480">
        <v>0</v>
      </c>
      <c r="G12" s="480">
        <f t="shared" si="0"/>
        <v>0</v>
      </c>
      <c r="H12" s="480">
        <v>20290941.760755643</v>
      </c>
      <c r="I12" s="480">
        <v>2142099.9575846912</v>
      </c>
      <c r="J12" s="480">
        <v>38074.3125</v>
      </c>
      <c r="K12" s="480">
        <v>0</v>
      </c>
      <c r="L12" s="480">
        <v>510280</v>
      </c>
      <c r="M12" s="480">
        <v>1752473</v>
      </c>
      <c r="N12" s="480">
        <v>775425.81038599985</v>
      </c>
      <c r="O12" s="480">
        <v>461457</v>
      </c>
      <c r="P12" s="480">
        <v>10044.540012311734</v>
      </c>
    </row>
    <row r="13" spans="1:16380">
      <c r="A13" s="542"/>
      <c r="B13" s="513">
        <v>46266</v>
      </c>
      <c r="C13" s="480">
        <v>13201651.68912</v>
      </c>
      <c r="D13" s="480">
        <v>4456125.80088</v>
      </c>
      <c r="E13" s="480">
        <v>0</v>
      </c>
      <c r="F13" s="480">
        <v>0</v>
      </c>
      <c r="G13" s="480">
        <f t="shared" si="0"/>
        <v>0</v>
      </c>
      <c r="H13" s="480">
        <v>20328685.390976463</v>
      </c>
      <c r="I13" s="480">
        <v>2210262.5079689086</v>
      </c>
      <c r="J13" s="480">
        <v>38074.3125</v>
      </c>
      <c r="K13" s="480">
        <v>0</v>
      </c>
      <c r="L13" s="480">
        <v>507971</v>
      </c>
      <c r="M13" s="480">
        <v>1752473</v>
      </c>
      <c r="N13" s="480">
        <v>775425.81038599985</v>
      </c>
      <c r="O13" s="480">
        <v>461458</v>
      </c>
      <c r="P13" s="480">
        <v>10044.625715481905</v>
      </c>
    </row>
    <row r="14" spans="1:16380">
      <c r="A14" s="542"/>
      <c r="B14" s="513">
        <v>46296</v>
      </c>
      <c r="C14" s="480">
        <v>13234864.476</v>
      </c>
      <c r="D14" s="480">
        <v>4443888.7740000002</v>
      </c>
      <c r="E14" s="480">
        <v>259004.715</v>
      </c>
      <c r="F14" s="480">
        <v>259004.71499999997</v>
      </c>
      <c r="G14" s="480">
        <f t="shared" si="0"/>
        <v>0</v>
      </c>
      <c r="H14" s="480">
        <v>20387708.116174519</v>
      </c>
      <c r="I14" s="480">
        <v>2218171.8769884221</v>
      </c>
      <c r="J14" s="480">
        <v>38074.3125</v>
      </c>
      <c r="K14" s="480">
        <v>0</v>
      </c>
      <c r="L14" s="480">
        <v>485309</v>
      </c>
      <c r="M14" s="480">
        <v>1752473</v>
      </c>
      <c r="N14" s="480">
        <v>775425.81038599985</v>
      </c>
      <c r="O14" s="480">
        <v>461458</v>
      </c>
      <c r="P14" s="480">
        <v>10044.716704756154</v>
      </c>
    </row>
    <row r="15" spans="1:16380">
      <c r="A15" s="542"/>
      <c r="B15" s="513">
        <v>46327</v>
      </c>
      <c r="C15" s="480">
        <v>12302301.44688</v>
      </c>
      <c r="D15" s="480">
        <v>3953490.0631200001</v>
      </c>
      <c r="E15" s="480">
        <v>64751.178749999999</v>
      </c>
      <c r="F15" s="480">
        <v>64751.178749999963</v>
      </c>
      <c r="G15" s="480">
        <f t="shared" si="0"/>
        <v>0</v>
      </c>
      <c r="H15" s="480">
        <v>20561366.234819524</v>
      </c>
      <c r="I15" s="480">
        <v>2264570.8611861817</v>
      </c>
      <c r="J15" s="480">
        <v>38074.3125</v>
      </c>
      <c r="K15" s="480">
        <v>0</v>
      </c>
      <c r="L15" s="480">
        <v>437711</v>
      </c>
      <c r="M15" s="480">
        <v>1752473</v>
      </c>
      <c r="N15" s="480">
        <v>775425.81038599985</v>
      </c>
      <c r="O15" s="480">
        <v>461458</v>
      </c>
      <c r="P15" s="480">
        <v>10044.79940065178</v>
      </c>
    </row>
    <row r="16" spans="1:16380">
      <c r="A16" s="542"/>
      <c r="B16" s="512">
        <v>46357</v>
      </c>
      <c r="C16" s="480">
        <v>13328064.92224</v>
      </c>
      <c r="D16" s="480">
        <v>4320760.3077600002</v>
      </c>
      <c r="E16" s="480">
        <v>84751.178749999992</v>
      </c>
      <c r="F16" s="480">
        <v>64751.178749999963</v>
      </c>
      <c r="G16" s="480">
        <f t="shared" si="0"/>
        <v>0</v>
      </c>
      <c r="H16" s="480">
        <v>20618765.250028744</v>
      </c>
      <c r="I16" s="480">
        <v>2275944.3261361816</v>
      </c>
      <c r="J16" s="480">
        <v>38074.3125</v>
      </c>
      <c r="K16" s="480">
        <v>0</v>
      </c>
      <c r="L16" s="480">
        <v>436686</v>
      </c>
      <c r="M16" s="480">
        <v>1752473.0000000002</v>
      </c>
      <c r="N16" s="480">
        <v>768657.43260099995</v>
      </c>
      <c r="O16" s="480">
        <v>461458</v>
      </c>
      <c r="P16" s="480">
        <v>10044.889765748316</v>
      </c>
    </row>
    <row r="17" spans="2:17" ht="15">
      <c r="B17" s="3" t="s">
        <v>15</v>
      </c>
      <c r="C17" s="33">
        <f t="shared" ref="C17:P17" si="1">SUM(C5:C16)</f>
        <v>158918814.62703997</v>
      </c>
      <c r="D17" s="33">
        <f t="shared" si="1"/>
        <v>52735390.212959997</v>
      </c>
      <c r="E17" s="33">
        <f>SUM(E5:E16)</f>
        <v>937014.1449999999</v>
      </c>
      <c r="F17" s="33">
        <f t="shared" si="1"/>
        <v>777014.1449999999</v>
      </c>
      <c r="G17" s="33">
        <f t="shared" si="1"/>
        <v>0</v>
      </c>
      <c r="H17" s="33">
        <f t="shared" si="1"/>
        <v>240987912.09685683</v>
      </c>
      <c r="I17" s="33">
        <f t="shared" si="1"/>
        <v>25660906.245126683</v>
      </c>
      <c r="J17" s="33">
        <f t="shared" ref="J17:K17" si="2">SUM(J5:J16)</f>
        <v>456891.75</v>
      </c>
      <c r="K17" s="33">
        <f t="shared" si="2"/>
        <v>0</v>
      </c>
      <c r="L17" s="33">
        <f t="shared" si="1"/>
        <v>6167284</v>
      </c>
      <c r="M17" s="33">
        <f t="shared" si="1"/>
        <v>21029676</v>
      </c>
      <c r="N17" s="33">
        <f t="shared" si="1"/>
        <v>9299424.0112050995</v>
      </c>
      <c r="O17" s="33">
        <f t="shared" si="1"/>
        <v>5537488</v>
      </c>
      <c r="P17" s="33">
        <f t="shared" si="1"/>
        <v>120532.99764274777</v>
      </c>
    </row>
    <row r="18" spans="2:17">
      <c r="Q18" s="30"/>
    </row>
    <row r="19" spans="2:17">
      <c r="B19" s="57"/>
      <c r="P19" s="30"/>
    </row>
    <row r="20" spans="2:17">
      <c r="P20" s="30"/>
    </row>
    <row r="21" spans="2:17">
      <c r="P21" s="30"/>
    </row>
    <row r="22" spans="2:17">
      <c r="B22" s="34" t="s">
        <v>369</v>
      </c>
      <c r="C22" s="34"/>
      <c r="E22" s="35"/>
      <c r="P22" s="30"/>
    </row>
    <row r="23" spans="2:17" s="35" customFormat="1" ht="51">
      <c r="B23" s="36"/>
      <c r="C23" s="30" t="s">
        <v>370</v>
      </c>
      <c r="P23" s="30"/>
    </row>
    <row r="24" spans="2:17" s="35" customFormat="1">
      <c r="B24" s="31" t="s">
        <v>351</v>
      </c>
      <c r="C24" s="2">
        <v>24</v>
      </c>
      <c r="P24" s="30"/>
    </row>
    <row r="25" spans="2:17" ht="15">
      <c r="B25" s="481">
        <v>2026</v>
      </c>
      <c r="C25" s="480">
        <v>38060.000004000001</v>
      </c>
      <c r="I25" s="37"/>
      <c r="P25" s="30"/>
    </row>
    <row r="26" spans="2:17">
      <c r="B26" s="481">
        <v>2027</v>
      </c>
      <c r="C26" s="480">
        <v>38060.000004000001</v>
      </c>
    </row>
    <row r="27" spans="2:17">
      <c r="B27" s="481">
        <v>2028</v>
      </c>
      <c r="C27" s="480">
        <v>38060.000004000001</v>
      </c>
    </row>
    <row r="28" spans="2:17">
      <c r="B28" s="481">
        <v>2029</v>
      </c>
      <c r="C28" s="480">
        <v>38060.000004000001</v>
      </c>
    </row>
    <row r="29" spans="2:17">
      <c r="B29" s="481">
        <v>2030</v>
      </c>
      <c r="C29" s="480">
        <v>38060.000004000001</v>
      </c>
    </row>
    <row r="30" spans="2:17">
      <c r="B30" s="481">
        <v>2031</v>
      </c>
      <c r="C30" s="480">
        <v>38060.000004000001</v>
      </c>
    </row>
    <row r="31" spans="2:17">
      <c r="B31" s="481">
        <v>2032</v>
      </c>
      <c r="C31" s="480">
        <v>38060.000004000001</v>
      </c>
    </row>
    <row r="32" spans="2:17">
      <c r="B32" s="481">
        <v>2033</v>
      </c>
      <c r="C32" s="480">
        <v>38060.000004000001</v>
      </c>
    </row>
    <row r="33" spans="2:3">
      <c r="B33" s="481">
        <v>2034</v>
      </c>
      <c r="C33" s="480">
        <v>38060.000004000001</v>
      </c>
    </row>
    <row r="34" spans="2:3">
      <c r="B34" s="38"/>
      <c r="C34" s="32"/>
    </row>
    <row r="35" spans="2:3">
      <c r="B35" s="38"/>
      <c r="C35" s="32"/>
    </row>
    <row r="36" spans="2:3">
      <c r="B36" s="38"/>
      <c r="C36" s="32"/>
    </row>
    <row r="57" spans="3:13">
      <c r="C57" s="39"/>
      <c r="D57" s="40"/>
      <c r="E57" s="40"/>
      <c r="F57" s="41"/>
      <c r="G57" s="42"/>
      <c r="J57" s="43"/>
      <c r="K57" s="43"/>
      <c r="M57" s="42"/>
    </row>
    <row r="58" spans="3:13">
      <c r="C58" s="39"/>
      <c r="D58" s="40"/>
      <c r="E58" s="40"/>
      <c r="F58" s="41"/>
      <c r="G58" s="42"/>
      <c r="J58" s="43"/>
      <c r="K58" s="43"/>
      <c r="M58" s="42"/>
    </row>
    <row r="59" spans="3:13">
      <c r="C59" s="39"/>
      <c r="D59" s="40"/>
      <c r="E59" s="40"/>
      <c r="F59" s="41"/>
      <c r="G59" s="42"/>
      <c r="J59" s="43"/>
      <c r="K59" s="43"/>
      <c r="M59" s="42"/>
    </row>
  </sheetData>
  <pageMargins left="0.7" right="0.7" top="0.75" bottom="0.75" header="0.3" footer="0.3"/>
  <pageSetup scale="67" orientation="landscape" r:id="rId1"/>
  <headerFooter>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6D0DE-D20B-4D82-B9AC-46A0B51117AE}">
  <sheetPr codeName="Sheet8">
    <pageSetUpPr fitToPage="1"/>
  </sheetPr>
  <dimension ref="A2:B17"/>
  <sheetViews>
    <sheetView zoomScaleNormal="100" zoomScaleSheetLayoutView="100" workbookViewId="0">
      <selection activeCell="B17" sqref="B17"/>
    </sheetView>
  </sheetViews>
  <sheetFormatPr defaultColWidth="9.140625" defaultRowHeight="12.75"/>
  <cols>
    <col min="1" max="1" width="18.7109375" style="45" customWidth="1"/>
    <col min="2" max="2" width="12.28515625" style="45" customWidth="1"/>
    <col min="3" max="4" width="9.140625" style="45"/>
    <col min="5" max="5" width="14" style="45" bestFit="1" customWidth="1"/>
    <col min="6" max="16384" width="9.140625" style="45"/>
  </cols>
  <sheetData>
    <row r="2" spans="1:2">
      <c r="A2" s="46" t="s">
        <v>211</v>
      </c>
    </row>
    <row r="3" spans="1:2">
      <c r="A3" s="47"/>
      <c r="B3" s="47" t="s">
        <v>68</v>
      </c>
    </row>
    <row r="4" spans="1:2">
      <c r="A4" s="34" t="s">
        <v>351</v>
      </c>
      <c r="B4" s="36">
        <v>13</v>
      </c>
    </row>
    <row r="5" spans="1:2">
      <c r="A5" s="512">
        <v>46023</v>
      </c>
      <c r="B5" s="480">
        <v>2634454</v>
      </c>
    </row>
    <row r="6" spans="1:2">
      <c r="A6" s="513">
        <v>46054</v>
      </c>
      <c r="B6" s="480">
        <v>2923941</v>
      </c>
    </row>
    <row r="7" spans="1:2">
      <c r="A7" s="513">
        <v>46082</v>
      </c>
      <c r="B7" s="480">
        <v>3305089</v>
      </c>
    </row>
    <row r="8" spans="1:2">
      <c r="A8" s="513">
        <v>46113</v>
      </c>
      <c r="B8" s="480">
        <v>3261324</v>
      </c>
    </row>
    <row r="9" spans="1:2">
      <c r="A9" s="513">
        <v>46143</v>
      </c>
      <c r="B9" s="480">
        <v>2899181</v>
      </c>
    </row>
    <row r="10" spans="1:2">
      <c r="A10" s="513">
        <v>46174</v>
      </c>
      <c r="B10" s="480">
        <v>3320712</v>
      </c>
    </row>
    <row r="11" spans="1:2">
      <c r="A11" s="513">
        <v>46204</v>
      </c>
      <c r="B11" s="480">
        <v>3137957</v>
      </c>
    </row>
    <row r="12" spans="1:2">
      <c r="A12" s="513">
        <v>46235</v>
      </c>
      <c r="B12" s="480">
        <v>3046880</v>
      </c>
    </row>
    <row r="13" spans="1:2">
      <c r="A13" s="513">
        <v>46266</v>
      </c>
      <c r="B13" s="480">
        <v>3091858</v>
      </c>
    </row>
    <row r="14" spans="1:2">
      <c r="A14" s="513">
        <v>46296</v>
      </c>
      <c r="B14" s="480">
        <v>3292701</v>
      </c>
    </row>
    <row r="15" spans="1:2">
      <c r="A15" s="513">
        <v>46327</v>
      </c>
      <c r="B15" s="480">
        <v>2784242</v>
      </c>
    </row>
    <row r="16" spans="1:2">
      <c r="A16" s="512">
        <v>46357</v>
      </c>
      <c r="B16" s="480">
        <v>2754866</v>
      </c>
    </row>
    <row r="17" spans="1:2" ht="15">
      <c r="A17" s="482" t="s">
        <v>15</v>
      </c>
      <c r="B17" s="483">
        <f>SUM(B5:B16)</f>
        <v>36453205</v>
      </c>
    </row>
  </sheetData>
  <pageMargins left="0.7" right="0.7" top="0.75" bottom="0.75" header="0.3" footer="0.3"/>
  <pageSetup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A24BA-7540-416F-8BF4-672294553F6F}">
  <sheetPr codeName="Sheet10"/>
  <dimension ref="B1:L76"/>
  <sheetViews>
    <sheetView zoomScale="90" zoomScaleNormal="90" zoomScaleSheetLayoutView="100" workbookViewId="0">
      <pane ySplit="7" topLeftCell="A38" activePane="bottomLeft" state="frozen"/>
      <selection activeCell="C6" sqref="C6"/>
      <selection pane="bottomLeft" activeCell="I67" sqref="I67"/>
    </sheetView>
  </sheetViews>
  <sheetFormatPr defaultColWidth="9.140625" defaultRowHeight="15"/>
  <cols>
    <col min="1" max="1" width="9.140625" style="58"/>
    <col min="2" max="2" width="30.5703125" style="58" bestFit="1" customWidth="1"/>
    <col min="3" max="3" width="17.85546875" style="58" customWidth="1"/>
    <col min="4" max="4" width="15.42578125" style="59" customWidth="1"/>
    <col min="5" max="5" width="17.85546875" style="58" customWidth="1"/>
    <col min="6" max="6" width="17.28515625" style="58" customWidth="1"/>
    <col min="7" max="7" width="3.5703125" style="58" customWidth="1"/>
    <col min="8" max="9" width="17.28515625" style="58" customWidth="1"/>
    <col min="10" max="10" width="9.140625" style="58"/>
    <col min="11" max="11" width="19.7109375" style="58" bestFit="1" customWidth="1"/>
    <col min="12" max="12" width="17.28515625" style="58" bestFit="1" customWidth="1"/>
    <col min="13" max="16384" width="9.140625" style="58"/>
  </cols>
  <sheetData>
    <row r="1" spans="2:9">
      <c r="B1" s="422"/>
      <c r="C1" s="422"/>
      <c r="D1" s="422"/>
      <c r="E1" s="422"/>
    </row>
    <row r="2" spans="2:9">
      <c r="B2" s="75" t="s">
        <v>439</v>
      </c>
    </row>
    <row r="3" spans="2:9">
      <c r="B3" s="74" t="s">
        <v>438</v>
      </c>
    </row>
    <row r="4" spans="2:9">
      <c r="B4" s="73" t="s">
        <v>1247</v>
      </c>
    </row>
    <row r="5" spans="2:9">
      <c r="C5" s="544"/>
      <c r="D5" s="544"/>
      <c r="H5" s="544"/>
    </row>
    <row r="6" spans="2:9" ht="39">
      <c r="B6" s="72" t="s">
        <v>437</v>
      </c>
      <c r="C6" s="71" t="s">
        <v>436</v>
      </c>
      <c r="D6" s="71" t="s">
        <v>1055</v>
      </c>
      <c r="E6" s="71" t="s">
        <v>435</v>
      </c>
      <c r="F6" s="71" t="s">
        <v>434</v>
      </c>
      <c r="G6" s="71"/>
      <c r="H6" s="71" t="s">
        <v>1056</v>
      </c>
      <c r="I6" s="71" t="s">
        <v>433</v>
      </c>
    </row>
    <row r="7" spans="2:9">
      <c r="B7" s="70"/>
      <c r="C7" s="67" t="s">
        <v>281</v>
      </c>
      <c r="D7" s="69" t="s">
        <v>283</v>
      </c>
      <c r="E7" s="67" t="s">
        <v>432</v>
      </c>
      <c r="F7" s="68" t="s">
        <v>285</v>
      </c>
      <c r="G7" s="67"/>
      <c r="H7" s="66" t="s">
        <v>287</v>
      </c>
      <c r="I7" s="65" t="s">
        <v>431</v>
      </c>
    </row>
    <row r="8" spans="2:9">
      <c r="D8" s="58"/>
    </row>
    <row r="9" spans="2:9">
      <c r="D9" s="58"/>
    </row>
    <row r="10" spans="2:9">
      <c r="B10" s="58" t="s">
        <v>1008</v>
      </c>
      <c r="C10" s="58">
        <v>32500000</v>
      </c>
      <c r="D10" s="58">
        <v>12</v>
      </c>
      <c r="E10" s="58">
        <f>C10*D10</f>
        <v>390000000</v>
      </c>
      <c r="F10" s="62">
        <f t="shared" ref="F10:F51" si="0">E10/$E$67</f>
        <v>8.5230968416296817E-3</v>
      </c>
      <c r="H10" s="62">
        <v>7.1278351340000004E-2</v>
      </c>
      <c r="I10" s="417">
        <f t="shared" ref="I10:I33" si="1">H10*F10</f>
        <v>6.0751229118252486E-4</v>
      </c>
    </row>
    <row r="11" spans="2:9">
      <c r="B11" s="58" t="s">
        <v>1009</v>
      </c>
      <c r="C11" s="58">
        <v>17500000</v>
      </c>
      <c r="D11" s="58">
        <v>12</v>
      </c>
      <c r="E11" s="58">
        <f t="shared" ref="E11:E41" si="2">C11*D11</f>
        <v>210000000</v>
      </c>
      <c r="F11" s="62">
        <f t="shared" si="0"/>
        <v>4.5893598378005983E-3</v>
      </c>
      <c r="H11" s="62">
        <v>7.1188037529999998E-2</v>
      </c>
      <c r="I11" s="417">
        <f t="shared" si="1"/>
        <v>3.2670752037202371E-4</v>
      </c>
    </row>
    <row r="12" spans="2:9">
      <c r="B12" s="58" t="s">
        <v>1010</v>
      </c>
      <c r="C12" s="58">
        <v>96500000</v>
      </c>
      <c r="D12" s="58">
        <v>12</v>
      </c>
      <c r="E12" s="58">
        <f t="shared" si="2"/>
        <v>1158000000</v>
      </c>
      <c r="F12" s="62">
        <f t="shared" si="0"/>
        <v>2.5307041391300442E-2</v>
      </c>
      <c r="H12" s="62">
        <v>6.8513400000000002E-2</v>
      </c>
      <c r="I12" s="417">
        <f t="shared" si="1"/>
        <v>1.7338714496587238E-3</v>
      </c>
    </row>
    <row r="13" spans="2:9">
      <c r="B13" s="58" t="s">
        <v>1011</v>
      </c>
      <c r="C13" s="58">
        <v>100000000</v>
      </c>
      <c r="D13" s="58">
        <v>12</v>
      </c>
      <c r="E13" s="58">
        <f t="shared" si="2"/>
        <v>1200000000</v>
      </c>
      <c r="F13" s="62">
        <f t="shared" si="0"/>
        <v>2.6224913358860562E-2</v>
      </c>
      <c r="H13" s="62">
        <v>5.6384070000000001E-2</v>
      </c>
      <c r="I13" s="417">
        <f t="shared" si="1"/>
        <v>1.4786673505699291E-3</v>
      </c>
    </row>
    <row r="14" spans="2:9">
      <c r="B14" s="58" t="s">
        <v>1012</v>
      </c>
      <c r="C14" s="58">
        <v>250000000</v>
      </c>
      <c r="D14" s="58">
        <v>12</v>
      </c>
      <c r="E14" s="58">
        <f t="shared" si="2"/>
        <v>3000000000</v>
      </c>
      <c r="F14" s="62">
        <f t="shared" si="0"/>
        <v>6.5562283397151408E-2</v>
      </c>
      <c r="H14" s="62">
        <v>5.9594920000000003E-2</v>
      </c>
      <c r="I14" s="417">
        <f t="shared" si="1"/>
        <v>3.9071790340705669E-3</v>
      </c>
    </row>
    <row r="15" spans="2:9">
      <c r="B15" s="58" t="s">
        <v>1013</v>
      </c>
      <c r="C15" s="58">
        <v>50000000</v>
      </c>
      <c r="D15" s="58">
        <v>12</v>
      </c>
      <c r="E15" s="58">
        <f t="shared" si="2"/>
        <v>600000000</v>
      </c>
      <c r="F15" s="62">
        <f t="shared" si="0"/>
        <v>1.3112456679430281E-2</v>
      </c>
      <c r="H15" s="62">
        <v>5.7704030000000003E-2</v>
      </c>
      <c r="I15" s="417">
        <f t="shared" si="1"/>
        <v>7.566415936035454E-4</v>
      </c>
    </row>
    <row r="16" spans="2:9">
      <c r="B16" s="58" t="s">
        <v>1014</v>
      </c>
      <c r="C16" s="58">
        <v>75000000</v>
      </c>
      <c r="D16" s="58">
        <v>2.4666666666666668</v>
      </c>
      <c r="E16" s="58">
        <f t="shared" si="2"/>
        <v>185000000</v>
      </c>
      <c r="F16" s="62">
        <f t="shared" si="0"/>
        <v>4.0430074761576701E-3</v>
      </c>
      <c r="H16" s="62">
        <v>4.22301E-2</v>
      </c>
      <c r="I16" s="417">
        <f t="shared" si="1"/>
        <v>1.7073661001888602E-4</v>
      </c>
    </row>
    <row r="17" spans="2:9">
      <c r="B17" s="58" t="s">
        <v>1015</v>
      </c>
      <c r="C17" s="58">
        <v>75000000</v>
      </c>
      <c r="D17" s="58">
        <v>2.4666666666666668</v>
      </c>
      <c r="E17" s="58">
        <f t="shared" si="2"/>
        <v>185000000</v>
      </c>
      <c r="F17" s="62">
        <f t="shared" si="0"/>
        <v>4.0430074761576701E-3</v>
      </c>
      <c r="H17" s="62">
        <v>4.3236339999999998E-2</v>
      </c>
      <c r="I17" s="417">
        <f t="shared" si="1"/>
        <v>1.748048458616949E-4</v>
      </c>
    </row>
    <row r="18" spans="2:9">
      <c r="B18" s="58" t="s">
        <v>1016</v>
      </c>
      <c r="C18" s="58">
        <v>150000000</v>
      </c>
      <c r="D18" s="58">
        <v>12</v>
      </c>
      <c r="E18" s="58">
        <f t="shared" si="2"/>
        <v>1800000000</v>
      </c>
      <c r="F18" s="62">
        <f t="shared" si="0"/>
        <v>3.9337370038290839E-2</v>
      </c>
      <c r="H18" s="62">
        <v>5.2139390000000001E-2</v>
      </c>
      <c r="I18" s="417">
        <f t="shared" si="1"/>
        <v>2.051026478000761E-3</v>
      </c>
    </row>
    <row r="19" spans="2:9">
      <c r="B19" s="58" t="s">
        <v>1017</v>
      </c>
      <c r="C19" s="58">
        <v>150000000</v>
      </c>
      <c r="D19" s="58">
        <v>12</v>
      </c>
      <c r="E19" s="58">
        <f t="shared" si="2"/>
        <v>1800000000</v>
      </c>
      <c r="F19" s="62">
        <f t="shared" si="0"/>
        <v>3.9337370038290839E-2</v>
      </c>
      <c r="H19" s="62">
        <v>4.4115910000000001E-2</v>
      </c>
      <c r="I19" s="417">
        <f t="shared" si="1"/>
        <v>1.7354038762459353E-3</v>
      </c>
    </row>
    <row r="20" spans="2:9">
      <c r="B20" s="58" t="s">
        <v>1018</v>
      </c>
      <c r="C20" s="58">
        <v>50000000</v>
      </c>
      <c r="D20" s="58">
        <v>12</v>
      </c>
      <c r="E20" s="58">
        <f t="shared" si="2"/>
        <v>600000000</v>
      </c>
      <c r="F20" s="62">
        <f t="shared" si="0"/>
        <v>1.3112456679430281E-2</v>
      </c>
      <c r="H20" s="62">
        <v>3.7961979999999999E-2</v>
      </c>
      <c r="I20" s="417">
        <f t="shared" si="1"/>
        <v>4.9777481821539874E-4</v>
      </c>
    </row>
    <row r="21" spans="2:9">
      <c r="B21" s="58" t="s">
        <v>1019</v>
      </c>
      <c r="C21" s="58">
        <v>50000000</v>
      </c>
      <c r="D21" s="58">
        <v>12</v>
      </c>
      <c r="E21" s="58">
        <f t="shared" si="2"/>
        <v>600000000</v>
      </c>
      <c r="F21" s="62">
        <f t="shared" si="0"/>
        <v>1.3112456679430281E-2</v>
      </c>
      <c r="H21" s="62">
        <v>4.7147309999999998E-2</v>
      </c>
      <c r="I21" s="417">
        <f t="shared" si="1"/>
        <v>6.1821705992667008E-4</v>
      </c>
    </row>
    <row r="22" spans="2:9">
      <c r="B22" s="58" t="s">
        <v>1020</v>
      </c>
      <c r="C22" s="58">
        <v>29000000</v>
      </c>
      <c r="D22" s="58">
        <v>12</v>
      </c>
      <c r="E22" s="58">
        <f t="shared" si="2"/>
        <v>348000000</v>
      </c>
      <c r="F22" s="62">
        <f t="shared" si="0"/>
        <v>7.6052248740695622E-3</v>
      </c>
      <c r="H22" s="62">
        <v>3.6534560000000001E-2</v>
      </c>
      <c r="I22" s="417">
        <f t="shared" si="1"/>
        <v>2.7785354447518689E-4</v>
      </c>
    </row>
    <row r="23" spans="2:9">
      <c r="B23" s="58" t="s">
        <v>1021</v>
      </c>
      <c r="C23" s="58">
        <v>47000000</v>
      </c>
      <c r="D23" s="58">
        <v>12</v>
      </c>
      <c r="E23" s="58">
        <f t="shared" si="2"/>
        <v>564000000</v>
      </c>
      <c r="F23" s="62">
        <f t="shared" si="0"/>
        <v>1.2325709278664464E-2</v>
      </c>
      <c r="H23" s="62">
        <v>4.3497840000000003E-2</v>
      </c>
      <c r="I23" s="417">
        <f t="shared" si="1"/>
        <v>5.3614173008986233E-4</v>
      </c>
    </row>
    <row r="24" spans="2:9">
      <c r="B24" s="58" t="s">
        <v>1022</v>
      </c>
      <c r="C24" s="58">
        <v>21000000</v>
      </c>
      <c r="D24" s="58">
        <v>12</v>
      </c>
      <c r="E24" s="58">
        <f t="shared" si="2"/>
        <v>252000000</v>
      </c>
      <c r="F24" s="62">
        <f t="shared" si="0"/>
        <v>5.5072318053607178E-3</v>
      </c>
      <c r="H24" s="62">
        <v>3.7555764300000002E-2</v>
      </c>
      <c r="I24" s="417">
        <f t="shared" si="1"/>
        <v>2.0682829962759061E-4</v>
      </c>
    </row>
    <row r="25" spans="2:9">
      <c r="B25" s="58" t="s">
        <v>1023</v>
      </c>
      <c r="C25" s="58">
        <v>28000000</v>
      </c>
      <c r="D25" s="58">
        <v>12</v>
      </c>
      <c r="E25" s="58">
        <f t="shared" si="2"/>
        <v>336000000</v>
      </c>
      <c r="F25" s="62">
        <f t="shared" si="0"/>
        <v>7.3429757404809568E-3</v>
      </c>
      <c r="H25" s="62">
        <v>4.4517335120000001E-2</v>
      </c>
      <c r="I25" s="417">
        <f t="shared" si="1"/>
        <v>3.2688971181702093E-4</v>
      </c>
    </row>
    <row r="26" spans="2:9">
      <c r="B26" s="58" t="s">
        <v>1024</v>
      </c>
      <c r="C26" s="58">
        <v>150000000</v>
      </c>
      <c r="D26" s="58">
        <v>12</v>
      </c>
      <c r="E26" s="58">
        <f t="shared" si="2"/>
        <v>1800000000</v>
      </c>
      <c r="F26" s="62">
        <f t="shared" si="0"/>
        <v>3.9337370038290839E-2</v>
      </c>
      <c r="H26" s="62">
        <v>4.0099477260000002E-2</v>
      </c>
      <c r="I26" s="417">
        <f t="shared" si="1"/>
        <v>1.5774079753186488E-3</v>
      </c>
    </row>
    <row r="27" spans="2:9">
      <c r="B27" s="58" t="s">
        <v>1025</v>
      </c>
      <c r="C27" s="58">
        <v>50000000</v>
      </c>
      <c r="D27" s="58">
        <v>12</v>
      </c>
      <c r="E27" s="58">
        <f t="shared" si="2"/>
        <v>600000000</v>
      </c>
      <c r="F27" s="62">
        <f t="shared" si="0"/>
        <v>1.3112456679430281E-2</v>
      </c>
      <c r="H27" s="62">
        <v>3.2665647960000002E-2</v>
      </c>
      <c r="I27" s="417">
        <f t="shared" si="1"/>
        <v>4.2832689378102015E-4</v>
      </c>
    </row>
    <row r="28" spans="2:9">
      <c r="B28" s="58" t="s">
        <v>1026</v>
      </c>
      <c r="C28" s="58">
        <v>75000000</v>
      </c>
      <c r="D28" s="58">
        <v>12</v>
      </c>
      <c r="E28" s="58">
        <f t="shared" si="2"/>
        <v>900000000</v>
      </c>
      <c r="F28" s="62">
        <f t="shared" si="0"/>
        <v>1.966868501914542E-2</v>
      </c>
      <c r="H28" s="62">
        <v>3.9695457099301001E-2</v>
      </c>
      <c r="I28" s="417">
        <f t="shared" si="1"/>
        <v>7.8075744237715127E-4</v>
      </c>
    </row>
    <row r="29" spans="2:9">
      <c r="B29" s="58" t="s">
        <v>1027</v>
      </c>
      <c r="C29" s="58">
        <v>100000000</v>
      </c>
      <c r="D29" s="58">
        <v>12</v>
      </c>
      <c r="E29" s="58">
        <f t="shared" si="2"/>
        <v>1200000000</v>
      </c>
      <c r="F29" s="62">
        <f t="shared" si="0"/>
        <v>2.6224913358860562E-2</v>
      </c>
      <c r="H29" s="62">
        <v>3.7697291507074002E-2</v>
      </c>
      <c r="I29" s="417">
        <f t="shared" si="1"/>
        <v>9.8860820363672573E-4</v>
      </c>
    </row>
    <row r="30" spans="2:9">
      <c r="B30" s="58" t="s">
        <v>1028</v>
      </c>
      <c r="C30" s="58">
        <v>100000000</v>
      </c>
      <c r="D30" s="58">
        <v>12</v>
      </c>
      <c r="E30" s="58">
        <f t="shared" si="2"/>
        <v>1200000000</v>
      </c>
      <c r="F30" s="62">
        <f t="shared" si="0"/>
        <v>2.6224913358860562E-2</v>
      </c>
      <c r="H30" s="62">
        <v>4.0018115069999999E-2</v>
      </c>
      <c r="I30" s="417">
        <f t="shared" si="1"/>
        <v>1.049471600495662E-3</v>
      </c>
    </row>
    <row r="31" spans="2:9">
      <c r="B31" s="58" t="s">
        <v>1029</v>
      </c>
      <c r="C31" s="58">
        <v>100000000</v>
      </c>
      <c r="D31" s="58">
        <v>12</v>
      </c>
      <c r="E31" s="58">
        <f t="shared" si="2"/>
        <v>1200000000</v>
      </c>
      <c r="F31" s="62">
        <f t="shared" si="0"/>
        <v>2.6224913358860562E-2</v>
      </c>
      <c r="H31" s="62">
        <v>4.158664435E-2</v>
      </c>
      <c r="I31" s="417">
        <f>H31*F31</f>
        <v>1.0906061449644981E-3</v>
      </c>
    </row>
    <row r="32" spans="2:9">
      <c r="B32" s="58" t="s">
        <v>1030</v>
      </c>
      <c r="C32" s="58">
        <v>200000000</v>
      </c>
      <c r="D32" s="58">
        <v>12</v>
      </c>
      <c r="E32" s="58">
        <f t="shared" si="2"/>
        <v>2400000000</v>
      </c>
      <c r="F32" s="62">
        <f t="shared" si="0"/>
        <v>5.2449826717721124E-2</v>
      </c>
      <c r="H32" s="62">
        <v>3.5887704770000001E-2</v>
      </c>
      <c r="I32" s="417">
        <f t="shared" si="1"/>
        <v>1.8823038964832339E-3</v>
      </c>
    </row>
    <row r="33" spans="2:9">
      <c r="B33" s="58" t="s">
        <v>1031</v>
      </c>
      <c r="C33" s="58">
        <v>100000000</v>
      </c>
      <c r="D33" s="58">
        <v>12</v>
      </c>
      <c r="E33" s="58">
        <f t="shared" si="2"/>
        <v>1200000000</v>
      </c>
      <c r="F33" s="62">
        <f t="shared" si="0"/>
        <v>2.6224913358860562E-2</v>
      </c>
      <c r="H33" s="62">
        <v>3.8421363085919001E-2</v>
      </c>
      <c r="I33" s="417">
        <f t="shared" si="1"/>
        <v>1.0075969180575492E-3</v>
      </c>
    </row>
    <row r="34" spans="2:9">
      <c r="B34" s="58" t="s">
        <v>1032</v>
      </c>
      <c r="C34" s="58">
        <v>100000000</v>
      </c>
      <c r="D34" s="58">
        <v>12</v>
      </c>
      <c r="E34" s="58">
        <f t="shared" si="2"/>
        <v>1200000000</v>
      </c>
      <c r="F34" s="418">
        <f t="shared" si="0"/>
        <v>2.6224913358860562E-2</v>
      </c>
      <c r="H34" s="62">
        <v>3.8872911150000002E-2</v>
      </c>
      <c r="I34" s="419">
        <f t="shared" ref="I34:I40" si="3">H34*F34</f>
        <v>1.0194387269154346E-3</v>
      </c>
    </row>
    <row r="35" spans="2:9">
      <c r="B35" s="58" t="s">
        <v>1033</v>
      </c>
      <c r="C35" s="58">
        <v>100000000</v>
      </c>
      <c r="D35" s="58">
        <v>12</v>
      </c>
      <c r="E35" s="58">
        <f t="shared" si="2"/>
        <v>1200000000</v>
      </c>
      <c r="F35" s="418">
        <f t="shared" si="0"/>
        <v>2.6224913358860562E-2</v>
      </c>
      <c r="H35" s="62">
        <v>3.2893776819999998E-2</v>
      </c>
      <c r="I35" s="419">
        <f t="shared" si="3"/>
        <v>8.6263644715019584E-4</v>
      </c>
    </row>
    <row r="36" spans="2:9">
      <c r="B36" s="58" t="s">
        <v>953</v>
      </c>
      <c r="C36" s="58">
        <v>100000000</v>
      </c>
      <c r="D36" s="58">
        <v>12</v>
      </c>
      <c r="E36" s="58">
        <f t="shared" si="2"/>
        <v>1200000000</v>
      </c>
      <c r="F36" s="418">
        <f t="shared" si="0"/>
        <v>2.6224913358860562E-2</v>
      </c>
      <c r="H36" s="62">
        <v>3.1641521700000001E-2</v>
      </c>
      <c r="I36" s="419">
        <f t="shared" si="3"/>
        <v>8.2979616512500638E-4</v>
      </c>
    </row>
    <row r="37" spans="2:9">
      <c r="B37" s="58" t="s">
        <v>893</v>
      </c>
      <c r="C37" s="58">
        <v>50000000</v>
      </c>
      <c r="D37" s="58">
        <v>12</v>
      </c>
      <c r="E37" s="58">
        <f t="shared" si="2"/>
        <v>600000000</v>
      </c>
      <c r="F37" s="418">
        <f t="shared" si="0"/>
        <v>1.3112456679430281E-2</v>
      </c>
      <c r="H37" s="62">
        <v>2.3963656010000001E-2</v>
      </c>
      <c r="I37" s="419">
        <f t="shared" si="3"/>
        <v>3.142224013118941E-4</v>
      </c>
    </row>
    <row r="38" spans="2:9">
      <c r="B38" s="58" t="s">
        <v>894</v>
      </c>
      <c r="C38" s="58">
        <v>50000000</v>
      </c>
      <c r="D38" s="58">
        <v>12</v>
      </c>
      <c r="E38" s="58">
        <f t="shared" si="2"/>
        <v>600000000</v>
      </c>
      <c r="F38" s="418">
        <f t="shared" si="0"/>
        <v>1.3112456679430281E-2</v>
      </c>
      <c r="H38" s="62">
        <v>3.2145575599999997E-2</v>
      </c>
      <c r="I38" s="419">
        <f t="shared" si="3"/>
        <v>4.2150746749035101E-4</v>
      </c>
    </row>
    <row r="39" spans="2:9">
      <c r="B39" s="58" t="s">
        <v>1006</v>
      </c>
      <c r="C39" s="58">
        <v>50000000</v>
      </c>
      <c r="D39" s="58">
        <v>12</v>
      </c>
      <c r="E39" s="58">
        <f t="shared" si="2"/>
        <v>600000000</v>
      </c>
      <c r="F39" s="418">
        <f t="shared" si="0"/>
        <v>1.3112456679430281E-2</v>
      </c>
      <c r="H39" s="62">
        <v>5.4578156908208997E-2</v>
      </c>
      <c r="I39" s="419">
        <f t="shared" si="3"/>
        <v>7.15653718102039E-4</v>
      </c>
    </row>
    <row r="40" spans="2:9">
      <c r="B40" s="58" t="s">
        <v>1007</v>
      </c>
      <c r="C40" s="58">
        <v>50000000</v>
      </c>
      <c r="D40" s="58">
        <v>12</v>
      </c>
      <c r="E40" s="58">
        <f t="shared" si="2"/>
        <v>600000000</v>
      </c>
      <c r="F40" s="418">
        <f t="shared" si="0"/>
        <v>1.3112456679430281E-2</v>
      </c>
      <c r="H40" s="62">
        <v>5.9784845849999997E-2</v>
      </c>
      <c r="I40" s="419">
        <f t="shared" si="3"/>
        <v>7.8392620129454213E-4</v>
      </c>
    </row>
    <row r="41" spans="2:9">
      <c r="B41" s="58" t="s">
        <v>968</v>
      </c>
      <c r="C41" s="58">
        <v>100000000</v>
      </c>
      <c r="D41" s="58">
        <v>12</v>
      </c>
      <c r="E41" s="58">
        <f t="shared" si="2"/>
        <v>1200000000</v>
      </c>
      <c r="F41" s="418">
        <f t="shared" si="0"/>
        <v>2.6224913358860562E-2</v>
      </c>
      <c r="H41" s="62">
        <v>6.0788061660000003E-2</v>
      </c>
      <c r="I41" s="419">
        <f t="shared" ref="I41" si="4">H41*F41</f>
        <v>1.5941616502865737E-3</v>
      </c>
    </row>
    <row r="42" spans="2:9">
      <c r="B42" s="467" t="s">
        <v>1073</v>
      </c>
      <c r="C42" s="58">
        <v>125000000</v>
      </c>
      <c r="D42" s="58">
        <v>12</v>
      </c>
      <c r="E42" s="58">
        <f t="shared" ref="E42:E48" si="5">C42*D42</f>
        <v>1500000000</v>
      </c>
      <c r="F42" s="418">
        <f t="shared" si="0"/>
        <v>3.2781141698575704E-2</v>
      </c>
      <c r="H42" s="62">
        <v>5.8975306949749798E-2</v>
      </c>
      <c r="I42" s="419">
        <f t="shared" ref="I42:I48" si="6">H42*F42</f>
        <v>1.9332778938367446E-3</v>
      </c>
    </row>
    <row r="43" spans="2:9">
      <c r="B43" s="467" t="s">
        <v>1074</v>
      </c>
      <c r="C43" s="58">
        <v>125000000</v>
      </c>
      <c r="D43" s="58">
        <v>12</v>
      </c>
      <c r="E43" s="58">
        <f t="shared" si="5"/>
        <v>1500000000</v>
      </c>
      <c r="F43" s="418">
        <f t="shared" si="0"/>
        <v>3.2781141698575704E-2</v>
      </c>
      <c r="H43" s="62">
        <v>6.1281415294167398E-2</v>
      </c>
      <c r="I43" s="419">
        <f t="shared" si="6"/>
        <v>2.0088747582473658E-3</v>
      </c>
    </row>
    <row r="44" spans="2:9">
      <c r="B44" s="467" t="s">
        <v>1075</v>
      </c>
      <c r="C44" s="58">
        <v>100000000</v>
      </c>
      <c r="D44" s="58">
        <v>12</v>
      </c>
      <c r="E44" s="58">
        <f t="shared" si="5"/>
        <v>1200000000</v>
      </c>
      <c r="F44" s="418">
        <f t="shared" si="0"/>
        <v>2.6224913358860562E-2</v>
      </c>
      <c r="H44" s="62">
        <v>5.4899999999999997E-2</v>
      </c>
      <c r="I44" s="419">
        <f t="shared" si="6"/>
        <v>1.4397477434014447E-3</v>
      </c>
    </row>
    <row r="45" spans="2:9">
      <c r="B45" s="467" t="s">
        <v>1150</v>
      </c>
      <c r="C45" s="58">
        <v>92000000</v>
      </c>
      <c r="D45" s="58">
        <v>12</v>
      </c>
      <c r="E45" s="58">
        <f>C45*D45</f>
        <v>1104000000</v>
      </c>
      <c r="F45" s="418">
        <f t="shared" si="0"/>
        <v>2.4126920290151715E-2</v>
      </c>
      <c r="H45" s="62">
        <v>5.79E-2</v>
      </c>
      <c r="I45" s="419">
        <f>H45*F45</f>
        <v>1.3969486847997842E-3</v>
      </c>
    </row>
    <row r="46" spans="2:9">
      <c r="B46" s="467" t="s">
        <v>1151</v>
      </c>
      <c r="C46" s="58">
        <v>58000000</v>
      </c>
      <c r="D46" s="58">
        <v>12</v>
      </c>
      <c r="E46" s="58">
        <f>C46*D46</f>
        <v>696000000</v>
      </c>
      <c r="F46" s="418">
        <f t="shared" si="0"/>
        <v>1.5210449748139124E-2</v>
      </c>
      <c r="H46" s="62">
        <v>5.79E-2</v>
      </c>
      <c r="I46" s="419">
        <f>H46*F46</f>
        <v>8.8068504041725535E-4</v>
      </c>
    </row>
    <row r="47" spans="2:9">
      <c r="B47" s="467" t="s">
        <v>1283</v>
      </c>
      <c r="C47" s="58">
        <v>100000000</v>
      </c>
      <c r="D47" s="58">
        <v>12</v>
      </c>
      <c r="E47" s="58">
        <f>C47*D47</f>
        <v>1200000000</v>
      </c>
      <c r="F47" s="418">
        <f t="shared" si="0"/>
        <v>2.6224913358860562E-2</v>
      </c>
      <c r="H47" s="62">
        <v>5.3999999999999999E-2</v>
      </c>
      <c r="I47" s="419">
        <f t="shared" si="6"/>
        <v>1.4161453213784702E-3</v>
      </c>
    </row>
    <row r="48" spans="2:9">
      <c r="B48" s="467" t="s">
        <v>1285</v>
      </c>
      <c r="C48" s="58">
        <v>100000000.00000001</v>
      </c>
      <c r="D48" s="58">
        <v>11.533333333333333</v>
      </c>
      <c r="E48" s="58">
        <f t="shared" si="5"/>
        <v>1153333333.3333335</v>
      </c>
      <c r="F48" s="418">
        <f t="shared" si="0"/>
        <v>2.5205055617127096E-2</v>
      </c>
      <c r="H48" s="62">
        <v>5.3999999999999999E-2</v>
      </c>
      <c r="I48" s="419">
        <f t="shared" si="6"/>
        <v>1.3610730033248631E-3</v>
      </c>
    </row>
    <row r="49" spans="2:9">
      <c r="B49" s="467" t="s">
        <v>1284</v>
      </c>
      <c r="C49" s="58">
        <v>300000000</v>
      </c>
      <c r="D49" s="58">
        <v>9.5666666666666664</v>
      </c>
      <c r="E49" s="58">
        <f t="shared" ref="E49:E51" si="7">C49*D49</f>
        <v>2870000000</v>
      </c>
      <c r="F49" s="418">
        <f t="shared" si="0"/>
        <v>6.2721251116608173E-2</v>
      </c>
      <c r="H49" s="62">
        <v>5.8999999999999997E-2</v>
      </c>
      <c r="I49" s="419">
        <f t="shared" ref="I49:I51" si="8">H49*F49</f>
        <v>3.700553815879882E-3</v>
      </c>
    </row>
    <row r="50" spans="2:9">
      <c r="B50" s="467" t="s">
        <v>1286</v>
      </c>
      <c r="C50" s="58">
        <v>100000000.00000001</v>
      </c>
      <c r="D50" s="58">
        <v>5.5333333333333332</v>
      </c>
      <c r="E50" s="58">
        <f t="shared" si="7"/>
        <v>553333333.33333337</v>
      </c>
      <c r="F50" s="418">
        <f t="shared" si="0"/>
        <v>1.2092598937696816E-2</v>
      </c>
      <c r="H50" s="62">
        <v>5.8500000000000003E-2</v>
      </c>
      <c r="I50" s="419">
        <f t="shared" si="8"/>
        <v>7.0741703785526374E-4</v>
      </c>
    </row>
    <row r="51" spans="2:9">
      <c r="B51" s="467" t="s">
        <v>1287</v>
      </c>
      <c r="C51" s="58">
        <v>100000000.00000001</v>
      </c>
      <c r="D51" s="58">
        <v>2.5333333333333332</v>
      </c>
      <c r="E51" s="58">
        <f t="shared" si="7"/>
        <v>253333333.33333337</v>
      </c>
      <c r="F51" s="418">
        <f t="shared" si="0"/>
        <v>5.5363705979816751E-3</v>
      </c>
      <c r="H51" s="62">
        <v>5.8500000000000003E-2</v>
      </c>
      <c r="I51" s="419">
        <f t="shared" si="8"/>
        <v>3.23877679981928E-4</v>
      </c>
    </row>
    <row r="52" spans="2:9" ht="14.25" customHeight="1">
      <c r="B52" s="509"/>
      <c r="D52" s="523"/>
      <c r="E52" s="467"/>
      <c r="F52" s="418"/>
      <c r="H52" s="62"/>
      <c r="I52" s="419"/>
    </row>
    <row r="53" spans="2:9">
      <c r="F53" s="62"/>
      <c r="H53" s="62"/>
      <c r="I53" s="417"/>
    </row>
    <row r="54" spans="2:9">
      <c r="B54" s="58" t="s">
        <v>1057</v>
      </c>
      <c r="C54" s="58">
        <v>302329728.63776863</v>
      </c>
      <c r="D54" s="58">
        <v>1</v>
      </c>
      <c r="E54" s="58">
        <f t="shared" ref="E54" si="9">C54*D54</f>
        <v>302329728.63776863</v>
      </c>
      <c r="F54" s="62">
        <f t="shared" ref="F54:F65" si="10">E54/$E$67</f>
        <v>6.6071424494444225E-3</v>
      </c>
      <c r="H54" s="62">
        <v>4.3499999999999997E-2</v>
      </c>
      <c r="I54" s="417">
        <f t="shared" ref="I54:I65" si="11">H54*F54</f>
        <v>2.8741069655083235E-4</v>
      </c>
    </row>
    <row r="55" spans="2:9">
      <c r="B55" s="58" t="s">
        <v>1058</v>
      </c>
      <c r="C55" s="58">
        <v>250219928.87024862</v>
      </c>
      <c r="D55" s="58">
        <v>1</v>
      </c>
      <c r="E55" s="58">
        <f t="shared" ref="E55:E65" si="12">C55*D55</f>
        <v>250219928.87024862</v>
      </c>
      <c r="F55" s="62">
        <f t="shared" si="10"/>
        <v>5.4683299627354348E-3</v>
      </c>
      <c r="H55" s="62">
        <v>4.3499999999999997E-2</v>
      </c>
      <c r="I55" s="417">
        <f t="shared" si="11"/>
        <v>2.3787235337899141E-4</v>
      </c>
    </row>
    <row r="56" spans="2:9">
      <c r="B56" s="58" t="s">
        <v>1059</v>
      </c>
      <c r="C56" s="58">
        <v>305562961.66840768</v>
      </c>
      <c r="D56" s="58">
        <v>1</v>
      </c>
      <c r="E56" s="58">
        <f t="shared" si="12"/>
        <v>305562961.66840768</v>
      </c>
      <c r="F56" s="62">
        <f t="shared" si="10"/>
        <v>6.6778018295256848E-3</v>
      </c>
      <c r="H56" s="62">
        <v>4.3499999999999997E-2</v>
      </c>
      <c r="I56" s="417">
        <f t="shared" si="11"/>
        <v>2.9048437958436728E-4</v>
      </c>
    </row>
    <row r="57" spans="2:9">
      <c r="B57" s="58" t="s">
        <v>1060</v>
      </c>
      <c r="C57" s="58">
        <v>207358299.89182287</v>
      </c>
      <c r="D57" s="58">
        <v>1</v>
      </c>
      <c r="E57" s="58">
        <f t="shared" si="12"/>
        <v>207358299.89182287</v>
      </c>
      <c r="F57" s="62">
        <f t="shared" si="10"/>
        <v>4.5316278740864004E-3</v>
      </c>
      <c r="H57" s="62">
        <v>4.1500000000000002E-2</v>
      </c>
      <c r="I57" s="417">
        <f t="shared" si="11"/>
        <v>1.8806255677458563E-4</v>
      </c>
    </row>
    <row r="58" spans="2:9">
      <c r="B58" s="58" t="s">
        <v>1061</v>
      </c>
      <c r="C58" s="58">
        <v>260593931.8452481</v>
      </c>
      <c r="D58" s="58">
        <v>1</v>
      </c>
      <c r="E58" s="58">
        <f t="shared" si="12"/>
        <v>260593931.8452481</v>
      </c>
      <c r="F58" s="62">
        <f>E58/$E$67</f>
        <v>5.6950444037387046E-3</v>
      </c>
      <c r="H58" s="62">
        <v>4.1500000000000002E-2</v>
      </c>
      <c r="I58" s="417">
        <f t="shared" si="11"/>
        <v>2.3634434275515625E-4</v>
      </c>
    </row>
    <row r="59" spans="2:9">
      <c r="B59" s="58" t="s">
        <v>1062</v>
      </c>
      <c r="C59" s="58">
        <v>247892708.96999958</v>
      </c>
      <c r="D59" s="58">
        <v>1</v>
      </c>
      <c r="E59" s="58">
        <f t="shared" si="12"/>
        <v>247892708.96999958</v>
      </c>
      <c r="F59" s="62">
        <f t="shared" si="10"/>
        <v>5.4174706791928961E-3</v>
      </c>
      <c r="H59" s="62">
        <v>4.1500000000000002E-2</v>
      </c>
      <c r="I59" s="417">
        <f t="shared" si="11"/>
        <v>2.248250331865052E-4</v>
      </c>
    </row>
    <row r="60" spans="2:9">
      <c r="B60" s="58" t="s">
        <v>1063</v>
      </c>
      <c r="C60" s="58">
        <v>256379853.38126543</v>
      </c>
      <c r="D60" s="58">
        <v>1</v>
      </c>
      <c r="E60" s="58">
        <f t="shared" si="12"/>
        <v>256379853.38126543</v>
      </c>
      <c r="F60" s="62">
        <f t="shared" si="10"/>
        <v>5.6029495349008834E-3</v>
      </c>
      <c r="H60" s="62">
        <v>3.95E-2</v>
      </c>
      <c r="I60" s="417">
        <f t="shared" si="11"/>
        <v>2.2131650662858489E-4</v>
      </c>
    </row>
    <row r="61" spans="2:9">
      <c r="B61" s="58" t="s">
        <v>1064</v>
      </c>
      <c r="C61" s="58">
        <v>189943292.24298695</v>
      </c>
      <c r="D61" s="58">
        <v>1</v>
      </c>
      <c r="E61" s="58">
        <f t="shared" si="12"/>
        <v>189943292.24298695</v>
      </c>
      <c r="F61" s="62">
        <f t="shared" si="10"/>
        <v>4.1510386518075534E-3</v>
      </c>
      <c r="H61" s="62">
        <v>3.95E-2</v>
      </c>
      <c r="I61" s="417">
        <f t="shared" si="11"/>
        <v>1.6396602674639837E-4</v>
      </c>
    </row>
    <row r="62" spans="2:9">
      <c r="B62" s="58" t="s">
        <v>1065</v>
      </c>
      <c r="C62" s="58">
        <v>204633851.75846741</v>
      </c>
      <c r="D62" s="58">
        <v>1</v>
      </c>
      <c r="E62" s="58">
        <f t="shared" si="12"/>
        <v>204633851.75846741</v>
      </c>
      <c r="F62" s="62">
        <f t="shared" si="10"/>
        <v>4.4720875272131026E-3</v>
      </c>
      <c r="H62" s="62">
        <v>3.95E-2</v>
      </c>
      <c r="I62" s="417">
        <f t="shared" si="11"/>
        <v>1.7664745732491756E-4</v>
      </c>
    </row>
    <row r="63" spans="2:9">
      <c r="B63" s="58" t="s">
        <v>1066</v>
      </c>
      <c r="C63" s="58">
        <v>229092383.12526926</v>
      </c>
      <c r="D63" s="58">
        <v>1</v>
      </c>
      <c r="E63" s="58">
        <f t="shared" si="12"/>
        <v>229092383.12526926</v>
      </c>
      <c r="F63" s="62">
        <f t="shared" si="10"/>
        <v>5.0066065821958959E-3</v>
      </c>
      <c r="H63" s="62">
        <v>3.85E-2</v>
      </c>
      <c r="I63" s="417">
        <f t="shared" si="11"/>
        <v>1.9275435341454199E-4</v>
      </c>
    </row>
    <row r="64" spans="2:9">
      <c r="B64" s="58" t="s">
        <v>1067</v>
      </c>
      <c r="C64" s="58">
        <v>164140270.32557848</v>
      </c>
      <c r="D64" s="58">
        <v>1</v>
      </c>
      <c r="E64" s="58">
        <f t="shared" si="12"/>
        <v>164140270.32557848</v>
      </c>
      <c r="F64" s="62">
        <f>E64/$E$67</f>
        <v>3.5871369733235388E-3</v>
      </c>
      <c r="H64" s="62">
        <v>3.85E-2</v>
      </c>
      <c r="I64" s="417">
        <f>H64*F64</f>
        <v>1.3810477347295623E-4</v>
      </c>
    </row>
    <row r="65" spans="2:12">
      <c r="B65" s="58" t="s">
        <v>1068</v>
      </c>
      <c r="C65" s="58">
        <v>181868595.82736778</v>
      </c>
      <c r="D65" s="58">
        <v>1</v>
      </c>
      <c r="E65" s="58">
        <f t="shared" si="12"/>
        <v>181868595.82736778</v>
      </c>
      <c r="F65" s="62">
        <f t="shared" si="10"/>
        <v>3.9745734735586241E-3</v>
      </c>
      <c r="H65" s="62">
        <v>3.85E-2</v>
      </c>
      <c r="I65" s="417">
        <f t="shared" si="11"/>
        <v>1.5302107873200704E-4</v>
      </c>
    </row>
    <row r="66" spans="2:12">
      <c r="H66" s="62"/>
      <c r="I66" s="417"/>
    </row>
    <row r="67" spans="2:12">
      <c r="C67" s="64">
        <f>SUM(C10:C65)</f>
        <v>6696515806.5444307</v>
      </c>
      <c r="E67" s="64">
        <f>SUM(E10:E65)</f>
        <v>45758015806.544441</v>
      </c>
      <c r="F67" s="63">
        <f>SUM(F10:F65)</f>
        <v>0.99999999999999978</v>
      </c>
      <c r="I67" s="63">
        <f>SUM(I10:I65)</f>
        <v>4.8432088604199702E-2</v>
      </c>
    </row>
    <row r="68" spans="2:12">
      <c r="I68" s="62"/>
      <c r="L68" s="61"/>
    </row>
    <row r="69" spans="2:12">
      <c r="B69" s="58" t="s">
        <v>400</v>
      </c>
      <c r="I69" s="60"/>
    </row>
    <row r="70" spans="2:12" ht="33.75" customHeight="1">
      <c r="B70" s="1001" t="s">
        <v>430</v>
      </c>
      <c r="C70" s="1001"/>
      <c r="D70" s="1001"/>
      <c r="E70" s="1001"/>
      <c r="F70" s="1001"/>
      <c r="G70" s="1001"/>
      <c r="H70" s="1001"/>
      <c r="I70" s="1001"/>
    </row>
    <row r="71" spans="2:12" ht="15" customHeight="1">
      <c r="B71" s="1001" t="s">
        <v>429</v>
      </c>
      <c r="C71" s="1001"/>
      <c r="D71" s="1001"/>
      <c r="E71" s="1001"/>
      <c r="F71" s="1001"/>
      <c r="G71" s="1001"/>
      <c r="H71" s="1001"/>
      <c r="I71" s="1001"/>
    </row>
    <row r="72" spans="2:12" ht="15" customHeight="1">
      <c r="B72" s="1001" t="s">
        <v>428</v>
      </c>
      <c r="C72" s="1001"/>
      <c r="D72" s="1001"/>
      <c r="E72" s="1001"/>
      <c r="F72" s="1001"/>
      <c r="G72" s="1001"/>
      <c r="H72" s="1001"/>
      <c r="I72" s="1001"/>
    </row>
    <row r="73" spans="2:12" ht="33.75" customHeight="1">
      <c r="B73" s="1001" t="s">
        <v>427</v>
      </c>
      <c r="C73" s="1001"/>
      <c r="D73" s="1001"/>
      <c r="E73" s="1001"/>
      <c r="F73" s="1001"/>
      <c r="G73" s="1001"/>
      <c r="H73" s="1001"/>
      <c r="I73" s="1001"/>
    </row>
    <row r="76" spans="2:12">
      <c r="B76"/>
      <c r="C76"/>
      <c r="D76"/>
      <c r="E76"/>
      <c r="F76"/>
      <c r="G76"/>
    </row>
  </sheetData>
  <mergeCells count="4">
    <mergeCell ref="B70:I70"/>
    <mergeCell ref="B71:I71"/>
    <mergeCell ref="B72:I72"/>
    <mergeCell ref="B73:I73"/>
  </mergeCells>
  <phoneticPr fontId="71" type="noConversion"/>
  <conditionalFormatting sqref="D52:D53">
    <cfRule type="cellIs" dxfId="10" priority="1" operator="equal">
      <formula>0</formula>
    </cfRule>
    <cfRule type="cellIs" dxfId="9" priority="2" operator="notEqual">
      <formula>12</formula>
    </cfRule>
  </conditionalFormatting>
  <pageMargins left="0.7" right="0.7" top="0.75" bottom="0.75" header="0.3" footer="0.3"/>
  <pageSetup scale="61" orientation="portrait"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042FB-A646-4F2D-A96C-6B3599DDA82D}">
  <sheetPr codeName="Sheet9">
    <pageSetUpPr fitToPage="1"/>
  </sheetPr>
  <dimension ref="A1:L19"/>
  <sheetViews>
    <sheetView zoomScaleNormal="100" zoomScaleSheetLayoutView="100" workbookViewId="0">
      <pane xSplit="2" ySplit="4" topLeftCell="C5" activePane="bottomRight" state="frozen"/>
      <selection activeCell="C6" sqref="C6"/>
      <selection pane="topRight" activeCell="C6" sqref="C6"/>
      <selection pane="bottomLeft" activeCell="C6" sqref="C6"/>
      <selection pane="bottomRight" activeCell="C17" sqref="C17"/>
    </sheetView>
  </sheetViews>
  <sheetFormatPr defaultRowHeight="15"/>
  <cols>
    <col min="2" max="2" width="14.42578125" customWidth="1"/>
    <col min="3" max="10" width="18.42578125" customWidth="1"/>
    <col min="12" max="12" width="18.42578125" customWidth="1"/>
  </cols>
  <sheetData>
    <row r="1" spans="1:12" ht="30">
      <c r="C1" s="7" t="s">
        <v>371</v>
      </c>
      <c r="D1" s="7" t="s">
        <v>372</v>
      </c>
      <c r="E1" s="7" t="s">
        <v>373</v>
      </c>
      <c r="F1" s="7" t="s">
        <v>374</v>
      </c>
      <c r="G1" s="7" t="s">
        <v>15</v>
      </c>
      <c r="H1" s="7" t="s">
        <v>375</v>
      </c>
      <c r="I1" s="7" t="s">
        <v>376</v>
      </c>
      <c r="J1" s="7" t="s">
        <v>377</v>
      </c>
      <c r="L1" s="58"/>
    </row>
    <row r="2" spans="1:12">
      <c r="C2" s="6" t="s">
        <v>412</v>
      </c>
      <c r="D2" s="6" t="s">
        <v>413</v>
      </c>
      <c r="E2" s="6" t="s">
        <v>414</v>
      </c>
      <c r="F2" s="6" t="s">
        <v>415</v>
      </c>
      <c r="G2" s="6" t="s">
        <v>416</v>
      </c>
      <c r="H2" s="6" t="s">
        <v>417</v>
      </c>
      <c r="I2" s="6" t="s">
        <v>421</v>
      </c>
      <c r="J2" s="6" t="s">
        <v>418</v>
      </c>
      <c r="L2" s="58"/>
    </row>
    <row r="3" spans="1:12">
      <c r="C3" s="6" t="s">
        <v>422</v>
      </c>
      <c r="D3" s="6" t="s">
        <v>419</v>
      </c>
      <c r="E3" s="6" t="s">
        <v>420</v>
      </c>
      <c r="F3" s="6" t="s">
        <v>423</v>
      </c>
      <c r="G3" s="6"/>
      <c r="H3" s="6" t="s">
        <v>424</v>
      </c>
      <c r="I3" s="6"/>
      <c r="J3" s="6"/>
      <c r="L3" s="58"/>
    </row>
    <row r="4" spans="1:12">
      <c r="C4" s="6"/>
      <c r="D4" s="6"/>
      <c r="E4" s="6"/>
      <c r="G4" s="6"/>
      <c r="I4" s="6"/>
      <c r="J4" s="6"/>
      <c r="L4" s="58"/>
    </row>
    <row r="5" spans="1:12">
      <c r="A5" s="540"/>
      <c r="B5" s="543">
        <v>46023</v>
      </c>
      <c r="C5" s="508">
        <v>69400271</v>
      </c>
      <c r="D5" s="508">
        <v>8596038</v>
      </c>
      <c r="E5" s="508">
        <v>6425448</v>
      </c>
      <c r="F5" s="508">
        <v>860579.71</v>
      </c>
      <c r="G5" s="549">
        <f>SUM(C5:F5)</f>
        <v>85282336.709999993</v>
      </c>
      <c r="H5" s="508">
        <v>134173.17823043722</v>
      </c>
      <c r="I5" s="549">
        <f>SUM(G5:H5)</f>
        <v>85416509.888230428</v>
      </c>
      <c r="J5" s="508">
        <v>1830261.5659999999</v>
      </c>
      <c r="K5" s="464"/>
      <c r="L5" s="58"/>
    </row>
    <row r="6" spans="1:12">
      <c r="A6" s="540"/>
      <c r="B6" s="543">
        <v>46054</v>
      </c>
      <c r="C6" s="508">
        <v>69868899</v>
      </c>
      <c r="D6" s="508">
        <v>8604939</v>
      </c>
      <c r="E6" s="508">
        <v>6176182</v>
      </c>
      <c r="F6" s="508">
        <v>927203.98</v>
      </c>
      <c r="G6" s="549">
        <f t="shared" ref="G6:G15" si="0">SUM(C6:F6)</f>
        <v>85577223.980000004</v>
      </c>
      <c r="H6" s="508">
        <v>134173.17823043722</v>
      </c>
      <c r="I6" s="549">
        <f t="shared" ref="I6:I16" si="1">SUM(G6:H6)</f>
        <v>85711397.158230439</v>
      </c>
      <c r="J6" s="508">
        <v>1385592.3554999998</v>
      </c>
      <c r="K6" s="464"/>
      <c r="L6" s="58"/>
    </row>
    <row r="7" spans="1:12">
      <c r="A7" s="540"/>
      <c r="B7" s="543">
        <v>46082</v>
      </c>
      <c r="C7" s="508">
        <v>71502052</v>
      </c>
      <c r="D7" s="508">
        <v>8691253</v>
      </c>
      <c r="E7" s="508">
        <v>6108175</v>
      </c>
      <c r="F7" s="508">
        <v>759178.75</v>
      </c>
      <c r="G7" s="549">
        <f t="shared" si="0"/>
        <v>87060658.75</v>
      </c>
      <c r="H7" s="508">
        <v>134173.17823043722</v>
      </c>
      <c r="I7" s="549">
        <f t="shared" si="1"/>
        <v>87194831.928230435</v>
      </c>
      <c r="J7" s="508">
        <v>1479447.88475</v>
      </c>
      <c r="K7" s="464"/>
      <c r="L7" s="58"/>
    </row>
    <row r="8" spans="1:12">
      <c r="A8" s="540"/>
      <c r="B8" s="543">
        <v>46113</v>
      </c>
      <c r="C8" s="508">
        <v>71879454</v>
      </c>
      <c r="D8" s="508">
        <v>8673652</v>
      </c>
      <c r="E8" s="508">
        <v>6142729</v>
      </c>
      <c r="F8" s="508">
        <v>770270.58</v>
      </c>
      <c r="G8" s="549">
        <f t="shared" si="0"/>
        <v>87466105.579999998</v>
      </c>
      <c r="H8" s="508">
        <v>134181.78333234283</v>
      </c>
      <c r="I8" s="549">
        <f t="shared" si="1"/>
        <v>87600287.363332346</v>
      </c>
      <c r="J8" s="508">
        <v>1608930.6407499998</v>
      </c>
      <c r="K8" s="464"/>
      <c r="L8" s="58"/>
    </row>
    <row r="9" spans="1:12">
      <c r="A9" s="540"/>
      <c r="B9" s="543">
        <v>46143</v>
      </c>
      <c r="C9" s="508">
        <v>71230822</v>
      </c>
      <c r="D9" s="508">
        <v>8562393</v>
      </c>
      <c r="E9" s="508">
        <v>6179980</v>
      </c>
      <c r="F9" s="508">
        <v>805620.94000000006</v>
      </c>
      <c r="G9" s="549">
        <f t="shared" si="0"/>
        <v>86778815.939999998</v>
      </c>
      <c r="H9" s="508">
        <v>134181.78333234283</v>
      </c>
      <c r="I9" s="549">
        <f t="shared" si="1"/>
        <v>86912997.723332345</v>
      </c>
      <c r="J9" s="508">
        <v>1624191.9272499997</v>
      </c>
      <c r="K9" s="464"/>
      <c r="L9" s="58"/>
    </row>
    <row r="10" spans="1:12">
      <c r="A10" s="540"/>
      <c r="B10" s="543">
        <v>46174</v>
      </c>
      <c r="C10" s="508">
        <v>72674730</v>
      </c>
      <c r="D10" s="508">
        <v>8692824</v>
      </c>
      <c r="E10" s="508">
        <v>6353198</v>
      </c>
      <c r="F10" s="508">
        <v>795637.36</v>
      </c>
      <c r="G10" s="549">
        <f t="shared" si="0"/>
        <v>88516389.359999999</v>
      </c>
      <c r="H10" s="508">
        <v>134181.78333234283</v>
      </c>
      <c r="I10" s="549">
        <f t="shared" si="1"/>
        <v>88650571.143332347</v>
      </c>
      <c r="J10" s="508">
        <v>1569268.6244999995</v>
      </c>
      <c r="K10" s="464"/>
      <c r="L10" s="58"/>
    </row>
    <row r="11" spans="1:12">
      <c r="A11" s="540"/>
      <c r="B11" s="543">
        <v>46204</v>
      </c>
      <c r="C11" s="508">
        <v>71929249</v>
      </c>
      <c r="D11" s="508">
        <v>8551193</v>
      </c>
      <c r="E11" s="508">
        <v>6349993</v>
      </c>
      <c r="F11" s="508">
        <v>890873.31</v>
      </c>
      <c r="G11" s="549">
        <f t="shared" si="0"/>
        <v>87721308.310000002</v>
      </c>
      <c r="H11" s="508">
        <v>134181.78333234283</v>
      </c>
      <c r="I11" s="549">
        <f t="shared" si="1"/>
        <v>87855490.09333235</v>
      </c>
      <c r="J11" s="508">
        <v>2325053.2024437487</v>
      </c>
      <c r="K11" s="464"/>
      <c r="L11" s="58"/>
    </row>
    <row r="12" spans="1:12">
      <c r="A12" s="540"/>
      <c r="B12" s="543">
        <v>46235</v>
      </c>
      <c r="C12" s="508">
        <v>72493900</v>
      </c>
      <c r="D12" s="508">
        <v>8554863</v>
      </c>
      <c r="E12" s="508">
        <v>6647779</v>
      </c>
      <c r="F12" s="508">
        <v>929276.72</v>
      </c>
      <c r="G12" s="549">
        <f t="shared" si="0"/>
        <v>88625818.719999999</v>
      </c>
      <c r="H12" s="508">
        <v>134181.78333234283</v>
      </c>
      <c r="I12" s="549">
        <f t="shared" si="1"/>
        <v>88760000.503332347</v>
      </c>
      <c r="J12" s="508">
        <v>1569578.8758562501</v>
      </c>
      <c r="K12" s="464"/>
      <c r="L12" s="58"/>
    </row>
    <row r="13" spans="1:12">
      <c r="A13" s="540"/>
      <c r="B13" s="543">
        <v>46266</v>
      </c>
      <c r="C13" s="508">
        <v>73778763</v>
      </c>
      <c r="D13" s="508">
        <v>8621627</v>
      </c>
      <c r="E13" s="508">
        <v>6828799</v>
      </c>
      <c r="F13" s="508">
        <v>784978.07000000007</v>
      </c>
      <c r="G13" s="549">
        <f t="shared" si="0"/>
        <v>90014167.069999993</v>
      </c>
      <c r="H13" s="508">
        <v>134181.78333234283</v>
      </c>
      <c r="I13" s="549">
        <f t="shared" si="1"/>
        <v>90148348.853332341</v>
      </c>
      <c r="J13" s="508">
        <v>1280017.3803562508</v>
      </c>
      <c r="K13" s="464"/>
      <c r="L13" s="58"/>
    </row>
    <row r="14" spans="1:12">
      <c r="A14" s="540"/>
      <c r="B14" s="543">
        <v>46296</v>
      </c>
      <c r="C14" s="508">
        <v>73456838</v>
      </c>
      <c r="D14" s="508">
        <v>8557754</v>
      </c>
      <c r="E14" s="508">
        <v>7220384</v>
      </c>
      <c r="F14" s="508">
        <v>842276.68</v>
      </c>
      <c r="G14" s="549">
        <f t="shared" si="0"/>
        <v>90077252.680000007</v>
      </c>
      <c r="H14" s="508">
        <v>395347.51763234288</v>
      </c>
      <c r="I14" s="549">
        <f t="shared" si="1"/>
        <v>90472600.197632343</v>
      </c>
      <c r="J14" s="508">
        <v>1584699.3552875004</v>
      </c>
      <c r="K14" s="464"/>
      <c r="L14" s="58"/>
    </row>
    <row r="15" spans="1:12">
      <c r="A15" s="540"/>
      <c r="B15" s="543">
        <v>46327</v>
      </c>
      <c r="C15" s="508">
        <v>73044716</v>
      </c>
      <c r="D15" s="508">
        <v>8424811</v>
      </c>
      <c r="E15" s="508">
        <v>7337141</v>
      </c>
      <c r="F15" s="508">
        <v>790075.49</v>
      </c>
      <c r="G15" s="549">
        <f t="shared" si="0"/>
        <v>89596743.489999995</v>
      </c>
      <c r="H15" s="508">
        <v>134181.78333234283</v>
      </c>
      <c r="I15" s="549">
        <f t="shared" si="1"/>
        <v>89730925.273332343</v>
      </c>
      <c r="J15" s="508">
        <v>1428439.5313187481</v>
      </c>
      <c r="K15" s="464"/>
      <c r="L15" s="58"/>
    </row>
    <row r="16" spans="1:12">
      <c r="A16" s="540"/>
      <c r="B16" s="543">
        <v>46357</v>
      </c>
      <c r="C16" s="492">
        <v>75272333</v>
      </c>
      <c r="D16" s="508">
        <v>8635215</v>
      </c>
      <c r="E16" s="508">
        <v>7803895</v>
      </c>
      <c r="F16" s="508">
        <v>844028.42</v>
      </c>
      <c r="G16" s="492">
        <f>SUM(C16:F16)</f>
        <v>92555471.420000002</v>
      </c>
      <c r="H16" s="508">
        <v>134181.78333234283</v>
      </c>
      <c r="I16" s="549">
        <f t="shared" si="1"/>
        <v>92689653.20333235</v>
      </c>
      <c r="J16" s="508">
        <v>588032.01783749694</v>
      </c>
      <c r="K16" s="464"/>
      <c r="L16" s="58"/>
    </row>
    <row r="17" spans="2:12">
      <c r="B17" s="3" t="s">
        <v>15</v>
      </c>
      <c r="C17" s="550">
        <f>ROUND(SUM(C5:C16),0)</f>
        <v>866532027</v>
      </c>
      <c r="D17" s="550">
        <f t="shared" ref="D17:I17" si="2">ROUND(SUM(D5:D16),0)</f>
        <v>103166562</v>
      </c>
      <c r="E17" s="550">
        <f t="shared" si="2"/>
        <v>79573703</v>
      </c>
      <c r="F17" s="550">
        <f t="shared" si="2"/>
        <v>10000000</v>
      </c>
      <c r="G17" s="550">
        <f t="shared" si="2"/>
        <v>1059272292</v>
      </c>
      <c r="H17" s="550">
        <f t="shared" si="2"/>
        <v>1871321</v>
      </c>
      <c r="I17" s="550">
        <f t="shared" si="2"/>
        <v>1061143613</v>
      </c>
      <c r="J17" s="550">
        <f t="shared" ref="J17" si="3">ROUND(SUM(J5:J16),0)</f>
        <v>18273513</v>
      </c>
      <c r="K17" s="464"/>
      <c r="L17" s="58"/>
    </row>
    <row r="18" spans="2:12">
      <c r="C18" s="388"/>
      <c r="D18" s="532"/>
      <c r="E18" s="388"/>
      <c r="F18" s="388"/>
      <c r="H18" s="388"/>
      <c r="J18" s="526"/>
    </row>
    <row r="19" spans="2:12">
      <c r="B19" s="455"/>
      <c r="C19" s="524"/>
      <c r="D19" s="524"/>
      <c r="E19" s="524"/>
      <c r="F19" s="524"/>
      <c r="G19" s="525"/>
      <c r="H19" s="524"/>
      <c r="I19" s="524"/>
      <c r="J19" s="524"/>
      <c r="K19" s="390"/>
    </row>
  </sheetData>
  <pageMargins left="0.7" right="0.7" top="0.75" bottom="0.75" header="0.3" footer="0.3"/>
  <pageSetup scale="75" orientation="landscape" verticalDpi="597" r:id="rId1"/>
  <headerFooter>
    <oddHeader>&amp;R&amp;A</oddHeader>
  </headerFooter>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4EEF9-6D25-441C-825B-08CCD375272B}">
  <sheetPr codeName="Sheet11">
    <pageSetUpPr fitToPage="1"/>
  </sheetPr>
  <dimension ref="A3:I45"/>
  <sheetViews>
    <sheetView zoomScaleNormal="100" zoomScaleSheetLayoutView="100" workbookViewId="0">
      <selection activeCell="C37" sqref="C37"/>
    </sheetView>
  </sheetViews>
  <sheetFormatPr defaultColWidth="9.140625" defaultRowHeight="15"/>
  <cols>
    <col min="1" max="1" width="47.140625" style="4" bestFit="1" customWidth="1"/>
    <col min="2" max="2" width="9.140625" style="4"/>
    <col min="3" max="3" width="14.7109375" style="5" customWidth="1"/>
    <col min="4" max="5" width="14.7109375" style="4" customWidth="1"/>
    <col min="6" max="6" width="14.5703125" style="4" bestFit="1" customWidth="1"/>
    <col min="7" max="7" width="9.140625" style="4"/>
    <col min="8" max="8" width="15" style="4" bestFit="1" customWidth="1"/>
    <col min="9" max="9" width="11.28515625" style="4" bestFit="1" customWidth="1"/>
    <col min="10" max="16384" width="9.140625" style="4"/>
  </cols>
  <sheetData>
    <row r="3" spans="1:8">
      <c r="A3" s="34" t="s">
        <v>5</v>
      </c>
      <c r="B3" s="484"/>
      <c r="C3" s="416"/>
      <c r="D3" s="484"/>
      <c r="E3" s="484"/>
    </row>
    <row r="4" spans="1:8">
      <c r="A4" s="484" t="s">
        <v>378</v>
      </c>
      <c r="B4" s="484"/>
      <c r="C4" s="416"/>
      <c r="D4" s="484"/>
      <c r="E4" s="484"/>
    </row>
    <row r="5" spans="1:8">
      <c r="A5" s="484" t="s">
        <v>1246</v>
      </c>
      <c r="B5" s="484"/>
      <c r="C5" s="416"/>
      <c r="D5" s="484"/>
      <c r="E5" s="484"/>
    </row>
    <row r="6" spans="1:8">
      <c r="A6" s="484"/>
      <c r="B6" s="484"/>
      <c r="C6" s="416"/>
      <c r="D6" s="484"/>
      <c r="E6" s="484"/>
    </row>
    <row r="7" spans="1:8" ht="12.75">
      <c r="A7" s="484" t="s">
        <v>379</v>
      </c>
      <c r="B7" s="484"/>
      <c r="C7" s="485">
        <f>'ATC Attach O ER22-1602'!I209</f>
        <v>469140300.32271814</v>
      </c>
      <c r="D7" s="484"/>
      <c r="E7" s="484"/>
    </row>
    <row r="8" spans="1:8" ht="12.75">
      <c r="A8" s="484" t="s">
        <v>380</v>
      </c>
      <c r="B8" s="484"/>
      <c r="C8" s="486">
        <v>96183657.201031059</v>
      </c>
      <c r="D8" s="484"/>
      <c r="E8" s="484"/>
    </row>
    <row r="9" spans="1:8">
      <c r="A9" s="484" t="s">
        <v>381</v>
      </c>
      <c r="B9" s="484"/>
      <c r="C9" s="487">
        <v>0</v>
      </c>
      <c r="D9" s="484"/>
      <c r="E9" s="484"/>
      <c r="H9" s="40"/>
    </row>
    <row r="10" spans="1:8" ht="12.75">
      <c r="A10" s="484" t="s">
        <v>382</v>
      </c>
      <c r="B10" s="484"/>
      <c r="C10" s="488">
        <f>SUM(C7:C9)</f>
        <v>565323957.52374923</v>
      </c>
      <c r="D10" s="484"/>
      <c r="E10" s="484"/>
      <c r="H10" s="40"/>
    </row>
    <row r="11" spans="1:8">
      <c r="A11" s="484"/>
      <c r="B11" s="484"/>
      <c r="C11" s="489"/>
      <c r="D11" s="484"/>
      <c r="E11" s="490"/>
      <c r="F11" s="900"/>
      <c r="G11" s="484"/>
      <c r="H11" s="40"/>
    </row>
    <row r="12" spans="1:8" ht="12.75">
      <c r="A12" s="484" t="s">
        <v>383</v>
      </c>
      <c r="B12" s="491">
        <f>'ATC Attach O ER22-1602'!I286</f>
        <v>2.4216044302099851E-2</v>
      </c>
      <c r="C12" s="484"/>
      <c r="D12" s="484"/>
      <c r="E12" s="490"/>
      <c r="F12" s="900"/>
      <c r="G12" s="484"/>
      <c r="H12" s="40"/>
    </row>
    <row r="13" spans="1:8" ht="12.75">
      <c r="A13" s="484" t="s">
        <v>384</v>
      </c>
      <c r="B13" s="491">
        <f>'ATC Attach O ER22-1602'!I289</f>
        <v>7.6616044302099853E-2</v>
      </c>
      <c r="C13" s="484"/>
      <c r="D13" s="484"/>
      <c r="E13" s="490"/>
      <c r="F13" s="900"/>
      <c r="H13" s="40"/>
    </row>
    <row r="14" spans="1:8" ht="12.75">
      <c r="A14" s="484" t="s">
        <v>385</v>
      </c>
      <c r="B14" s="484"/>
      <c r="C14" s="492">
        <f>B12/B13*C7</f>
        <v>148281243.17825165</v>
      </c>
      <c r="D14" s="484"/>
      <c r="E14" s="493"/>
      <c r="H14" s="40"/>
    </row>
    <row r="15" spans="1:8" ht="12.75">
      <c r="A15" s="484" t="s">
        <v>386</v>
      </c>
      <c r="B15" s="484"/>
      <c r="C15" s="488">
        <f>C10-C14</f>
        <v>417042714.34549761</v>
      </c>
      <c r="D15" s="484"/>
      <c r="E15" s="484"/>
      <c r="H15" s="40"/>
    </row>
    <row r="16" spans="1:8">
      <c r="A16" s="484"/>
      <c r="B16" s="484"/>
      <c r="C16" s="489"/>
      <c r="D16" s="484"/>
      <c r="E16" s="484"/>
      <c r="H16" s="40"/>
    </row>
    <row r="17" spans="1:9" ht="12.75">
      <c r="A17" s="484" t="s">
        <v>387</v>
      </c>
      <c r="B17" s="484"/>
      <c r="C17" s="494">
        <f>C7*C24</f>
        <v>412924570.66653264</v>
      </c>
      <c r="D17" s="484"/>
      <c r="E17" s="484"/>
      <c r="H17" s="40"/>
    </row>
    <row r="18" spans="1:9" ht="12.75">
      <c r="A18" s="484" t="s">
        <v>388</v>
      </c>
      <c r="B18" s="484"/>
      <c r="C18" s="491">
        <f>C37</f>
        <v>7.4003450600000006E-2</v>
      </c>
      <c r="D18" s="484"/>
      <c r="E18" s="492"/>
      <c r="H18" s="49"/>
    </row>
    <row r="19" spans="1:9" ht="12.75">
      <c r="A19" s="484" t="s">
        <v>389</v>
      </c>
      <c r="B19" s="484"/>
      <c r="C19" s="488">
        <f>+C17*C18</f>
        <v>30557843.066846959</v>
      </c>
      <c r="D19" s="484"/>
      <c r="E19" s="484"/>
      <c r="H19" s="40"/>
    </row>
    <row r="20" spans="1:9">
      <c r="A20" s="484"/>
      <c r="B20" s="484"/>
      <c r="C20" s="416"/>
      <c r="D20" s="484"/>
      <c r="E20" s="484"/>
      <c r="H20" s="40"/>
    </row>
    <row r="21" spans="1:9" ht="13.5" thickBot="1">
      <c r="A21" s="484" t="s">
        <v>390</v>
      </c>
      <c r="B21" s="484"/>
      <c r="C21" s="424">
        <f>+C19/C17</f>
        <v>7.4003450600000006E-2</v>
      </c>
      <c r="D21" s="484"/>
      <c r="E21" s="495"/>
      <c r="F21" s="495"/>
      <c r="G21" s="495"/>
      <c r="H21" s="521"/>
      <c r="I21" s="522"/>
    </row>
    <row r="22" spans="1:9" ht="15.75" thickTop="1">
      <c r="A22" s="484"/>
      <c r="B22" s="484"/>
      <c r="C22" s="416"/>
      <c r="D22" s="484"/>
      <c r="E22" s="484"/>
      <c r="H22" s="40"/>
    </row>
    <row r="23" spans="1:9" ht="12.75">
      <c r="A23" s="484"/>
      <c r="B23" s="484"/>
      <c r="C23" s="484"/>
      <c r="D23" s="484"/>
      <c r="E23" s="484"/>
    </row>
    <row r="24" spans="1:9" ht="12.75">
      <c r="A24" s="430" t="s">
        <v>391</v>
      </c>
      <c r="B24" s="484"/>
      <c r="C24" s="491">
        <v>0.88017288299999996</v>
      </c>
      <c r="D24" s="484"/>
      <c r="E24" s="484"/>
    </row>
    <row r="25" spans="1:9" ht="12.75">
      <c r="A25" s="484"/>
      <c r="B25" s="484"/>
      <c r="C25" s="484"/>
      <c r="D25" s="484"/>
      <c r="E25" s="484"/>
    </row>
    <row r="26" spans="1:9" ht="12.75">
      <c r="A26" s="430" t="s">
        <v>1070</v>
      </c>
      <c r="B26" s="484"/>
      <c r="C26" s="491">
        <v>0.21</v>
      </c>
      <c r="D26" s="484"/>
      <c r="E26" s="484"/>
    </row>
    <row r="27" spans="1:9" ht="12.75">
      <c r="A27" s="430"/>
      <c r="B27" s="484"/>
      <c r="C27" s="496"/>
      <c r="D27" s="484"/>
      <c r="E27" s="484"/>
    </row>
    <row r="28" spans="1:9" ht="38.25">
      <c r="A28" s="430" t="s">
        <v>392</v>
      </c>
      <c r="B28" s="484"/>
      <c r="C28" s="497" t="s">
        <v>393</v>
      </c>
      <c r="D28" s="551" t="s">
        <v>1050</v>
      </c>
      <c r="E28" s="551" t="s">
        <v>1051</v>
      </c>
    </row>
    <row r="29" spans="1:9" ht="12.75">
      <c r="A29" s="430"/>
      <c r="B29" s="484"/>
      <c r="C29" s="496"/>
      <c r="D29" s="430"/>
      <c r="E29" s="430"/>
    </row>
    <row r="30" spans="1:9" ht="12.75">
      <c r="A30" s="430" t="s">
        <v>394</v>
      </c>
      <c r="B30" s="484"/>
      <c r="C30" s="496">
        <f>E30*D30</f>
        <v>6.2480791899999999E-2</v>
      </c>
      <c r="D30" s="491">
        <v>7.9000000000000001E-2</v>
      </c>
      <c r="E30" s="498">
        <v>0.79089609999999999</v>
      </c>
    </row>
    <row r="31" spans="1:9" ht="12.75">
      <c r="A31" s="430" t="s">
        <v>395</v>
      </c>
      <c r="B31" s="484"/>
      <c r="C31" s="496">
        <f t="shared" ref="C31:C35" si="0">E31*D31</f>
        <v>5.4714772000000007E-3</v>
      </c>
      <c r="D31" s="491">
        <v>9.8000000000000004E-2</v>
      </c>
      <c r="E31" s="498">
        <v>5.5831400000000003E-2</v>
      </c>
    </row>
    <row r="32" spans="1:9" ht="12.75">
      <c r="A32" s="430" t="s">
        <v>396</v>
      </c>
      <c r="B32" s="484"/>
      <c r="C32" s="496">
        <f t="shared" si="0"/>
        <v>6.559275E-4</v>
      </c>
      <c r="D32" s="491">
        <v>9.5000000000000001E-2</v>
      </c>
      <c r="E32" s="498">
        <v>6.9045E-3</v>
      </c>
    </row>
    <row r="33" spans="1:5" ht="12.75">
      <c r="A33" s="430" t="s">
        <v>397</v>
      </c>
      <c r="B33" s="484"/>
      <c r="C33" s="496">
        <f t="shared" si="0"/>
        <v>0</v>
      </c>
      <c r="D33" s="491">
        <v>0</v>
      </c>
      <c r="E33" s="498">
        <v>0</v>
      </c>
    </row>
    <row r="34" spans="1:5" ht="12.75">
      <c r="A34" s="430" t="s">
        <v>398</v>
      </c>
      <c r="B34" s="484"/>
      <c r="C34" s="496">
        <f t="shared" si="0"/>
        <v>5.3952539999999995E-3</v>
      </c>
      <c r="D34" s="491">
        <v>0.06</v>
      </c>
      <c r="E34" s="498">
        <v>8.9920899999999998E-2</v>
      </c>
    </row>
    <row r="35" spans="1:5" ht="12.75">
      <c r="A35" s="430" t="s">
        <v>399</v>
      </c>
      <c r="B35" s="484"/>
      <c r="C35" s="496">
        <f t="shared" si="0"/>
        <v>0</v>
      </c>
      <c r="D35" s="491">
        <v>0.03</v>
      </c>
      <c r="E35" s="498">
        <v>0</v>
      </c>
    </row>
    <row r="36" spans="1:5" ht="12.75">
      <c r="A36" s="425"/>
      <c r="B36" s="484"/>
      <c r="C36" s="430"/>
      <c r="D36" s="499"/>
      <c r="E36" s="499"/>
    </row>
    <row r="37" spans="1:5" ht="13.5" thickBot="1">
      <c r="A37" s="4" t="s">
        <v>1071</v>
      </c>
      <c r="B37" s="484"/>
      <c r="C37" s="424">
        <f>SUM(C30:C36)</f>
        <v>7.4003450600000006E-2</v>
      </c>
      <c r="D37" s="499"/>
      <c r="E37" s="500">
        <f>SUM(E30:E36)</f>
        <v>0.94355289999999992</v>
      </c>
    </row>
    <row r="38" spans="1:5" ht="15.75" thickTop="1">
      <c r="A38" s="425"/>
      <c r="B38" s="484"/>
      <c r="C38" s="416"/>
      <c r="D38" s="484"/>
      <c r="E38" s="484"/>
    </row>
    <row r="39" spans="1:5">
      <c r="A39" s="52" t="s">
        <v>400</v>
      </c>
      <c r="B39" s="484"/>
      <c r="C39" s="416"/>
      <c r="D39" s="484"/>
      <c r="E39" s="484"/>
    </row>
    <row r="40" spans="1:5">
      <c r="A40" s="430"/>
      <c r="B40" s="484"/>
      <c r="C40" s="416"/>
      <c r="D40" s="484"/>
      <c r="E40" s="484"/>
    </row>
    <row r="41" spans="1:5">
      <c r="A41" s="430" t="s">
        <v>401</v>
      </c>
      <c r="B41" s="484"/>
      <c r="C41" s="416"/>
      <c r="D41" s="484"/>
      <c r="E41" s="484"/>
    </row>
    <row r="42" spans="1:5">
      <c r="A42" s="484"/>
      <c r="B42" s="484"/>
      <c r="C42" s="416"/>
      <c r="D42" s="484"/>
      <c r="E42" s="484"/>
    </row>
    <row r="44" spans="1:5">
      <c r="C44" s="4"/>
      <c r="D44" s="58"/>
      <c r="E44" s="58"/>
    </row>
    <row r="45" spans="1:5">
      <c r="C45" s="4"/>
      <c r="D45" s="429"/>
      <c r="E45" s="58"/>
    </row>
  </sheetData>
  <pageMargins left="0.7" right="0.7" top="0.75" bottom="0.75" header="0.3" footer="0.3"/>
  <pageSetup scale="90" orientation="portrait"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CD982-4072-4CB7-9D03-8D5E8AD2E9FC}">
  <sheetPr codeName="Sheet12">
    <pageSetUpPr fitToPage="1"/>
  </sheetPr>
  <dimension ref="A1:G28"/>
  <sheetViews>
    <sheetView zoomScaleNormal="100" zoomScaleSheetLayoutView="100" workbookViewId="0">
      <selection activeCell="D24" sqref="D24"/>
    </sheetView>
  </sheetViews>
  <sheetFormatPr defaultColWidth="9.140625" defaultRowHeight="15"/>
  <cols>
    <col min="1" max="1" width="45.28515625" style="552" bestFit="1" customWidth="1"/>
    <col min="2" max="2" width="11.28515625" style="4" customWidth="1"/>
    <col min="3" max="3" width="9.140625" style="4"/>
    <col min="4" max="4" width="15" style="5" customWidth="1"/>
    <col min="5" max="5" width="13.28515625" style="4" customWidth="1"/>
    <col min="6" max="16384" width="9.140625" style="4"/>
  </cols>
  <sheetData>
    <row r="1" spans="1:4" ht="12.75">
      <c r="D1" s="48"/>
    </row>
    <row r="3" spans="1:4">
      <c r="A3" s="553"/>
      <c r="B3" s="484"/>
      <c r="C3" s="484"/>
      <c r="D3" s="416"/>
    </row>
    <row r="4" spans="1:4">
      <c r="A4" s="554" t="s">
        <v>5</v>
      </c>
      <c r="B4" s="484"/>
      <c r="C4" s="484"/>
      <c r="D4" s="416"/>
    </row>
    <row r="5" spans="1:4">
      <c r="A5" s="553" t="s">
        <v>402</v>
      </c>
      <c r="B5" s="484"/>
      <c r="C5" s="484"/>
      <c r="D5" s="416"/>
    </row>
    <row r="6" spans="1:4">
      <c r="A6" s="553" t="s">
        <v>1246</v>
      </c>
      <c r="B6" s="484"/>
      <c r="C6" s="484"/>
      <c r="D6" s="416"/>
    </row>
    <row r="7" spans="1:4">
      <c r="A7" s="553"/>
      <c r="B7" s="484"/>
      <c r="C7" s="484"/>
      <c r="D7" s="416"/>
    </row>
    <row r="8" spans="1:4">
      <c r="A8" s="553"/>
      <c r="B8" s="484"/>
      <c r="C8" s="484"/>
      <c r="D8" s="416"/>
    </row>
    <row r="9" spans="1:4">
      <c r="A9" s="553"/>
      <c r="B9" s="484"/>
      <c r="C9" s="484"/>
      <c r="D9" s="416"/>
    </row>
    <row r="10" spans="1:4">
      <c r="A10" s="553"/>
      <c r="B10" s="484"/>
      <c r="C10" s="484"/>
      <c r="D10" s="416"/>
    </row>
    <row r="11" spans="1:4" ht="12.75">
      <c r="A11" s="553" t="s">
        <v>403</v>
      </c>
      <c r="B11" s="484"/>
      <c r="C11" s="484"/>
      <c r="D11" s="485">
        <f>+'SIT (pg. 5)'!C7</f>
        <v>469140300.32271814</v>
      </c>
    </row>
    <row r="12" spans="1:4">
      <c r="A12" s="553"/>
      <c r="B12" s="484"/>
      <c r="C12" s="484"/>
      <c r="D12" s="416"/>
    </row>
    <row r="13" spans="1:4">
      <c r="A13" s="553" t="s">
        <v>404</v>
      </c>
      <c r="B13" s="484"/>
      <c r="C13" s="491">
        <f>'ATC Attach O ER22-1602'!I288</f>
        <v>5.2400000000000002E-2</v>
      </c>
      <c r="D13" s="416"/>
    </row>
    <row r="14" spans="1:4">
      <c r="A14" s="553" t="s">
        <v>384</v>
      </c>
      <c r="B14" s="484"/>
      <c r="C14" s="491">
        <f>'ATC Attach O ER22-1602'!I289</f>
        <v>7.6616044302099853E-2</v>
      </c>
      <c r="D14" s="416"/>
    </row>
    <row r="15" spans="1:4" ht="12.75">
      <c r="A15" s="553" t="s">
        <v>405</v>
      </c>
      <c r="B15" s="484"/>
      <c r="C15" s="484"/>
      <c r="D15" s="501">
        <f>+C13/C14</f>
        <v>0.68392985408362894</v>
      </c>
    </row>
    <row r="16" spans="1:4">
      <c r="A16" s="553"/>
      <c r="B16" s="484"/>
      <c r="C16" s="484"/>
      <c r="D16" s="416"/>
    </row>
    <row r="17" spans="1:7" ht="12.75">
      <c r="A17" s="553" t="s">
        <v>406</v>
      </c>
      <c r="B17" s="484"/>
      <c r="C17" s="484"/>
      <c r="D17" s="485">
        <f>+D11*D15</f>
        <v>320859057.14446646</v>
      </c>
    </row>
    <row r="18" spans="1:7">
      <c r="A18" s="553"/>
      <c r="B18" s="484"/>
      <c r="C18" s="484"/>
      <c r="D18" s="489"/>
    </row>
    <row r="19" spans="1:7" ht="12.75">
      <c r="A19" s="553" t="s">
        <v>407</v>
      </c>
      <c r="B19" s="484"/>
      <c r="C19" s="484"/>
      <c r="D19" s="502">
        <f>+'SIT (pg. 5)'!C8</f>
        <v>96183657.201031059</v>
      </c>
    </row>
    <row r="20" spans="1:7">
      <c r="A20" s="553"/>
      <c r="B20" s="484"/>
      <c r="C20" s="484"/>
      <c r="D20" s="489"/>
    </row>
    <row r="21" spans="1:7" ht="12.75">
      <c r="A21" s="553" t="s">
        <v>408</v>
      </c>
      <c r="B21" s="484"/>
      <c r="C21" s="484"/>
      <c r="D21" s="485">
        <f>+D17+D19</f>
        <v>417042714.34549749</v>
      </c>
    </row>
    <row r="22" spans="1:7" ht="12.75">
      <c r="A22" s="553" t="s">
        <v>1076</v>
      </c>
      <c r="B22" s="484"/>
      <c r="C22" s="484"/>
      <c r="D22" s="485">
        <f>(D21-D19)*(1-'SIT (pg. 5)'!C24)</f>
        <v>38447615.780959673</v>
      </c>
      <c r="F22" s="44"/>
      <c r="G22" s="51"/>
    </row>
    <row r="23" spans="1:7">
      <c r="A23" s="553"/>
      <c r="B23" s="484"/>
      <c r="C23" s="484"/>
      <c r="D23" s="416"/>
    </row>
    <row r="24" spans="1:7" ht="13.5" thickBot="1">
      <c r="A24" s="553" t="s">
        <v>1072</v>
      </c>
      <c r="B24" s="484"/>
      <c r="C24" s="484"/>
      <c r="D24" s="424">
        <f>D22/D21</f>
        <v>9.2191074099685355E-2</v>
      </c>
      <c r="E24" s="53"/>
      <c r="F24" s="50"/>
    </row>
    <row r="25" spans="1:7" ht="15.75" thickTop="1"/>
    <row r="26" spans="1:7" ht="12.75">
      <c r="C26" s="50"/>
      <c r="D26" s="50"/>
    </row>
    <row r="27" spans="1:7" ht="12.75">
      <c r="C27" s="50"/>
      <c r="D27" s="54"/>
    </row>
    <row r="28" spans="1:7">
      <c r="D28" s="420"/>
    </row>
  </sheetData>
  <pageMargins left="0.7" right="0.7" top="0.75" bottom="0.75" header="0.3" footer="0.3"/>
  <pageSetup orientation="portrait" r:id="rId1"/>
  <headerFooter>
    <oddHeader>&amp;R&amp;A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5C291A95834D4D87896C39035C5177" ma:contentTypeVersion="6" ma:contentTypeDescription="Create a new document." ma:contentTypeScope="" ma:versionID="ebbd58aa8ab6ae9dba38864d3b202e3e">
  <xsd:schema xmlns:xsd="http://www.w3.org/2001/XMLSchema" xmlns:xs="http://www.w3.org/2001/XMLSchema" xmlns:p="http://schemas.microsoft.com/office/2006/metadata/properties" xmlns:ns2="ad6aa2ea-640a-42ed-8437-dfceffdc2f71" xmlns:ns3="0f99423a-fa36-4329-9e64-a04e8f1a65ce" targetNamespace="http://schemas.microsoft.com/office/2006/metadata/properties" ma:root="true" ma:fieldsID="6a395b4516b4f64905da7e6f133f5cfa" ns2:_="" ns3:_="">
    <xsd:import namespace="ad6aa2ea-640a-42ed-8437-dfceffdc2f71"/>
    <xsd:import namespace="0f99423a-fa36-4329-9e64-a04e8f1a65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6aa2ea-640a-42ed-8437-dfceffdc2f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99423a-fa36-4329-9e64-a04e8f1a65c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9A4727-A58B-486D-AE83-C4FFFF2986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6aa2ea-640a-42ed-8437-dfceffdc2f71"/>
    <ds:schemaRef ds:uri="0f99423a-fa36-4329-9e64-a04e8f1a65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798C86-996A-4366-8394-09B6C93048E0}">
  <ds:schemaRef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 ds:uri="http://purl.org/dc/terms/"/>
    <ds:schemaRef ds:uri="http://schemas.microsoft.com/office/infopath/2007/PartnerControls"/>
    <ds:schemaRef ds:uri="ad6aa2ea-640a-42ed-8437-dfceffdc2f71"/>
  </ds:schemaRefs>
</ds:datastoreItem>
</file>

<file path=customXml/itemProps3.xml><?xml version="1.0" encoding="utf-8"?>
<ds:datastoreItem xmlns:ds="http://schemas.openxmlformats.org/officeDocument/2006/customXml" ds:itemID="{EB01102A-55E6-44E8-8FA3-30843A4341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26</vt:i4>
      </vt:variant>
    </vt:vector>
  </HeadingPairs>
  <TitlesOfParts>
    <vt:vector size="54" baseType="lpstr">
      <vt:lpstr>ATC Attach O ER22-1602</vt:lpstr>
      <vt:lpstr>Plant Balances (pg. 2) </vt:lpstr>
      <vt:lpstr>Deferred Taxes (pg. 2)</vt:lpstr>
      <vt:lpstr>Expense (pg. 3) </vt:lpstr>
      <vt:lpstr>Wages &amp; Salaries (pg. 4)</vt:lpstr>
      <vt:lpstr>Wgt. Avg Debt Rate (pg.4)</vt:lpstr>
      <vt:lpstr>Revenue (pg.4)</vt:lpstr>
      <vt:lpstr>SIT (pg. 5)</vt:lpstr>
      <vt:lpstr>TEP (pg. 5)</vt:lpstr>
      <vt:lpstr>Software-Comm Equip</vt:lpstr>
      <vt:lpstr>Precert Exp</vt:lpstr>
      <vt:lpstr>ATC Att GG ER21-2601</vt:lpstr>
      <vt:lpstr>GG Support Data</vt:lpstr>
      <vt:lpstr>GG True-up Template</vt:lpstr>
      <vt:lpstr>GG TU Interest</vt:lpstr>
      <vt:lpstr>GG Project Descriptions</vt:lpstr>
      <vt:lpstr>ATC Attach MM ER24-224</vt:lpstr>
      <vt:lpstr>MM Support Data</vt:lpstr>
      <vt:lpstr>MM True-up Template</vt:lpstr>
      <vt:lpstr>MM TU Interest</vt:lpstr>
      <vt:lpstr>MM Project Descriptions</vt:lpstr>
      <vt:lpstr>Gross Plant Reporting Form</vt:lpstr>
      <vt:lpstr>Sch 9</vt:lpstr>
      <vt:lpstr>Sch 7,8</vt:lpstr>
      <vt:lpstr>Sch 9 TU Interest</vt:lpstr>
      <vt:lpstr>Sch 1</vt:lpstr>
      <vt:lpstr>Sch 1 - True up</vt:lpstr>
      <vt:lpstr>Sch 1 TU Interest</vt:lpstr>
      <vt:lpstr>'ATC Att GG ER21-2601'!Print_Area</vt:lpstr>
      <vt:lpstr>'ATC Attach MM ER24-224'!Print_Area</vt:lpstr>
      <vt:lpstr>'ATC Attach O ER22-1602'!Print_Area</vt:lpstr>
      <vt:lpstr>'Deferred Taxes (pg. 2)'!Print_Area</vt:lpstr>
      <vt:lpstr>'Expense (pg. 3) '!Print_Area</vt:lpstr>
      <vt:lpstr>'GG Project Descriptions'!Print_Area</vt:lpstr>
      <vt:lpstr>'GG Support Data'!Print_Area</vt:lpstr>
      <vt:lpstr>'GG True-up Template'!Print_Area</vt:lpstr>
      <vt:lpstr>'GG TU Interest'!Print_Area</vt:lpstr>
      <vt:lpstr>'MM Project Descriptions'!Print_Area</vt:lpstr>
      <vt:lpstr>'MM Support Data'!Print_Area</vt:lpstr>
      <vt:lpstr>'MM True-up Template'!Print_Area</vt:lpstr>
      <vt:lpstr>'MM TU Interest'!Print_Area</vt:lpstr>
      <vt:lpstr>'Plant Balances (pg. 2) '!Print_Area</vt:lpstr>
      <vt:lpstr>'Precert Exp'!Print_Area</vt:lpstr>
      <vt:lpstr>'Revenue (pg.4)'!Print_Area</vt:lpstr>
      <vt:lpstr>'Sch 1 - True up'!Print_Area</vt:lpstr>
      <vt:lpstr>'Sch 1 TU Interest'!Print_Area</vt:lpstr>
      <vt:lpstr>'Sch 7,8'!Print_Area</vt:lpstr>
      <vt:lpstr>'Sch 9'!Print_Area</vt:lpstr>
      <vt:lpstr>'Sch 9 TU Interest'!Print_Area</vt:lpstr>
      <vt:lpstr>'SIT (pg. 5)'!Print_Area</vt:lpstr>
      <vt:lpstr>'TEP (pg. 5)'!Print_Area</vt:lpstr>
      <vt:lpstr>'Wages &amp; Salaries (pg. 4)'!Print_Area</vt:lpstr>
      <vt:lpstr>'Wgt. Avg Debt Rate (pg.4)'!Print_Area</vt:lpstr>
      <vt:lpstr>'GG Support Data'!Print_Titles</vt:lpstr>
    </vt:vector>
  </TitlesOfParts>
  <Company>American Transmission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Degenhardt, Michael</dc:creator>
  <cp:lastModifiedBy>Degenhardt, Michael</cp:lastModifiedBy>
  <cp:lastPrinted>2023-09-13T20:02:49Z</cp:lastPrinted>
  <dcterms:created xsi:type="dcterms:W3CDTF">2017-06-08T16:04:55Z</dcterms:created>
  <dcterms:modified xsi:type="dcterms:W3CDTF">2025-09-30T15:59:13Z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0x0101002B5C291A95834D4D87896C39035C5177</vt:lpwstr>
  </property>
  <property fmtid="{D5CDD505-2E9C-101B-9397-08002B2CF9AE}" pid="3" name="UIPAutoRefresh">
    <vt:lpwstr>1</vt:lpwstr>
  </property>
  <property fmtid="{D5CDD505-2E9C-101B-9397-08002B2CF9AE}" pid="4" name="MSIP_Label_1af6ed34-4f5d-4764-ba5e-30b50412c2a9_Enabled">
    <vt:lpwstr>true</vt:lpwstr>
  </property>
  <property fmtid="{D5CDD505-2E9C-101B-9397-08002B2CF9AE}" pid="5" name="MSIP_Label_1af6ed34-4f5d-4764-ba5e-30b50412c2a9_SetDate">
    <vt:lpwstr>2025-03-03T16:30:53Z</vt:lpwstr>
  </property>
  <property fmtid="{D5CDD505-2E9C-101B-9397-08002B2CF9AE}" pid="6" name="MSIP_Label_1af6ed34-4f5d-4764-ba5e-30b50412c2a9_Method">
    <vt:lpwstr>Standard</vt:lpwstr>
  </property>
  <property fmtid="{D5CDD505-2E9C-101B-9397-08002B2CF9AE}" pid="7" name="MSIP_Label_1af6ed34-4f5d-4764-ba5e-30b50412c2a9_Name">
    <vt:lpwstr>All_Employees_NDA</vt:lpwstr>
  </property>
  <property fmtid="{D5CDD505-2E9C-101B-9397-08002B2CF9AE}" pid="8" name="MSIP_Label_1af6ed34-4f5d-4764-ba5e-30b50412c2a9_SiteId">
    <vt:lpwstr>671a54b8-e008-40a8-9339-8ff98a1e76a7</vt:lpwstr>
  </property>
  <property fmtid="{D5CDD505-2E9C-101B-9397-08002B2CF9AE}" pid="9" name="MSIP_Label_1af6ed34-4f5d-4764-ba5e-30b50412c2a9_ActionId">
    <vt:lpwstr>7b07c1ac-6645-4122-8054-8b40dfef144a</vt:lpwstr>
  </property>
  <property fmtid="{D5CDD505-2E9C-101B-9397-08002B2CF9AE}" pid="10" name="MSIP_Label_1af6ed34-4f5d-4764-ba5e-30b50412c2a9_ContentBits">
    <vt:lpwstr>2</vt:lpwstr>
  </property>
</Properties>
</file>