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90" windowWidth="19440" windowHeight="11640" tabRatio="893"/>
  </bookViews>
  <sheets>
    <sheet name="Network True-up" sheetId="5" r:id="rId1"/>
    <sheet name="ATC Attach O ER13-1181" sheetId="1" r:id="rId2"/>
    <sheet name="Revenue Breakout" sheetId="22" r:id="rId3"/>
    <sheet name="ATC Attach GG ER13-2297" sheetId="2" r:id="rId4"/>
    <sheet name="ATC Attach MM ER13-12" sheetId="3" r:id="rId5"/>
    <sheet name="Sch 1 True-Up Adjustment" sheetId="21" r:id="rId6"/>
    <sheet name="Def. Tax Avg Calc" sheetId="14" r:id="rId7"/>
    <sheet name="Calc. of Wgt. Avg. Debt Rate" sheetId="13" r:id="rId8"/>
    <sheet name="Permanent" sheetId="10" r:id="rId9"/>
    <sheet name="Excess Deferreds" sheetId="23" r:id="rId10"/>
    <sheet name="SIT" sheetId="26" r:id="rId11"/>
    <sheet name="TEP" sheetId="25" r:id="rId12"/>
    <sheet name="2011 Schedule 26 True-Up" sheetId="15" r:id="rId13"/>
    <sheet name="Accounting Changes" sheetId="27" r:id="rId14"/>
  </sheets>
  <externalReferences>
    <externalReference r:id="rId15"/>
    <externalReference r:id="rId16"/>
    <externalReference r:id="rId17"/>
  </externalReferences>
  <definedNames>
    <definedName name="_1E_1">#N/A</definedName>
    <definedName name="_31_Dec_00">#REF!</definedName>
    <definedName name="_31_Jan_01">#REF!</definedName>
    <definedName name="Balances">#REF!</definedName>
    <definedName name="CH_COS">#REF!</definedName>
    <definedName name="ClearALL">#REF!</definedName>
    <definedName name="COA1Copy">#REF!</definedName>
    <definedName name="COA1Paste">#REF!</definedName>
    <definedName name="COA2Copy">#REF!</definedName>
    <definedName name="COA2Paste">#REF!</definedName>
    <definedName name="COAHardCode">#REF!</definedName>
    <definedName name="Columns">#REF!</definedName>
    <definedName name="Columns2">#REF!</definedName>
    <definedName name="ControlTotal">#REF!</definedName>
    <definedName name="Current_sum">#REF!</definedName>
    <definedName name="data_3">[1]Permanent!$A$9:$O$20</definedName>
    <definedName name="DefaultCopy">#REF!</definedName>
    <definedName name="DefaultPaste">#REF!</definedName>
    <definedName name="DefaultPaste2">#REF!</definedName>
    <definedName name="detail">#REF!</definedName>
    <definedName name="FCN">#REF!</definedName>
    <definedName name="GotoCo">#REF!</definedName>
    <definedName name="itc">#REF!</definedName>
    <definedName name="kk">#REF!</definedName>
    <definedName name="LDC">#REF!</definedName>
    <definedName name="Mgmt">[2]Current!#REF!</definedName>
    <definedName name="months">[1]Permanent!$A$24:$A$35</definedName>
    <definedName name="Net">#REF!</definedName>
    <definedName name="new">#REF!</definedName>
    <definedName name="NSP_COS">#REF!</definedName>
    <definedName name="PPJE">#REF!</definedName>
    <definedName name="_xlnm.Print_Area" localSheetId="3">'ATC Attach GG ER13-2297'!$A$1:$V$258</definedName>
    <definedName name="_xlnm.Print_Area" localSheetId="4">'ATC Attach MM ER13-12'!$A$1:$V$145</definedName>
    <definedName name="_xlnm.Print_Area" localSheetId="11">TEP!$A$1:$C$20</definedName>
    <definedName name="Print1">#REF!</definedName>
    <definedName name="Print3">#REF!</definedName>
    <definedName name="Print4">#REF!</definedName>
    <definedName name="Print5">#REF!</definedName>
    <definedName name="PrintJE">#REF!</definedName>
    <definedName name="ProjIDList">#REF!</definedName>
    <definedName name="PSCo_COS">#REF!</definedName>
    <definedName name="q_MTEP06_App_AB_Facility">#REF!</definedName>
    <definedName name="q_MTEP06_App_AB_Projects">#REF!</definedName>
    <definedName name="revreq">#REF!</definedName>
    <definedName name="SPS_COS">#REF!</definedName>
    <definedName name="taxcalc">#REF!</definedName>
    <definedName name="Tota_Deferred">#REF!</definedName>
    <definedName name="WOStatus">#REF!</definedName>
    <definedName name="WoTask">#REF!</definedName>
    <definedName name="Xcel">'[3]Data Entry and Forecaster'!#REF!</definedName>
    <definedName name="Xcel_COS">#REF!</definedName>
    <definedName name="Z_26693155_D691_4427_8747_8AAE3A06AD6E_.wvu.PrintArea" localSheetId="1" hidden="1">'ATC Attach O ER13-1181'!$A$1:$K$337</definedName>
  </definedNames>
  <calcPr calcId="145621"/>
</workbook>
</file>

<file path=xl/calcChain.xml><?xml version="1.0" encoding="utf-8"?>
<calcChain xmlns="http://schemas.openxmlformats.org/spreadsheetml/2006/main">
  <c r="H14" i="5" l="1"/>
  <c r="H12" i="5" s="1"/>
  <c r="H8" i="5"/>
  <c r="E20" i="25" l="1"/>
  <c r="E8" i="25"/>
  <c r="D313" i="1"/>
  <c r="C18" i="26"/>
  <c r="D16" i="26"/>
  <c r="D15" i="26"/>
  <c r="D14" i="26"/>
  <c r="D18" i="26" s="1"/>
  <c r="D13" i="26"/>
  <c r="D12" i="26"/>
  <c r="D11" i="26"/>
  <c r="D191" i="1" l="1"/>
  <c r="D19" i="23"/>
  <c r="C19" i="23"/>
  <c r="E18" i="23"/>
  <c r="E19" i="23" s="1"/>
  <c r="E10" i="23"/>
  <c r="E9" i="23"/>
  <c r="I235" i="1"/>
  <c r="Q73" i="3"/>
  <c r="F73" i="3"/>
  <c r="G75" i="3"/>
  <c r="V123" i="3"/>
  <c r="V124" i="3"/>
  <c r="V125" i="3"/>
  <c r="V127" i="3"/>
  <c r="V143" i="3" s="1"/>
  <c r="G129" i="3"/>
  <c r="H129" i="3"/>
  <c r="I129" i="3"/>
  <c r="J129" i="3"/>
  <c r="K129" i="3"/>
  <c r="L129" i="3"/>
  <c r="M129" i="3"/>
  <c r="N129" i="3"/>
  <c r="O129" i="3"/>
  <c r="P129" i="3"/>
  <c r="Q129" i="3"/>
  <c r="R129" i="3"/>
  <c r="S129" i="3"/>
  <c r="V132" i="3"/>
  <c r="V133" i="3"/>
  <c r="V135" i="3"/>
  <c r="P74" i="3" s="1"/>
  <c r="G137" i="3"/>
  <c r="H137" i="3"/>
  <c r="I137" i="3"/>
  <c r="J137" i="3"/>
  <c r="K137" i="3"/>
  <c r="L137" i="3"/>
  <c r="M137" i="3"/>
  <c r="N137" i="3"/>
  <c r="O137" i="3"/>
  <c r="P137" i="3"/>
  <c r="Q137" i="3"/>
  <c r="R137" i="3"/>
  <c r="S137" i="3"/>
  <c r="G139" i="3"/>
  <c r="G140" i="3"/>
  <c r="H140" i="3"/>
  <c r="I140" i="3"/>
  <c r="J140" i="3"/>
  <c r="K140" i="3"/>
  <c r="L140" i="3"/>
  <c r="M140" i="3"/>
  <c r="N140" i="3"/>
  <c r="O140" i="3"/>
  <c r="P140" i="3"/>
  <c r="Q140" i="3"/>
  <c r="R140" i="3"/>
  <c r="S140" i="3"/>
  <c r="G141" i="3"/>
  <c r="H141" i="3"/>
  <c r="I141" i="3"/>
  <c r="J141" i="3"/>
  <c r="J145" i="3" s="1"/>
  <c r="K141" i="3"/>
  <c r="L141" i="3"/>
  <c r="M141" i="3"/>
  <c r="N141" i="3"/>
  <c r="N145" i="3" s="1"/>
  <c r="O141" i="3"/>
  <c r="P141" i="3"/>
  <c r="Q141" i="3"/>
  <c r="R141" i="3"/>
  <c r="R145" i="3" s="1"/>
  <c r="S141" i="3"/>
  <c r="G142" i="3"/>
  <c r="H142" i="3"/>
  <c r="I142" i="3"/>
  <c r="J142" i="3"/>
  <c r="K142" i="3"/>
  <c r="L142" i="3"/>
  <c r="M142" i="3"/>
  <c r="N142" i="3"/>
  <c r="O142" i="3"/>
  <c r="P142" i="3"/>
  <c r="Q142" i="3"/>
  <c r="R142" i="3"/>
  <c r="S142" i="3"/>
  <c r="G143" i="3"/>
  <c r="H143" i="3"/>
  <c r="I143" i="3"/>
  <c r="J143" i="3"/>
  <c r="K143" i="3"/>
  <c r="L143" i="3"/>
  <c r="M143" i="3"/>
  <c r="N143" i="3"/>
  <c r="O143" i="3"/>
  <c r="P143" i="3"/>
  <c r="Q143" i="3"/>
  <c r="R143" i="3"/>
  <c r="S143" i="3"/>
  <c r="G144" i="3"/>
  <c r="G145" i="3" s="1"/>
  <c r="H144" i="3"/>
  <c r="I144" i="3"/>
  <c r="J144" i="3"/>
  <c r="K144" i="3"/>
  <c r="K145" i="3" s="1"/>
  <c r="L144" i="3"/>
  <c r="M144" i="3"/>
  <c r="N144" i="3"/>
  <c r="O144" i="3"/>
  <c r="O145" i="3" s="1"/>
  <c r="P144" i="3"/>
  <c r="Q144" i="3"/>
  <c r="R144" i="3"/>
  <c r="S144" i="3"/>
  <c r="S145" i="3" s="1"/>
  <c r="C10" i="25" l="1"/>
  <c r="C12" i="25" s="1"/>
  <c r="B19" i="23"/>
  <c r="F19" i="23"/>
  <c r="D20" i="23"/>
  <c r="G19" i="23"/>
  <c r="C21" i="23"/>
  <c r="C20" i="23"/>
  <c r="B20" i="23" s="1"/>
  <c r="V129" i="3"/>
  <c r="V145" i="3" s="1"/>
  <c r="F74" i="3"/>
  <c r="V137" i="3"/>
  <c r="M74" i="3" s="1"/>
  <c r="V141" i="3"/>
  <c r="P73" i="3"/>
  <c r="W143" i="3" s="1"/>
  <c r="I145" i="3"/>
  <c r="Q145" i="3"/>
  <c r="M145" i="3"/>
  <c r="P145" i="3"/>
  <c r="L145" i="3"/>
  <c r="H145" i="3"/>
  <c r="S139" i="3"/>
  <c r="K139" i="3"/>
  <c r="V140" i="3"/>
  <c r="H139" i="3"/>
  <c r="N139" i="3"/>
  <c r="Q139" i="3"/>
  <c r="M139" i="3"/>
  <c r="P139" i="3"/>
  <c r="O139" i="3"/>
  <c r="D21" i="23" l="1"/>
  <c r="F20" i="23"/>
  <c r="F21" i="23" s="1"/>
  <c r="G20" i="23"/>
  <c r="C22" i="23"/>
  <c r="E20" i="23"/>
  <c r="G74" i="3"/>
  <c r="M73" i="3"/>
  <c r="G73" i="3" s="1"/>
  <c r="L139" i="3"/>
  <c r="R139" i="3"/>
  <c r="W140" i="3"/>
  <c r="W145" i="3"/>
  <c r="F22" i="23" l="1"/>
  <c r="D22" i="23"/>
  <c r="B21" i="23"/>
  <c r="E21" i="23"/>
  <c r="E22" i="23" s="1"/>
  <c r="G21" i="23"/>
  <c r="C23" i="23"/>
  <c r="J139" i="3"/>
  <c r="F23" i="23" l="1"/>
  <c r="D23" i="23"/>
  <c r="E23" i="23" s="1"/>
  <c r="G22" i="23"/>
  <c r="G23" i="23" s="1"/>
  <c r="C24" i="23"/>
  <c r="B22" i="23"/>
  <c r="I139" i="3"/>
  <c r="V131" i="3"/>
  <c r="B23" i="23" l="1"/>
  <c r="D24" i="23"/>
  <c r="F24" i="23"/>
  <c r="C25" i="23"/>
  <c r="C26" i="23" s="1"/>
  <c r="V139" i="3"/>
  <c r="Q74" i="3"/>
  <c r="C27" i="23" l="1"/>
  <c r="F25" i="23"/>
  <c r="F26" i="23" s="1"/>
  <c r="D25" i="23"/>
  <c r="D26" i="23" s="1"/>
  <c r="B26" i="23" s="1"/>
  <c r="E24" i="23"/>
  <c r="E25" i="23" s="1"/>
  <c r="E26" i="23" s="1"/>
  <c r="G24" i="23"/>
  <c r="G25" i="23" s="1"/>
  <c r="G26" i="23" s="1"/>
  <c r="B25" i="23"/>
  <c r="D27" i="23"/>
  <c r="D28" i="23" s="1"/>
  <c r="D29" i="23" s="1"/>
  <c r="D30" i="23" s="1"/>
  <c r="D31" i="23" s="1"/>
  <c r="B24" i="23"/>
  <c r="W139" i="3"/>
  <c r="E27" i="23" l="1"/>
  <c r="F27" i="23"/>
  <c r="F28" i="23" s="1"/>
  <c r="B27" i="23"/>
  <c r="C28" i="23"/>
  <c r="D32" i="23"/>
  <c r="D33" i="23" s="1"/>
  <c r="D34" i="23" s="1"/>
  <c r="D35" i="23" s="1"/>
  <c r="D36" i="23" s="1"/>
  <c r="G27" i="23"/>
  <c r="G28" i="23" s="1"/>
  <c r="G29" i="23" s="1"/>
  <c r="G30" i="23" s="1"/>
  <c r="G31" i="23" s="1"/>
  <c r="B28" i="23" l="1"/>
  <c r="C29" i="23"/>
  <c r="G32" i="23"/>
  <c r="G33" i="23" s="1"/>
  <c r="G34" i="23" s="1"/>
  <c r="G35" i="23" s="1"/>
  <c r="G36" i="23" s="1"/>
  <c r="E28" i="23"/>
  <c r="B29" i="23" l="1"/>
  <c r="C30" i="23"/>
  <c r="F29" i="23"/>
  <c r="E29" i="23"/>
  <c r="E30" i="23" l="1"/>
  <c r="F30" i="23"/>
  <c r="B30" i="23"/>
  <c r="C31" i="23"/>
  <c r="B31" i="23" l="1"/>
  <c r="C32" i="23"/>
  <c r="F31" i="23"/>
  <c r="F32" i="23" s="1"/>
  <c r="E31" i="23"/>
  <c r="E32" i="23" s="1"/>
  <c r="B32" i="23" l="1"/>
  <c r="C33" i="23"/>
  <c r="B33" i="23" l="1"/>
  <c r="C34" i="23"/>
  <c r="F33" i="23"/>
  <c r="E33" i="23"/>
  <c r="E34" i="23" s="1"/>
  <c r="F34" i="23" l="1"/>
  <c r="F35" i="23" s="1"/>
  <c r="B34" i="23"/>
  <c r="C35" i="23"/>
  <c r="B35" i="23" l="1"/>
  <c r="C36" i="23"/>
  <c r="B36" i="23" s="1"/>
  <c r="E35" i="23"/>
  <c r="E36" i="23" l="1"/>
  <c r="F36" i="23"/>
  <c r="C21" i="22" l="1"/>
  <c r="A22" i="22"/>
  <c r="A21" i="22"/>
  <c r="I286" i="1"/>
  <c r="I285" i="1"/>
  <c r="I284" i="1"/>
  <c r="I283" i="1"/>
  <c r="C26" i="22"/>
  <c r="I280" i="1"/>
  <c r="C25" i="22"/>
  <c r="C23" i="22"/>
  <c r="A19" i="22"/>
  <c r="A23" i="22" s="1"/>
  <c r="A24" i="22" s="1"/>
  <c r="A25" i="22" s="1"/>
  <c r="A26" i="22" s="1"/>
  <c r="A18" i="22"/>
  <c r="A17" i="22"/>
  <c r="A16" i="22"/>
  <c r="A15" i="22"/>
  <c r="A14" i="22"/>
  <c r="A13" i="22"/>
  <c r="A12" i="22"/>
  <c r="A10" i="22"/>
  <c r="C22" i="22"/>
  <c r="C33" i="22"/>
  <c r="C24" i="22"/>
  <c r="C19" i="22"/>
  <c r="A14" i="21" l="1"/>
  <c r="A15" i="21" s="1"/>
  <c r="A16" i="21" s="1"/>
  <c r="G16" i="21" l="1"/>
  <c r="G20" i="21" s="1"/>
  <c r="G24" i="21" s="1"/>
  <c r="E20" i="21"/>
  <c r="A18" i="21"/>
  <c r="A20" i="21" s="1"/>
  <c r="A22" i="21" l="1"/>
  <c r="A24" i="21" s="1"/>
  <c r="E24" i="21" l="1"/>
  <c r="S242" i="2" l="1"/>
  <c r="S234" i="2"/>
  <c r="S226" i="2"/>
  <c r="S218" i="2"/>
  <c r="S210" i="2"/>
  <c r="S202" i="2"/>
  <c r="S194" i="2"/>
  <c r="S186" i="2"/>
  <c r="S178" i="2"/>
  <c r="S170" i="2"/>
  <c r="S162" i="2"/>
  <c r="S154" i="2"/>
  <c r="S146" i="2"/>
  <c r="S138" i="2"/>
  <c r="S130" i="2"/>
  <c r="O84" i="2" l="1"/>
  <c r="O83" i="2"/>
  <c r="O82" i="2"/>
  <c r="O81" i="2"/>
  <c r="O80" i="2"/>
  <c r="O79" i="2"/>
  <c r="O78" i="2"/>
  <c r="O77" i="2"/>
  <c r="O76" i="2"/>
  <c r="O75" i="2"/>
  <c r="M88" i="2"/>
  <c r="M86" i="2"/>
  <c r="M84" i="2"/>
  <c r="M82" i="2"/>
  <c r="M80" i="2"/>
  <c r="M78" i="2"/>
  <c r="M76" i="2"/>
  <c r="M75" i="2"/>
  <c r="S257" i="2"/>
  <c r="R257" i="2"/>
  <c r="Q257" i="2"/>
  <c r="P257" i="2"/>
  <c r="O257" i="2"/>
  <c r="N257" i="2"/>
  <c r="M257" i="2"/>
  <c r="L257" i="2"/>
  <c r="K257" i="2"/>
  <c r="J257" i="2"/>
  <c r="I257" i="2"/>
  <c r="H257" i="2"/>
  <c r="G257" i="2"/>
  <c r="S256" i="2"/>
  <c r="R256" i="2"/>
  <c r="Q256" i="2"/>
  <c r="Q258" i="2" s="1"/>
  <c r="P256" i="2"/>
  <c r="O256" i="2"/>
  <c r="N256" i="2"/>
  <c r="M256" i="2"/>
  <c r="M258" i="2" s="1"/>
  <c r="L256" i="2"/>
  <c r="K256" i="2"/>
  <c r="J256" i="2"/>
  <c r="I256" i="2"/>
  <c r="I258" i="2" s="1"/>
  <c r="H256" i="2"/>
  <c r="G256" i="2"/>
  <c r="S255" i="2"/>
  <c r="R255" i="2"/>
  <c r="Q255" i="2"/>
  <c r="P255" i="2"/>
  <c r="O255" i="2"/>
  <c r="N255" i="2"/>
  <c r="M255" i="2"/>
  <c r="L255" i="2"/>
  <c r="K255" i="2"/>
  <c r="J255" i="2"/>
  <c r="I255" i="2"/>
  <c r="H255" i="2"/>
  <c r="G255" i="2"/>
  <c r="S254" i="2"/>
  <c r="R254" i="2"/>
  <c r="Q254" i="2"/>
  <c r="P254" i="2"/>
  <c r="O254" i="2"/>
  <c r="N254" i="2"/>
  <c r="M254" i="2"/>
  <c r="L254" i="2"/>
  <c r="K254" i="2"/>
  <c r="J254" i="2"/>
  <c r="I254" i="2"/>
  <c r="H254" i="2"/>
  <c r="G254" i="2"/>
  <c r="S253" i="2"/>
  <c r="R253" i="2"/>
  <c r="Q253" i="2"/>
  <c r="P253" i="2"/>
  <c r="O253" i="2"/>
  <c r="N253" i="2"/>
  <c r="M253" i="2"/>
  <c r="L253" i="2"/>
  <c r="K253" i="2"/>
  <c r="J253" i="2"/>
  <c r="I253" i="2"/>
  <c r="H253" i="2"/>
  <c r="G253" i="2"/>
  <c r="S252" i="2"/>
  <c r="R252" i="2"/>
  <c r="Q252" i="2"/>
  <c r="P252" i="2"/>
  <c r="O252" i="2"/>
  <c r="N252" i="2"/>
  <c r="M252" i="2"/>
  <c r="L252" i="2"/>
  <c r="K252" i="2"/>
  <c r="J252" i="2"/>
  <c r="I252" i="2"/>
  <c r="H252" i="2"/>
  <c r="S250" i="2"/>
  <c r="R250" i="2"/>
  <c r="Q250" i="2"/>
  <c r="P250" i="2"/>
  <c r="O250" i="2"/>
  <c r="N250" i="2"/>
  <c r="M250" i="2"/>
  <c r="L250" i="2"/>
  <c r="K250" i="2"/>
  <c r="J250" i="2"/>
  <c r="I250" i="2"/>
  <c r="H250" i="2"/>
  <c r="G250" i="2"/>
  <c r="V248" i="2"/>
  <c r="V246" i="2"/>
  <c r="V245" i="2"/>
  <c r="V244" i="2"/>
  <c r="R242" i="2"/>
  <c r="Q242" i="2"/>
  <c r="P242" i="2"/>
  <c r="O242" i="2"/>
  <c r="N242" i="2"/>
  <c r="M242" i="2"/>
  <c r="L242" i="2"/>
  <c r="K242" i="2"/>
  <c r="J242" i="2"/>
  <c r="I242" i="2"/>
  <c r="H242" i="2"/>
  <c r="G242" i="2"/>
  <c r="V240" i="2"/>
  <c r="V238" i="2"/>
  <c r="V237" i="2"/>
  <c r="V236" i="2"/>
  <c r="R234" i="2"/>
  <c r="Q234" i="2"/>
  <c r="P234" i="2"/>
  <c r="O234" i="2"/>
  <c r="N234" i="2"/>
  <c r="M234" i="2"/>
  <c r="L234" i="2"/>
  <c r="K234" i="2"/>
  <c r="J234" i="2"/>
  <c r="I234" i="2"/>
  <c r="H234" i="2"/>
  <c r="G234" i="2"/>
  <c r="V232" i="2"/>
  <c r="L88" i="2" s="1"/>
  <c r="V230" i="2"/>
  <c r="V229" i="2"/>
  <c r="V228" i="2"/>
  <c r="R226" i="2"/>
  <c r="Q226" i="2"/>
  <c r="P226" i="2"/>
  <c r="O226" i="2"/>
  <c r="N226" i="2"/>
  <c r="M226" i="2"/>
  <c r="L226" i="2"/>
  <c r="K226" i="2"/>
  <c r="J226" i="2"/>
  <c r="I226" i="2"/>
  <c r="H226" i="2"/>
  <c r="G226" i="2"/>
  <c r="V224" i="2"/>
  <c r="L87" i="2" s="1"/>
  <c r="V222" i="2"/>
  <c r="V221" i="2"/>
  <c r="V220" i="2"/>
  <c r="M87" i="2" s="1"/>
  <c r="R218" i="2"/>
  <c r="Q218" i="2"/>
  <c r="P218" i="2"/>
  <c r="O218" i="2"/>
  <c r="N218" i="2"/>
  <c r="M218" i="2"/>
  <c r="L218" i="2"/>
  <c r="K218" i="2"/>
  <c r="J218" i="2"/>
  <c r="I218" i="2"/>
  <c r="H218" i="2"/>
  <c r="G218" i="2"/>
  <c r="V216" i="2"/>
  <c r="L86" i="2" s="1"/>
  <c r="V214" i="2"/>
  <c r="V213" i="2"/>
  <c r="V212" i="2"/>
  <c r="R210" i="2"/>
  <c r="Q210" i="2"/>
  <c r="P210" i="2"/>
  <c r="O210" i="2"/>
  <c r="N210" i="2"/>
  <c r="M210" i="2"/>
  <c r="L210" i="2"/>
  <c r="K210" i="2"/>
  <c r="J210" i="2"/>
  <c r="I210" i="2"/>
  <c r="H210" i="2"/>
  <c r="G210" i="2"/>
  <c r="V208" i="2"/>
  <c r="L85" i="2" s="1"/>
  <c r="V206" i="2"/>
  <c r="V205" i="2"/>
  <c r="V204" i="2"/>
  <c r="M85" i="2" s="1"/>
  <c r="R202" i="2"/>
  <c r="Q202" i="2"/>
  <c r="P202" i="2"/>
  <c r="O202" i="2"/>
  <c r="N202" i="2"/>
  <c r="M202" i="2"/>
  <c r="L202" i="2"/>
  <c r="K202" i="2"/>
  <c r="J202" i="2"/>
  <c r="I202" i="2"/>
  <c r="H202" i="2"/>
  <c r="G202" i="2"/>
  <c r="V200" i="2"/>
  <c r="L82" i="2" s="1"/>
  <c r="V198" i="2"/>
  <c r="V197" i="2"/>
  <c r="V196" i="2"/>
  <c r="R194" i="2"/>
  <c r="Q194" i="2"/>
  <c r="P194" i="2"/>
  <c r="O194" i="2"/>
  <c r="N194" i="2"/>
  <c r="M194" i="2"/>
  <c r="L194" i="2"/>
  <c r="K194" i="2"/>
  <c r="J194" i="2"/>
  <c r="I194" i="2"/>
  <c r="H194" i="2"/>
  <c r="G194" i="2"/>
  <c r="V192" i="2"/>
  <c r="L81" i="2" s="1"/>
  <c r="V190" i="2"/>
  <c r="V189" i="2"/>
  <c r="V188" i="2"/>
  <c r="M81" i="2" s="1"/>
  <c r="R186" i="2"/>
  <c r="Q186" i="2"/>
  <c r="P186" i="2"/>
  <c r="O186" i="2"/>
  <c r="N186" i="2"/>
  <c r="M186" i="2"/>
  <c r="L186" i="2"/>
  <c r="K186" i="2"/>
  <c r="J186" i="2"/>
  <c r="I186" i="2"/>
  <c r="H186" i="2"/>
  <c r="G186" i="2"/>
  <c r="V184" i="2"/>
  <c r="L84" i="2" s="1"/>
  <c r="V182" i="2"/>
  <c r="V181" i="2"/>
  <c r="V180" i="2"/>
  <c r="R178" i="2"/>
  <c r="Q178" i="2"/>
  <c r="P178" i="2"/>
  <c r="O178" i="2"/>
  <c r="N178" i="2"/>
  <c r="M178" i="2"/>
  <c r="L178" i="2"/>
  <c r="K178" i="2"/>
  <c r="J178" i="2"/>
  <c r="I178" i="2"/>
  <c r="H178" i="2"/>
  <c r="G178" i="2"/>
  <c r="V176" i="2"/>
  <c r="L83" i="2" s="1"/>
  <c r="V174" i="2"/>
  <c r="V173" i="2"/>
  <c r="V172" i="2"/>
  <c r="M83" i="2" s="1"/>
  <c r="R170" i="2"/>
  <c r="Q170" i="2"/>
  <c r="P170" i="2"/>
  <c r="O170" i="2"/>
  <c r="N170" i="2"/>
  <c r="M170" i="2"/>
  <c r="L170" i="2"/>
  <c r="K170" i="2"/>
  <c r="J170" i="2"/>
  <c r="I170" i="2"/>
  <c r="H170" i="2"/>
  <c r="G170" i="2"/>
  <c r="V168" i="2"/>
  <c r="L80" i="2" s="1"/>
  <c r="V166" i="2"/>
  <c r="V165" i="2"/>
  <c r="V164" i="2"/>
  <c r="R162" i="2"/>
  <c r="Q162" i="2"/>
  <c r="P162" i="2"/>
  <c r="O162" i="2"/>
  <c r="N162" i="2"/>
  <c r="M162" i="2"/>
  <c r="L162" i="2"/>
  <c r="K162" i="2"/>
  <c r="J162" i="2"/>
  <c r="I162" i="2"/>
  <c r="H162" i="2"/>
  <c r="G162" i="2"/>
  <c r="V160" i="2"/>
  <c r="L79" i="2" s="1"/>
  <c r="V158" i="2"/>
  <c r="V157" i="2"/>
  <c r="V156" i="2"/>
  <c r="M79" i="2" s="1"/>
  <c r="R154" i="2"/>
  <c r="Q154" i="2"/>
  <c r="P154" i="2"/>
  <c r="O154" i="2"/>
  <c r="N154" i="2"/>
  <c r="M154" i="2"/>
  <c r="L154" i="2"/>
  <c r="K154" i="2"/>
  <c r="J154" i="2"/>
  <c r="I154" i="2"/>
  <c r="H154" i="2"/>
  <c r="G154" i="2"/>
  <c r="V152" i="2"/>
  <c r="L78" i="2" s="1"/>
  <c r="V150" i="2"/>
  <c r="V149" i="2"/>
  <c r="V148" i="2"/>
  <c r="R146" i="2"/>
  <c r="Q146" i="2"/>
  <c r="P146" i="2"/>
  <c r="O146" i="2"/>
  <c r="N146" i="2"/>
  <c r="M146" i="2"/>
  <c r="L146" i="2"/>
  <c r="K146" i="2"/>
  <c r="J146" i="2"/>
  <c r="I146" i="2"/>
  <c r="H146" i="2"/>
  <c r="G146" i="2"/>
  <c r="V144" i="2"/>
  <c r="L77" i="2" s="1"/>
  <c r="V142" i="2"/>
  <c r="V141" i="2"/>
  <c r="V140" i="2"/>
  <c r="M77" i="2" s="1"/>
  <c r="R138" i="2"/>
  <c r="Q138" i="2"/>
  <c r="P138" i="2"/>
  <c r="O138" i="2"/>
  <c r="N138" i="2"/>
  <c r="M138" i="2"/>
  <c r="L138" i="2"/>
  <c r="K138" i="2"/>
  <c r="J138" i="2"/>
  <c r="I138" i="2"/>
  <c r="H138" i="2"/>
  <c r="G138" i="2"/>
  <c r="V136" i="2"/>
  <c r="L76" i="2" s="1"/>
  <c r="V134" i="2"/>
  <c r="V133" i="2"/>
  <c r="V132" i="2"/>
  <c r="R130" i="2"/>
  <c r="Q130" i="2"/>
  <c r="P130" i="2"/>
  <c r="O130" i="2"/>
  <c r="N130" i="2"/>
  <c r="M130" i="2"/>
  <c r="L130" i="2"/>
  <c r="K130" i="2"/>
  <c r="J130" i="2"/>
  <c r="I130" i="2"/>
  <c r="H130" i="2"/>
  <c r="G130" i="2"/>
  <c r="V128" i="2"/>
  <c r="L75" i="2" s="1"/>
  <c r="V126" i="2"/>
  <c r="V125" i="2"/>
  <c r="V124" i="2"/>
  <c r="D23" i="5"/>
  <c r="D25" i="5" s="1"/>
  <c r="H25" i="5" s="1"/>
  <c r="F75" i="2" l="1"/>
  <c r="F77" i="2"/>
  <c r="F79" i="2"/>
  <c r="F76" i="2"/>
  <c r="F80" i="2"/>
  <c r="F78" i="2"/>
  <c r="F87" i="2"/>
  <c r="F84" i="2"/>
  <c r="F81" i="2"/>
  <c r="F85" i="2"/>
  <c r="F83" i="2"/>
  <c r="F88" i="2"/>
  <c r="F82" i="2"/>
  <c r="F86" i="2"/>
  <c r="V253" i="2"/>
  <c r="V194" i="2"/>
  <c r="I81" i="2" s="1"/>
  <c r="V130" i="2"/>
  <c r="I75" i="2" s="1"/>
  <c r="V154" i="2"/>
  <c r="I78" i="2" s="1"/>
  <c r="V178" i="2"/>
  <c r="I83" i="2" s="1"/>
  <c r="V202" i="2"/>
  <c r="I82" i="2" s="1"/>
  <c r="V218" i="2"/>
  <c r="I86" i="2" s="1"/>
  <c r="H258" i="2"/>
  <c r="P258" i="2"/>
  <c r="V252" i="2"/>
  <c r="W252" i="2" s="1"/>
  <c r="V162" i="2"/>
  <c r="I79" i="2" s="1"/>
  <c r="V226" i="2"/>
  <c r="V138" i="2"/>
  <c r="I76" i="2" s="1"/>
  <c r="V242" i="2"/>
  <c r="L258" i="2"/>
  <c r="V256" i="2"/>
  <c r="W256" i="2" s="1"/>
  <c r="V146" i="2"/>
  <c r="I77" i="2" s="1"/>
  <c r="V170" i="2"/>
  <c r="I80" i="2" s="1"/>
  <c r="V186" i="2"/>
  <c r="I84" i="2" s="1"/>
  <c r="V210" i="2"/>
  <c r="I85" i="2" s="1"/>
  <c r="V234" i="2"/>
  <c r="V250" i="2"/>
  <c r="J258" i="2"/>
  <c r="N258" i="2"/>
  <c r="R258" i="2"/>
  <c r="G258" i="2"/>
  <c r="K258" i="2"/>
  <c r="O258" i="2"/>
  <c r="S258" i="2"/>
  <c r="V254" i="2"/>
  <c r="D22" i="13"/>
  <c r="C9" i="13"/>
  <c r="D9" i="13" s="1"/>
  <c r="B9" i="13"/>
  <c r="B34" i="13" s="1"/>
  <c r="C18" i="13"/>
  <c r="D18" i="13" s="1"/>
  <c r="E14" i="10"/>
  <c r="D14" i="10" s="1"/>
  <c r="C15" i="13" l="1"/>
  <c r="D15" i="13" s="1"/>
  <c r="C20" i="13"/>
  <c r="D20" i="13" s="1"/>
  <c r="I88" i="2"/>
  <c r="I87" i="2"/>
  <c r="C11" i="13"/>
  <c r="D11" i="13" s="1"/>
  <c r="C21" i="13"/>
  <c r="D21" i="13" s="1"/>
  <c r="W253" i="2"/>
  <c r="D8" i="13"/>
  <c r="C12" i="13"/>
  <c r="D12" i="13" s="1"/>
  <c r="C17" i="13"/>
  <c r="D17" i="13" s="1"/>
  <c r="C16" i="13"/>
  <c r="D16" i="13" s="1"/>
  <c r="C13" i="13"/>
  <c r="D13" i="13" s="1"/>
  <c r="C19" i="13"/>
  <c r="D19" i="13" s="1"/>
  <c r="V258" i="2"/>
  <c r="C10" i="13"/>
  <c r="D10" i="13" s="1"/>
  <c r="C14" i="13"/>
  <c r="D14" i="13" s="1"/>
  <c r="C23" i="13"/>
  <c r="D23" i="13" s="1"/>
  <c r="E12" i="10"/>
  <c r="D12" i="10" s="1"/>
  <c r="E16" i="10"/>
  <c r="D16" i="10" s="1"/>
  <c r="C10" i="10"/>
  <c r="C18" i="10" s="1"/>
  <c r="W258" i="2" l="1"/>
  <c r="C24" i="13"/>
  <c r="D24" i="13" s="1"/>
  <c r="D18" i="10"/>
  <c r="C25" i="13" l="1"/>
  <c r="D25" i="13" s="1"/>
  <c r="C26" i="13" l="1"/>
  <c r="D26" i="13" s="1"/>
  <c r="C27" i="13" l="1"/>
  <c r="C28" i="13" l="1"/>
  <c r="D27" i="13"/>
  <c r="C29" i="13"/>
  <c r="D29" i="13" s="1"/>
  <c r="D28" i="13" l="1"/>
  <c r="C30" i="13"/>
  <c r="C31" i="13" l="1"/>
  <c r="D31" i="13" s="1"/>
  <c r="D30" i="13"/>
  <c r="C32" i="13"/>
  <c r="D32" i="13" s="1"/>
  <c r="C33" i="13" l="1"/>
  <c r="D33" i="13" s="1"/>
  <c r="D34" i="13"/>
  <c r="C21" i="14" l="1"/>
  <c r="D116" i="1" s="1"/>
  <c r="E8" i="13"/>
  <c r="E16" i="13"/>
  <c r="H16" i="13" s="1"/>
  <c r="E17" i="13"/>
  <c r="H17" i="13" s="1"/>
  <c r="E10" i="13"/>
  <c r="H10" i="13" s="1"/>
  <c r="E9" i="13"/>
  <c r="H9" i="13" s="1"/>
  <c r="E13" i="13"/>
  <c r="H13" i="13" s="1"/>
  <c r="E11" i="13"/>
  <c r="H11" i="13" s="1"/>
  <c r="E20" i="13"/>
  <c r="H20" i="13" s="1"/>
  <c r="E21" i="13"/>
  <c r="H21" i="13" s="1"/>
  <c r="E14" i="13"/>
  <c r="H14" i="13" s="1"/>
  <c r="E19" i="13"/>
  <c r="H19" i="13" s="1"/>
  <c r="E15" i="13"/>
  <c r="H15" i="13" s="1"/>
  <c r="E18" i="13"/>
  <c r="H18" i="13" s="1"/>
  <c r="E12" i="13"/>
  <c r="H12" i="13" s="1"/>
  <c r="E22" i="13"/>
  <c r="H22" i="13" s="1"/>
  <c r="E25" i="13"/>
  <c r="H25" i="13" s="1"/>
  <c r="E23" i="13"/>
  <c r="H23" i="13" s="1"/>
  <c r="E24" i="13"/>
  <c r="H24" i="13" s="1"/>
  <c r="E26" i="13"/>
  <c r="H26" i="13" s="1"/>
  <c r="E28" i="13"/>
  <c r="H28" i="13" s="1"/>
  <c r="E29" i="13"/>
  <c r="H29" i="13" s="1"/>
  <c r="E27" i="13"/>
  <c r="H27" i="13" s="1"/>
  <c r="E31" i="13"/>
  <c r="H31" i="13" s="1"/>
  <c r="E30" i="13"/>
  <c r="H30" i="13" s="1"/>
  <c r="E32" i="13"/>
  <c r="H32" i="13" s="1"/>
  <c r="E33" i="13"/>
  <c r="H33" i="13" s="1"/>
  <c r="D21" i="10"/>
  <c r="C21" i="10"/>
  <c r="C55" i="14" l="1"/>
  <c r="D115" i="1" s="1"/>
  <c r="C38" i="14"/>
  <c r="D114" i="1" s="1"/>
  <c r="H8" i="13"/>
  <c r="H34" i="13" s="1"/>
  <c r="G268" i="1" s="1"/>
  <c r="E34" i="13"/>
  <c r="B21" i="10"/>
  <c r="D192" i="1" s="1"/>
  <c r="C58" i="14" l="1"/>
  <c r="S98" i="3" l="1"/>
  <c r="Q98" i="3"/>
  <c r="A96" i="3"/>
  <c r="A95" i="3"/>
  <c r="A94" i="3"/>
  <c r="A93" i="3"/>
  <c r="A92" i="3"/>
  <c r="A91" i="3"/>
  <c r="A90" i="3"/>
  <c r="A89" i="3"/>
  <c r="A88" i="3"/>
  <c r="A87" i="3"/>
  <c r="A86" i="3"/>
  <c r="A85" i="3"/>
  <c r="A84" i="3"/>
  <c r="A83" i="3"/>
  <c r="A82" i="3"/>
  <c r="A81" i="3"/>
  <c r="A80" i="3"/>
  <c r="A79" i="3"/>
  <c r="A78" i="3"/>
  <c r="A77" i="3"/>
  <c r="A76" i="3"/>
  <c r="K65" i="3"/>
  <c r="T62" i="3"/>
  <c r="K62" i="3"/>
  <c r="D62" i="3"/>
  <c r="O99" i="2"/>
  <c r="M99" i="2"/>
  <c r="A97" i="2"/>
  <c r="A96" i="2"/>
  <c r="A95" i="2"/>
  <c r="A94" i="2"/>
  <c r="A93" i="2"/>
  <c r="A92" i="2"/>
  <c r="A91" i="2"/>
  <c r="A90" i="2"/>
  <c r="H67" i="2"/>
  <c r="P64" i="2"/>
  <c r="H64" i="2"/>
  <c r="D64" i="2"/>
  <c r="A295" i="1"/>
  <c r="K292" i="1"/>
  <c r="I278" i="1"/>
  <c r="D271" i="1"/>
  <c r="I270" i="1"/>
  <c r="G269" i="1"/>
  <c r="I269" i="1" s="1"/>
  <c r="I268" i="1"/>
  <c r="D248" i="1"/>
  <c r="G247" i="1"/>
  <c r="G246" i="1"/>
  <c r="G244" i="1"/>
  <c r="I234" i="1"/>
  <c r="I226" i="1"/>
  <c r="A221" i="1"/>
  <c r="K218" i="1"/>
  <c r="D182" i="1"/>
  <c r="D171" i="1"/>
  <c r="D165" i="1"/>
  <c r="D123" i="1" s="1"/>
  <c r="D126" i="1" s="1"/>
  <c r="I164" i="1"/>
  <c r="I158" i="1"/>
  <c r="K27" i="3" s="1"/>
  <c r="I157" i="1"/>
  <c r="K26" i="3" s="1"/>
  <c r="A151" i="1"/>
  <c r="K148" i="1"/>
  <c r="D118" i="1"/>
  <c r="D109" i="1"/>
  <c r="D108" i="1"/>
  <c r="D107" i="1"/>
  <c r="D106" i="1"/>
  <c r="D105" i="1"/>
  <c r="D254" i="1" s="1"/>
  <c r="G252" i="1" s="1"/>
  <c r="I104" i="1"/>
  <c r="D104" i="1"/>
  <c r="D101" i="1"/>
  <c r="G98" i="1"/>
  <c r="D92" i="1"/>
  <c r="A80" i="1"/>
  <c r="K77" i="1"/>
  <c r="I30" i="1"/>
  <c r="D14" i="1"/>
  <c r="I271" i="1" l="1"/>
  <c r="E9" i="25" s="1"/>
  <c r="I236" i="1"/>
  <c r="I238" i="1" s="1"/>
  <c r="D110" i="1"/>
  <c r="D128" i="1" s="1"/>
  <c r="I229" i="1"/>
  <c r="I231" i="1" s="1"/>
  <c r="D199" i="1" l="1"/>
  <c r="I239" i="1"/>
  <c r="I240" i="1" s="1"/>
  <c r="G87" i="1"/>
  <c r="G14" i="1"/>
  <c r="E245" i="1"/>
  <c r="G245" i="1" s="1"/>
  <c r="G248" i="1" s="1"/>
  <c r="I248" i="1" s="1"/>
  <c r="G90" i="1" l="1"/>
  <c r="I252" i="1"/>
  <c r="K252" i="1" s="1"/>
  <c r="G91" i="1" s="1"/>
  <c r="G15" i="1"/>
  <c r="I14" i="1"/>
  <c r="I87" i="1"/>
  <c r="G96" i="1"/>
  <c r="G88" i="1"/>
  <c r="I88" i="1" s="1"/>
  <c r="G124" i="1"/>
  <c r="I124" i="1" s="1"/>
  <c r="G156" i="1"/>
  <c r="K18" i="3" l="1"/>
  <c r="G162" i="1"/>
  <c r="I162" i="1" s="1"/>
  <c r="I156" i="1"/>
  <c r="K24" i="3" s="1"/>
  <c r="K28" i="3" s="1"/>
  <c r="G16" i="1"/>
  <c r="I96" i="1"/>
  <c r="G120" i="1"/>
  <c r="G97" i="1"/>
  <c r="I97" i="1" s="1"/>
  <c r="I106" i="1" s="1"/>
  <c r="I91" i="1"/>
  <c r="G100" i="1"/>
  <c r="H18" i="2"/>
  <c r="G99" i="1"/>
  <c r="I90" i="1"/>
  <c r="K19" i="3" l="1"/>
  <c r="K30" i="3" s="1"/>
  <c r="M30" i="3" s="1"/>
  <c r="I105" i="1"/>
  <c r="H19" i="2" s="1"/>
  <c r="I100" i="1"/>
  <c r="I109" i="1" s="1"/>
  <c r="G163" i="1"/>
  <c r="G17" i="1"/>
  <c r="I17" i="1" s="1"/>
  <c r="I16" i="1"/>
  <c r="I99" i="1"/>
  <c r="I108" i="1" s="1"/>
  <c r="G159" i="1"/>
  <c r="I92" i="1"/>
  <c r="G92" i="1" s="1"/>
  <c r="I120" i="1"/>
  <c r="G168" i="1"/>
  <c r="I168" i="1" s="1"/>
  <c r="K20" i="3" l="1"/>
  <c r="H74" i="3"/>
  <c r="I74" i="3" s="1"/>
  <c r="H75" i="3"/>
  <c r="I75" i="3" s="1"/>
  <c r="H73" i="3"/>
  <c r="I73" i="3" s="1"/>
  <c r="I110" i="1"/>
  <c r="G110" i="1" s="1"/>
  <c r="G194" i="1" s="1"/>
  <c r="I101" i="1"/>
  <c r="G178" i="1"/>
  <c r="G125" i="1"/>
  <c r="I125" i="1" s="1"/>
  <c r="G160" i="1"/>
  <c r="G169" i="1"/>
  <c r="I159" i="1"/>
  <c r="G170" i="1"/>
  <c r="I170" i="1" s="1"/>
  <c r="I163" i="1"/>
  <c r="G114" i="1" l="1"/>
  <c r="I114" i="1" s="1"/>
  <c r="G195" i="1"/>
  <c r="G175" i="1"/>
  <c r="I169" i="1"/>
  <c r="K38" i="3" s="1"/>
  <c r="K39" i="3" s="1"/>
  <c r="M39" i="3" s="1"/>
  <c r="I178" i="1"/>
  <c r="G181" i="1"/>
  <c r="I181" i="1" s="1"/>
  <c r="G180" i="1"/>
  <c r="I180" i="1" s="1"/>
  <c r="G161" i="1"/>
  <c r="I161" i="1" s="1"/>
  <c r="I160" i="1"/>
  <c r="G115" i="1" l="1"/>
  <c r="G116" i="1" s="1"/>
  <c r="I116" i="1" s="1"/>
  <c r="I165" i="1"/>
  <c r="I123" i="1" s="1"/>
  <c r="I126" i="1" s="1"/>
  <c r="G196" i="1"/>
  <c r="G117" i="1"/>
  <c r="I117" i="1" s="1"/>
  <c r="H28" i="2"/>
  <c r="H29" i="2" s="1"/>
  <c r="N29" i="2" s="1"/>
  <c r="I171" i="1"/>
  <c r="I175" i="1"/>
  <c r="G176" i="1"/>
  <c r="I176" i="1" s="1"/>
  <c r="I115" i="1" l="1"/>
  <c r="I118" i="1" s="1"/>
  <c r="I128" i="1" s="1"/>
  <c r="I199" i="1" s="1"/>
  <c r="E6" i="25" s="1"/>
  <c r="H22" i="2"/>
  <c r="H24" i="2" s="1"/>
  <c r="H25" i="2" s="1"/>
  <c r="N25" i="2" s="1"/>
  <c r="K23" i="3"/>
  <c r="K34" i="3" s="1"/>
  <c r="K35" i="3" s="1"/>
  <c r="I182" i="1"/>
  <c r="K52" i="3" l="1"/>
  <c r="K53" i="3" s="1"/>
  <c r="M53" i="3" s="1"/>
  <c r="H32" i="2"/>
  <c r="H33" i="2" s="1"/>
  <c r="N33" i="2" s="1"/>
  <c r="N35" i="2" s="1"/>
  <c r="G88" i="2" s="1"/>
  <c r="H88" i="2" s="1"/>
  <c r="K42" i="3"/>
  <c r="K43" i="3" s="1"/>
  <c r="M43" i="3" s="1"/>
  <c r="M35" i="3"/>
  <c r="H42" i="2"/>
  <c r="H43" i="2" s="1"/>
  <c r="N43" i="2" s="1"/>
  <c r="M45" i="3" l="1"/>
  <c r="J73" i="3" s="1"/>
  <c r="K73" i="3" s="1"/>
  <c r="L73" i="3" s="1"/>
  <c r="G76" i="2"/>
  <c r="H76" i="2" s="1"/>
  <c r="G75" i="2"/>
  <c r="H75" i="2" s="1"/>
  <c r="G82" i="2"/>
  <c r="H82" i="2" s="1"/>
  <c r="G77" i="2"/>
  <c r="H77" i="2" s="1"/>
  <c r="G89" i="2"/>
  <c r="H89" i="2" s="1"/>
  <c r="G81" i="2"/>
  <c r="H81" i="2" s="1"/>
  <c r="G84" i="2"/>
  <c r="H84" i="2" s="1"/>
  <c r="G79" i="2"/>
  <c r="H79" i="2" s="1"/>
  <c r="G85" i="2"/>
  <c r="H85" i="2" s="1"/>
  <c r="G78" i="2"/>
  <c r="H78" i="2" s="1"/>
  <c r="G86" i="2"/>
  <c r="H86" i="2" s="1"/>
  <c r="G87" i="2"/>
  <c r="H87" i="2" s="1"/>
  <c r="G83" i="2"/>
  <c r="H83" i="2" s="1"/>
  <c r="G80" i="2"/>
  <c r="H80" i="2" s="1"/>
  <c r="K45" i="3"/>
  <c r="J74" i="3"/>
  <c r="K74" i="3" s="1"/>
  <c r="L74" i="3" s="1"/>
  <c r="J75" i="3" l="1"/>
  <c r="K75" i="3" s="1"/>
  <c r="L75" i="3" s="1"/>
  <c r="D32" i="1"/>
  <c r="D33" i="1" s="1"/>
  <c r="D36" i="1" l="1"/>
  <c r="D37" i="1" s="1"/>
  <c r="D38" i="1" s="1"/>
  <c r="I36" i="1"/>
  <c r="I37" i="1"/>
  <c r="I38" i="1" s="1"/>
  <c r="I287" i="1" l="1"/>
  <c r="D15" i="1" s="1"/>
  <c r="I15" i="1" s="1"/>
  <c r="I18" i="1" s="1"/>
  <c r="D189" i="1" l="1"/>
  <c r="D194" i="1" s="1"/>
  <c r="I194" i="1" s="1"/>
  <c r="D195" i="1"/>
  <c r="I195" i="1" s="1"/>
  <c r="D185" i="1"/>
  <c r="D186" i="1"/>
  <c r="D193" i="1" s="1"/>
  <c r="I193" i="1"/>
  <c r="D196" i="1" l="1"/>
  <c r="I196" i="1" s="1"/>
  <c r="I197" i="1" s="1"/>
  <c r="E14" i="25" s="1"/>
  <c r="I202" i="1" l="1"/>
  <c r="C16" i="25"/>
  <c r="C20" i="25" s="1"/>
  <c r="H38" i="2"/>
  <c r="H39" i="2" s="1"/>
  <c r="N39" i="2" s="1"/>
  <c r="N45" i="2" s="1"/>
  <c r="K48" i="3"/>
  <c r="K49" i="3" s="1"/>
  <c r="D197" i="1"/>
  <c r="D202" i="1" s="1"/>
  <c r="K55" i="3" l="1"/>
  <c r="M49" i="3"/>
  <c r="M55" i="3" s="1"/>
  <c r="J76" i="2"/>
  <c r="K76" i="2" s="1"/>
  <c r="N76" i="2" s="1"/>
  <c r="P76" i="2" s="1"/>
  <c r="J87" i="2"/>
  <c r="K87" i="2" s="1"/>
  <c r="N87" i="2" s="1"/>
  <c r="P87" i="2" s="1"/>
  <c r="J85" i="2"/>
  <c r="K85" i="2" s="1"/>
  <c r="N85" i="2" s="1"/>
  <c r="P85" i="2" s="1"/>
  <c r="J83" i="2"/>
  <c r="K83" i="2" s="1"/>
  <c r="N83" i="2" s="1"/>
  <c r="P83" i="2" s="1"/>
  <c r="J79" i="2"/>
  <c r="K79" i="2" s="1"/>
  <c r="N79" i="2" s="1"/>
  <c r="P79" i="2" s="1"/>
  <c r="J88" i="2"/>
  <c r="K88" i="2" s="1"/>
  <c r="N88" i="2" s="1"/>
  <c r="P88" i="2" s="1"/>
  <c r="J81" i="2"/>
  <c r="K81" i="2" s="1"/>
  <c r="N81" i="2" s="1"/>
  <c r="P81" i="2" s="1"/>
  <c r="J82" i="2"/>
  <c r="K82" i="2" s="1"/>
  <c r="N82" i="2" s="1"/>
  <c r="P82" i="2" s="1"/>
  <c r="J80" i="2"/>
  <c r="K80" i="2" s="1"/>
  <c r="N80" i="2" s="1"/>
  <c r="P80" i="2" s="1"/>
  <c r="J78" i="2"/>
  <c r="K78" i="2" s="1"/>
  <c r="N78" i="2" s="1"/>
  <c r="P78" i="2" s="1"/>
  <c r="J75" i="2"/>
  <c r="K75" i="2" s="1"/>
  <c r="N75" i="2" s="1"/>
  <c r="J84" i="2"/>
  <c r="K84" i="2" s="1"/>
  <c r="N84" i="2" s="1"/>
  <c r="P84" i="2" s="1"/>
  <c r="J86" i="2"/>
  <c r="K86" i="2" s="1"/>
  <c r="N86" i="2" s="1"/>
  <c r="P86" i="2" s="1"/>
  <c r="J89" i="2"/>
  <c r="K89" i="2" s="1"/>
  <c r="N89" i="2" s="1"/>
  <c r="P89" i="2" s="1"/>
  <c r="A89" i="2" s="1"/>
  <c r="J77" i="2"/>
  <c r="K77" i="2" s="1"/>
  <c r="N77" i="2" s="1"/>
  <c r="P77" i="2" s="1"/>
  <c r="N75" i="3" l="1"/>
  <c r="O75" i="3" s="1"/>
  <c r="R75" i="3" s="1"/>
  <c r="T75" i="3" s="1"/>
  <c r="N73" i="3"/>
  <c r="O73" i="3" s="1"/>
  <c r="R73" i="3" s="1"/>
  <c r="N74" i="3"/>
  <c r="O74" i="3" s="1"/>
  <c r="R74" i="3" s="1"/>
  <c r="T74" i="3" s="1"/>
  <c r="N99" i="2"/>
  <c r="N101" i="2" s="1"/>
  <c r="D206" i="1" s="1"/>
  <c r="P75" i="2"/>
  <c r="P99" i="2" s="1"/>
  <c r="I206" i="1" l="1"/>
  <c r="T73" i="3"/>
  <c r="T98" i="3" s="1"/>
  <c r="R98" i="3"/>
  <c r="R100" i="3" s="1"/>
  <c r="D210" i="1" s="1"/>
  <c r="I210" i="1" s="1"/>
  <c r="D211" i="1" l="1"/>
  <c r="I211" i="1"/>
  <c r="I11" i="1" s="1"/>
  <c r="I20" i="1" s="1"/>
  <c r="H6" i="5" s="1"/>
  <c r="C31" i="22" l="1"/>
  <c r="C35" i="22" s="1"/>
  <c r="H10" i="5"/>
  <c r="H16" i="5" s="1"/>
  <c r="H27" i="5" l="1"/>
  <c r="H30" i="5" s="1"/>
  <c r="H33" i="5" s="1"/>
</calcChain>
</file>

<file path=xl/comments1.xml><?xml version="1.0" encoding="utf-8"?>
<comments xmlns="http://schemas.openxmlformats.org/spreadsheetml/2006/main">
  <authors>
    <author>Figliuzzi, Tiffany</author>
  </authors>
  <commentList>
    <comment ref="D132" authorId="0">
      <text>
        <r>
          <rPr>
            <b/>
            <sz val="10"/>
            <color indexed="81"/>
            <rFont val="Tahoma"/>
            <family val="2"/>
          </rPr>
          <t>Figliuzzi, Tiffany:</t>
        </r>
        <r>
          <rPr>
            <sz val="10"/>
            <color indexed="81"/>
            <rFont val="Tahoma"/>
            <family val="2"/>
          </rPr>
          <t xml:space="preserve">
Badger Coulee &amp; Cardinal Bluffs</t>
        </r>
      </text>
    </comment>
  </commentList>
</comments>
</file>

<file path=xl/comments2.xml><?xml version="1.0" encoding="utf-8"?>
<comments xmlns="http://schemas.openxmlformats.org/spreadsheetml/2006/main">
  <authors>
    <author>Jeff Minor</author>
  </authors>
  <commentList>
    <comment ref="A18" authorId="0">
      <text>
        <r>
          <rPr>
            <b/>
            <sz val="9"/>
            <color indexed="81"/>
            <rFont val="Tahoma"/>
            <family val="2"/>
          </rPr>
          <t>Jeff Minor:</t>
        </r>
        <r>
          <rPr>
            <sz val="9"/>
            <color indexed="81"/>
            <rFont val="Tahoma"/>
            <family val="2"/>
          </rPr>
          <t xml:space="preserve">
Revised due to depreciation study done in 2011</t>
        </r>
      </text>
    </comment>
  </commentList>
</comments>
</file>

<file path=xl/sharedStrings.xml><?xml version="1.0" encoding="utf-8"?>
<sst xmlns="http://schemas.openxmlformats.org/spreadsheetml/2006/main" count="1455" uniqueCount="826">
  <si>
    <t>page 1 of 5</t>
  </si>
  <si>
    <t xml:space="preserve">Formula Rate - Non-Levelized </t>
  </si>
  <si>
    <t>Rate Formula Template</t>
  </si>
  <si>
    <t xml:space="preserve"> </t>
  </si>
  <si>
    <t>Utilizing FERC Form 1 Data</t>
  </si>
  <si>
    <t>American Transmission Company LLC</t>
  </si>
  <si>
    <t>Thirteen Monthly Balances</t>
  </si>
  <si>
    <t>Composite Depreciation Rates</t>
  </si>
  <si>
    <t>Line</t>
  </si>
  <si>
    <t>Allocated</t>
  </si>
  <si>
    <t>No.</t>
  </si>
  <si>
    <t>Amount</t>
  </si>
  <si>
    <t>GROSS REVENUE REQUIREMENT  (page 3, line 31)</t>
  </si>
  <si>
    <t xml:space="preserve">REVENUE CREDITS </t>
  </si>
  <si>
    <t>(Note T)</t>
  </si>
  <si>
    <t>Total</t>
  </si>
  <si>
    <t>Allocator</t>
  </si>
  <si>
    <t xml:space="preserve">  Account No. 454</t>
  </si>
  <si>
    <t>(page 4, line 34)</t>
  </si>
  <si>
    <t>TP</t>
  </si>
  <si>
    <t xml:space="preserve">  Account No. 456.1</t>
  </si>
  <si>
    <t>(page 4, line 37)</t>
  </si>
  <si>
    <t xml:space="preserve">  Revenues from Grandfathered Interzonal Transactions</t>
  </si>
  <si>
    <t xml:space="preserve">  Revenues from service provided by the ISO at a discount</t>
  </si>
  <si>
    <t>TOTAL REVENUE CREDITS  (sum lines 2-5)</t>
  </si>
  <si>
    <t>NET REVENUE REQUIREMENT</t>
  </si>
  <si>
    <t>(line 1 minus line 6)</t>
  </si>
  <si>
    <t xml:space="preserve">DIVISOR </t>
  </si>
  <si>
    <t xml:space="preserve">  Average of 12 coincident system peaks for requirements (RQ) service       </t>
  </si>
  <si>
    <t>(Note A)</t>
  </si>
  <si>
    <t xml:space="preserve">  Plus 12 CP of firm bundled sales over one year not in line 8</t>
  </si>
  <si>
    <t>(Note B)</t>
  </si>
  <si>
    <t xml:space="preserve">  Plus 12 CP of Network Load not in line 8</t>
  </si>
  <si>
    <t>(Note C)</t>
  </si>
  <si>
    <t xml:space="preserve">  Less 12 CP of firm P-T-P over one year (enter negative)</t>
  </si>
  <si>
    <t>(Note D)</t>
  </si>
  <si>
    <t xml:space="preserve">  Plus Contract Demand of firm P-T-P over one year</t>
  </si>
  <si>
    <t xml:space="preserve">  Less Contract Demand from Grandfathered Interzonal Transactions over one year (enter negative)  (Note S)</t>
  </si>
  <si>
    <t xml:space="preserve">  Less Contract Demands from service over one year provided by ISO at a discount (enter negative)</t>
  </si>
  <si>
    <t>Divisor (sum lines 8-14)</t>
  </si>
  <si>
    <t>Annual Cost ($/kW/Yr)</t>
  </si>
  <si>
    <t>(line 7 / line 15)</t>
  </si>
  <si>
    <t xml:space="preserve">Network &amp; P-to-P Rate ($/kW/Mo) </t>
  </si>
  <si>
    <t>(line 16 / 12)</t>
  </si>
  <si>
    <t>Peak Rate</t>
  </si>
  <si>
    <t>Off-Peak Rate</t>
  </si>
  <si>
    <t>Point-To-Point Rate ($/kW/Wk)</t>
  </si>
  <si>
    <t>(line 16 / 52; line 16 / 52)</t>
  </si>
  <si>
    <t>Point-To-Point Rate ($/kW/Day)</t>
  </si>
  <si>
    <t>(line 16 / 260; line 16 / 365)</t>
  </si>
  <si>
    <t>Capped at weekly rate</t>
  </si>
  <si>
    <t>Point-To-Point Rate ($/MWh)</t>
  </si>
  <si>
    <t>(line 16 / 4,160; line 16 / 8,760</t>
  </si>
  <si>
    <t>Capped at weekly</t>
  </si>
  <si>
    <t xml:space="preserve"> times 1,000)</t>
  </si>
  <si>
    <t>and daily rates</t>
  </si>
  <si>
    <t>FERC Annual Charge ($/MWh)</t>
  </si>
  <si>
    <t>(Note E)</t>
  </si>
  <si>
    <t>Short Term</t>
  </si>
  <si>
    <t>Long Term</t>
  </si>
  <si>
    <t>page 2 of 5</t>
  </si>
  <si>
    <t>Thirteen Month Average Rate Base Balances (Note Z)</t>
  </si>
  <si>
    <t>(1)</t>
  </si>
  <si>
    <t>(2)</t>
  </si>
  <si>
    <t>(3)</t>
  </si>
  <si>
    <t>(4)</t>
  </si>
  <si>
    <t>(5)</t>
  </si>
  <si>
    <t>Form No. 1</t>
  </si>
  <si>
    <t>Transmission</t>
  </si>
  <si>
    <t>Page, Line, Col.</t>
  </si>
  <si>
    <t>Company Total</t>
  </si>
  <si>
    <t xml:space="preserve">                  Allocator</t>
  </si>
  <si>
    <t>(Col 3 times Col 4)</t>
  </si>
  <si>
    <r>
      <t>RATE BASE:</t>
    </r>
    <r>
      <rPr>
        <b/>
        <sz val="12"/>
        <color indexed="10"/>
        <rFont val="Times New Roman"/>
        <family val="1"/>
      </rPr>
      <t xml:space="preserve"> </t>
    </r>
  </si>
  <si>
    <t>GROSS PLANT IN SERVICE</t>
  </si>
  <si>
    <t xml:space="preserve">  Production</t>
  </si>
  <si>
    <t>205.46.g</t>
  </si>
  <si>
    <t>NA</t>
  </si>
  <si>
    <t>2a</t>
  </si>
  <si>
    <t xml:space="preserve">  Transmission &amp; Intangible</t>
  </si>
  <si>
    <t>207.58.g &amp; 205.5g</t>
  </si>
  <si>
    <t>2b</t>
  </si>
  <si>
    <t xml:space="preserve">  CWIP</t>
  </si>
  <si>
    <t xml:space="preserve">  Distribution</t>
  </si>
  <si>
    <t>207.75.g</t>
  </si>
  <si>
    <t xml:space="preserve">  General</t>
  </si>
  <si>
    <t>207.99.g</t>
  </si>
  <si>
    <t>W/S</t>
  </si>
  <si>
    <t xml:space="preserve">  Common</t>
  </si>
  <si>
    <t>356.1</t>
  </si>
  <si>
    <t>CE</t>
  </si>
  <si>
    <t>TOTAL GROSS PLANT  (sum lines 1-5)</t>
  </si>
  <si>
    <t>GP=</t>
  </si>
  <si>
    <t>ACCUMULATED DEPRECIATION</t>
  </si>
  <si>
    <t>219.20-24.c</t>
  </si>
  <si>
    <t>8a</t>
  </si>
  <si>
    <t>219.25.c&amp;d &amp; 200.21.c</t>
  </si>
  <si>
    <t>8b</t>
  </si>
  <si>
    <t>219.26.c</t>
  </si>
  <si>
    <t>219.28.c&amp;d</t>
  </si>
  <si>
    <t>TOTAL ACCUM. DEPRECIATION  (sum lines 7-11)</t>
  </si>
  <si>
    <t>NET PLANT IN SERVICE</t>
  </si>
  <si>
    <t>(line 1- line 7)</t>
  </si>
  <si>
    <t>14a</t>
  </si>
  <si>
    <t>(line 2a - line 8a)</t>
  </si>
  <si>
    <t>14b</t>
  </si>
  <si>
    <t>(line 3 - line 9)</t>
  </si>
  <si>
    <t>(line 4 - line 10)</t>
  </si>
  <si>
    <t>(line 5 - line 11)</t>
  </si>
  <si>
    <t>TOTAL NET PLANT  (sum lines 13-17)</t>
  </si>
  <si>
    <t>NP=</t>
  </si>
  <si>
    <t>ADJUSTMENTS TO RATE BASE  (Note F)</t>
  </si>
  <si>
    <t xml:space="preserve">  Account No. 281 (enter negative)</t>
  </si>
  <si>
    <t>273.8.k</t>
  </si>
  <si>
    <t>zero</t>
  </si>
  <si>
    <t xml:space="preserve">  Account No. 282 (enter negative)</t>
  </si>
  <si>
    <t>275.2.k</t>
  </si>
  <si>
    <t>NP</t>
  </si>
  <si>
    <t xml:space="preserve">  Account No. 283 (enter negative)</t>
  </si>
  <si>
    <t>277.9.k</t>
  </si>
  <si>
    <t xml:space="preserve">  Account No. 190 </t>
  </si>
  <si>
    <t>234.8.c</t>
  </si>
  <si>
    <t xml:space="preserve">  Account No. 255 (enter negative)</t>
  </si>
  <si>
    <t>267.8.h</t>
  </si>
  <si>
    <t>TOTAL ADJUSTMENTS  (sum lines 19- 23)</t>
  </si>
  <si>
    <t xml:space="preserve">LAND HELD FOR FUTURE USE </t>
  </si>
  <si>
    <t>214.x.d  (Note G)</t>
  </si>
  <si>
    <t>WORKING CAPITAL  (Note H)</t>
  </si>
  <si>
    <t xml:space="preserve">  CWC </t>
  </si>
  <si>
    <t>calculated</t>
  </si>
  <si>
    <t xml:space="preserve">  Materials &amp; Supplies  (Note G)</t>
  </si>
  <si>
    <t>227.8.c &amp; .16.c</t>
  </si>
  <si>
    <t>TE</t>
  </si>
  <si>
    <t xml:space="preserve">  Prepayments (Account 165)</t>
  </si>
  <si>
    <t>111.57.c</t>
  </si>
  <si>
    <t>GP</t>
  </si>
  <si>
    <t>TOTAL WORKING CAPITAL  (sum lines 26 - 28)</t>
  </si>
  <si>
    <t>RATE BASE  (sum lines 18, 24, 25, &amp; 29)</t>
  </si>
  <si>
    <t>page 3 of 5</t>
  </si>
  <si>
    <t>O&amp;M (Note U, Note CC)</t>
  </si>
  <si>
    <t xml:space="preserve">  Transmission </t>
  </si>
  <si>
    <t>321.112.b</t>
  </si>
  <si>
    <t>1a</t>
  </si>
  <si>
    <t xml:space="preserve">     Less LSE Expenses Included in Transmission O&amp;M Accounts  (Note W)</t>
  </si>
  <si>
    <t xml:space="preserve">     Less Account 565</t>
  </si>
  <si>
    <t>321.96.b</t>
  </si>
  <si>
    <t xml:space="preserve">  A&amp;G</t>
  </si>
  <si>
    <t>323.197.b</t>
  </si>
  <si>
    <t xml:space="preserve">     Less FERC Annual Fees</t>
  </si>
  <si>
    <t xml:space="preserve">     Less EPRI &amp; Reg. Comm. Exp. &amp; Non-safety  Ad.  (Note I)</t>
  </si>
  <si>
    <t>5a</t>
  </si>
  <si>
    <t xml:space="preserve">     Plus Transmission Related Reg. Comm. Exp.  (Note I)</t>
  </si>
  <si>
    <t xml:space="preserve">  Transmission Lease Payments</t>
  </si>
  <si>
    <t>TOTAL O&amp;M   (sum lines 1, 3, 5a, 6, 7 less lines 1a, 2, 4, 5)</t>
  </si>
  <si>
    <t>DEPRECIATION AND AMORTIZATION EXPENSE</t>
  </si>
  <si>
    <t>336.7.b &amp; 336.1.d</t>
  </si>
  <si>
    <t>336.10.b&amp;d</t>
  </si>
  <si>
    <t>336.11.b&amp;d</t>
  </si>
  <si>
    <t>TOTAL DEPRECIATION  (sum lines 9 - 11)</t>
  </si>
  <si>
    <t>TAXES OTHER THAN INCOME TAXES  (Note J)</t>
  </si>
  <si>
    <t xml:space="preserve">  LABOR RELATED</t>
  </si>
  <si>
    <t xml:space="preserve">          Payroll</t>
  </si>
  <si>
    <t>263.i</t>
  </si>
  <si>
    <t xml:space="preserve">          Highway and vehicle</t>
  </si>
  <si>
    <t xml:space="preserve">  PLANT RELATED</t>
  </si>
  <si>
    <t xml:space="preserve">         Property</t>
  </si>
  <si>
    <t xml:space="preserve">         Gross Receipts</t>
  </si>
  <si>
    <t xml:space="preserve">         Other</t>
  </si>
  <si>
    <t xml:space="preserve">         Payments in lieu of taxes</t>
  </si>
  <si>
    <t>TOTAL OTHER TAXES  (sum lines 13 - 19)</t>
  </si>
  <si>
    <t xml:space="preserve">INCOME TAXES          </t>
  </si>
  <si>
    <t>(Note K)</t>
  </si>
  <si>
    <t xml:space="preserve">     T=1 - {[(1 - SIT) * (1 - FIT)] / (1 - SIT * FIT * p)} * (1-TEP)=</t>
  </si>
  <si>
    <t xml:space="preserve">     CIT=(T/1-T) * (1-(WCLTD/R)) =</t>
  </si>
  <si>
    <t xml:space="preserve">       where WCLTD = (page 4, line 27) and R = (page 4, line 30)</t>
  </si>
  <si>
    <t xml:space="preserve">       and FIT, SIT &amp; p are as given in footnote K.</t>
  </si>
  <si>
    <t xml:space="preserve">      1 / (1 - T)  =  (from line 21)</t>
  </si>
  <si>
    <t>Amortized Investment Tax Credit (266.8f) (enter negative)</t>
  </si>
  <si>
    <t>24a</t>
  </si>
  <si>
    <t>Excess Deferred Income Taxes (enter negative)</t>
  </si>
  <si>
    <t>24b</t>
  </si>
  <si>
    <t>Income Tax Calculation = line 22 * line 28</t>
  </si>
  <si>
    <t>ITC adjustment (line 23 * line 24)</t>
  </si>
  <si>
    <t>26a</t>
  </si>
  <si>
    <t>Excess Deferred Income Tax Adjustment (line 23 * line 24a)</t>
  </si>
  <si>
    <t>26b</t>
  </si>
  <si>
    <t>Permanent Differences Tax Adjustment</t>
  </si>
  <si>
    <t>Total Income Taxes (line 25 plus line 26 plus lines 26a and 26b)</t>
  </si>
  <si>
    <t xml:space="preserve">RETURN </t>
  </si>
  <si>
    <t xml:space="preserve">  [Rate Base (page 2, line 30) * Rate of Return (page 4, line 30)]</t>
  </si>
  <si>
    <t>REV. REQUIREMENT  (sum lines 8, 12, 20, 27, 28)</t>
  </si>
  <si>
    <t>LESS ATTACHMENT GG ADJUSTMENT [Attachment GG, page 2, line 3]   (Note X)</t>
  </si>
  <si>
    <t xml:space="preserve">[Revenue Requirement for facilities included on page 2, line 2, and also  </t>
  </si>
  <si>
    <t>included in Attachment GG]</t>
  </si>
  <si>
    <t>30a</t>
  </si>
  <si>
    <t>LESS ATTACHMENT MM ADJUSTMENT [Attachment MM, page 2, line 3]   (Note AA)</t>
  </si>
  <si>
    <t>included in Attachment MM]</t>
  </si>
  <si>
    <t>REV. REQUIREMENT TO BE COLLECTED UNDER ATTACHMENT O</t>
  </si>
  <si>
    <t>(line 29 - line 30 - line30a)</t>
  </si>
  <si>
    <t>page 4 of 5</t>
  </si>
  <si>
    <t xml:space="preserve">                SUPPORTING CALCULATIONS AND NOTES</t>
  </si>
  <si>
    <t>TRANSMISSION PLANT INCLUDED IN ISO RATES</t>
  </si>
  <si>
    <t>Total Transmission plant  (page 2, line 2a, column 3)</t>
  </si>
  <si>
    <t>Less Transmission plant excluded from ISO rates  (Note M)</t>
  </si>
  <si>
    <t>Less Transmission plant included in OATT Ancillary Services  (Note N )</t>
  </si>
  <si>
    <t>Transmission plant included in ISO rates  (line 1 less lines 2 &amp; 3)</t>
  </si>
  <si>
    <t>Percentage of Transmission plant included in ISO Rates  (line 4 divided by line 1)</t>
  </si>
  <si>
    <t>TP=</t>
  </si>
  <si>
    <t xml:space="preserve">TRANSMISSION EXPENSES </t>
  </si>
  <si>
    <r>
      <t>Total Transmission expenses  (page 3, line 1, column 3)</t>
    </r>
    <r>
      <rPr>
        <sz val="12"/>
        <color indexed="10"/>
        <rFont val="Times New Roman"/>
        <family val="1"/>
      </rPr>
      <t xml:space="preserve"> </t>
    </r>
  </si>
  <si>
    <t>Less revenue received attributable to account 457.1  (Note L)</t>
  </si>
  <si>
    <r>
      <t>Included Transmission expenses  (line 6 less line</t>
    </r>
    <r>
      <rPr>
        <sz val="12"/>
        <color indexed="10"/>
        <rFont val="Times New Roman"/>
        <family val="1"/>
      </rPr>
      <t xml:space="preserve"> </t>
    </r>
    <r>
      <rPr>
        <sz val="12"/>
        <rFont val="Times New Roman"/>
        <family val="1"/>
      </rPr>
      <t>7)</t>
    </r>
  </si>
  <si>
    <t>Percentage of Transmission expenses after adjustment  (line 8 divided by line 6)</t>
  </si>
  <si>
    <t>Percentage of Transmission plant included in ISO Rates  (line 5)</t>
  </si>
  <si>
    <t>Percentage of Transmission expenses included in ISO Rates  (line 9 times line 10)</t>
  </si>
  <si>
    <t>TE=</t>
  </si>
  <si>
    <t>WAGES &amp; SALARY ALLOCATOR  (W&amp;S)</t>
  </si>
  <si>
    <t>Form 1 Reference</t>
  </si>
  <si>
    <t>$</t>
  </si>
  <si>
    <t>Allocation</t>
  </si>
  <si>
    <t>354.20.b</t>
  </si>
  <si>
    <t xml:space="preserve">  Transmission</t>
  </si>
  <si>
    <t>354.21.b</t>
  </si>
  <si>
    <t>354.23.b</t>
  </si>
  <si>
    <t>W&amp;S Allocator</t>
  </si>
  <si>
    <t xml:space="preserve">  Other</t>
  </si>
  <si>
    <t>354.24,25,26.b</t>
  </si>
  <si>
    <t>($ / Allocation)</t>
  </si>
  <si>
    <t xml:space="preserve">  Total  (sum lines 12-15)</t>
  </si>
  <si>
    <t>=</t>
  </si>
  <si>
    <t>WS</t>
  </si>
  <si>
    <t>COMMON PLANT ALLOCATOR  (CE)  (Note O)</t>
  </si>
  <si>
    <t>% Electric</t>
  </si>
  <si>
    <t xml:space="preserve">  Electric</t>
  </si>
  <si>
    <t>200.3.c</t>
  </si>
  <si>
    <t>(line 17 / line 20)</t>
  </si>
  <si>
    <t>(line 16)</t>
  </si>
  <si>
    <t xml:space="preserve">  Gas</t>
  </si>
  <si>
    <t>200.3.d</t>
  </si>
  <si>
    <t>*</t>
  </si>
  <si>
    <t xml:space="preserve">  Water</t>
  </si>
  <si>
    <t>200.3.e</t>
  </si>
  <si>
    <t xml:space="preserve">  Total  (sum lines 17 - 19)</t>
  </si>
  <si>
    <t>RETURN (R)</t>
  </si>
  <si>
    <t>Long Term Interest (117, sum of 62.c through 66.c)</t>
  </si>
  <si>
    <t>n/a</t>
  </si>
  <si>
    <t>Preferred Dividends (118.29c)  (positive number)</t>
  </si>
  <si>
    <t xml:space="preserve">                                          Development of Common Stock:</t>
  </si>
  <si>
    <t>Proprietary Capital (112.16.c)</t>
  </si>
  <si>
    <t xml:space="preserve">Less Preferred Stock (line 28) </t>
  </si>
  <si>
    <t>Less Account 216.1 (112.12.c)  (enter negative)</t>
  </si>
  <si>
    <t>Common Stock</t>
  </si>
  <si>
    <t>(sum lines 23-25)</t>
  </si>
  <si>
    <t>Cost</t>
  </si>
  <si>
    <t>%</t>
  </si>
  <si>
    <t>(Note P)</t>
  </si>
  <si>
    <t>Weighted</t>
  </si>
  <si>
    <t xml:space="preserve">  Long Term Debt  (112, sum of 18.c through 21.c)</t>
  </si>
  <si>
    <t>=WCLTD</t>
  </si>
  <si>
    <t xml:space="preserve">  Preferred Stock  (112.3.c)</t>
  </si>
  <si>
    <t xml:space="preserve">  Common Stock  (line 26)</t>
  </si>
  <si>
    <t>Total  (sum lines 27-29)</t>
  </si>
  <si>
    <t>=R</t>
  </si>
  <si>
    <t>REVENUE CREDITS</t>
  </si>
  <si>
    <t>Load</t>
  </si>
  <si>
    <t>ACCOUNT 447 (SALES FOR RESALE)</t>
  </si>
  <si>
    <t>(310-311)</t>
  </si>
  <si>
    <t>(Note Q)</t>
  </si>
  <si>
    <t xml:space="preserve">  a. Bundled Non-RQ Sales for Resale (311.x.h)</t>
  </si>
  <si>
    <t xml:space="preserve">  b. Bundled Sales for Resale  included in Divisor on page 1</t>
  </si>
  <si>
    <t xml:space="preserve">  Total of (a)-(b)</t>
  </si>
  <si>
    <t>ACCOUNT 454 (RENT FROM ELECTRIC PROPERTY)  (Note R)</t>
  </si>
  <si>
    <t>ACCOUNT 456.1 (OTHER ELECTRIC REVENUES)  (Note V)</t>
  </si>
  <si>
    <t>(330.x.n)</t>
  </si>
  <si>
    <t xml:space="preserve">  a. Transmission charges for all transmission transactions </t>
  </si>
  <si>
    <t xml:space="preserve">  b. Transmission charges for all transmission transactions included in Divisor on Page 1</t>
  </si>
  <si>
    <t>36a</t>
  </si>
  <si>
    <t xml:space="preserve">  c. Transmission charges from Schedules associated with Attachment GG  (Note Y)</t>
  </si>
  <si>
    <t>36b</t>
  </si>
  <si>
    <t xml:space="preserve">  d. Transmission charges from Schedules associated with Attachment MM (Note BB)</t>
  </si>
  <si>
    <t xml:space="preserve">  Total of (a)-(b)-(c)-(d)</t>
  </si>
  <si>
    <t>page 5 of 5</t>
  </si>
  <si>
    <t>General Note:  References to pages in this formulary rate are indicated as:  (page#, line#, col.#)</t>
  </si>
  <si>
    <t>References to data from FERC Form 1 are indicated as:  #.y.x  (page, line, column)</t>
  </si>
  <si>
    <t>Note</t>
  </si>
  <si>
    <t>Letter</t>
  </si>
  <si>
    <t>A</t>
  </si>
  <si>
    <t>Peak as would be reported on page 401, column d of Form 1 at the time of the applicable pricing zone coincident monthly peaks.</t>
  </si>
  <si>
    <t>B</t>
  </si>
  <si>
    <t>Labeled LF, LU, IF, IU on pages 310-311 of Form 1at the time of the applicable pricing zone coincident monthly peaks.</t>
  </si>
  <si>
    <t>C</t>
  </si>
  <si>
    <t>Labeled LF on page 328 of Form 1 at the time of the applicable pricing zone coincident monthly peaks.</t>
  </si>
  <si>
    <t>D</t>
  </si>
  <si>
    <t>E</t>
  </si>
  <si>
    <t xml:space="preserve">The FERC's annual charges for the year assessed the Transmission Owner for service under this tariff. </t>
  </si>
  <si>
    <t>F</t>
  </si>
  <si>
    <t>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as discussed in Note K.  Account 281 is not allocated.  The maximum deferred tax offset to rate base is calculated in accordance with the proration formula prescribed by IRS regulation section 1.167(l)-1(h)(6).</t>
  </si>
  <si>
    <t>G</t>
  </si>
  <si>
    <t>Identified in Form 1 as being only transmission related.</t>
  </si>
  <si>
    <t>H</t>
  </si>
  <si>
    <t>Cash Working Capital assigned to transmission is one-eighth of O&amp;M allocated to transmission at page 3, line 8, column 5.  Prepayments are the electric related prepayments booked to Account No. 165 and reported on pages 111, line 57 in the Form 1.</t>
  </si>
  <si>
    <t>I</t>
  </si>
  <si>
    <t xml:space="preserve">Line 5 - EPRI Annual Membership Dues listed in Form 1 at 353.f, all Regulatory Commission Expenses itemized at 351.h, and non-safety related advertising included in Account 930.1.  Line 5a - Regulatory Commission Expenses directly related to transmission service, ISO filings, or transmission siting itemized at 351.h. </t>
  </si>
  <si>
    <t>J</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</si>
  <si>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</si>
  <si>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K</t>
  </si>
  <si>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(1/1-T) (page 3, line 26a).</t>
  </si>
  <si>
    <t xml:space="preserve">         Inputs Required:</t>
  </si>
  <si>
    <t>FIT =</t>
  </si>
  <si>
    <t>SIT=</t>
  </si>
  <si>
    <t>(State Income Tax Rate or Composite SIT)</t>
  </si>
  <si>
    <t>p =</t>
  </si>
  <si>
    <t>(percent of federal income tax deductible for state purposes)</t>
  </si>
  <si>
    <t>TEP =</t>
  </si>
  <si>
    <t>(percent of the tax exempt ownership)</t>
  </si>
  <si>
    <t>L</t>
  </si>
  <si>
    <t>Removes revenues that are distributed pursuant to Schedule 1 of the Midwest ISO Tariff.  The projected dollar amount of transmission expenses to be included in the OATT ancillary services rates, including Account Nos. 561.1, 561.2, 561.3, and 561.BA will be used as the estimated revenues for the calculation of prospective rates used for billing. The revenues received pursuant to Schedule 1 as reported in Account 457.1 will be used in the annual calculation of the Attachment O True-Up.</t>
  </si>
  <si>
    <t>M</t>
  </si>
  <si>
    <t>Removes transmission plant determined by Commission order to be state-jurisdictional according to the seven-factor test (until Form 1 balances are adjusted to reflect application of seven-factor test).</t>
  </si>
  <si>
    <t>N</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</si>
  <si>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</si>
  <si>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O</t>
  </si>
  <si>
    <t>Enter dollar amounts</t>
  </si>
  <si>
    <t>P</t>
  </si>
  <si>
    <t>Debt cost rate = long-term interest (line 21) / long term debt (line 27).  Preferred cost rate = preferred dividends (line 22) / preferred outstanding (line 28).   ROE will be supported in the original filing and no change in ROE may be made absent a filing with FERC.</t>
  </si>
  <si>
    <t>Q</t>
  </si>
  <si>
    <t>Line 33 must equal zero since all short-term power sales must be unbundled and the transmission component reflected in Account No. 456 and all other uses are to be included in the divisor.</t>
  </si>
  <si>
    <t>R</t>
  </si>
  <si>
    <t>Includes income related only to transmission facilities, such as pole attachments, rentals and special use.</t>
  </si>
  <si>
    <t>S</t>
  </si>
  <si>
    <t>Grandfathered agreements whose rates have been changed to eliminate or mitigate pancaking - the revenues are included in line 4, page 1 and the loads are included in line 13, page 1.  Grandfathered agreements whose rates have not been changed to eliminate or mitigate pancaking - the revenues are not included in line 4, page 1 nor are the loads included in line 13, page 1.</t>
  </si>
  <si>
    <t>T</t>
  </si>
  <si>
    <t>The revenues credited on page 1 lines 2-5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 facilities not included in this template (e.g., direct assignment facilities and GSUs) which are not recovered under this Rate Formula Template.</t>
  </si>
  <si>
    <t>U</t>
  </si>
  <si>
    <t>Preliminary Survey and Investigation charges related to transmission construction projects started on or after January 1, 2004 are included in account 566 and not in account 183.</t>
  </si>
  <si>
    <t>V</t>
  </si>
  <si>
    <t>Account 456.1 entry shall be the annual total of the quarterly values reported at Form 1, page 300.22.b.</t>
  </si>
  <si>
    <t>W</t>
  </si>
  <si>
    <t>Account Nos. 561.4 and 561.8 consist of RTO expenses billed to load-serving entities and are not included in Transmission Owner revenue requirements.</t>
  </si>
  <si>
    <t>X</t>
  </si>
  <si>
    <t>Pursuant to Attachment GG of the Midwest ISO Tariff, removes dollar amount of revenue requirements calculated pursuant to Attachment GG and recovered under the associated schedules of the Midwest ISO Tariff.</t>
  </si>
  <si>
    <t>Y</t>
  </si>
  <si>
    <t xml:space="preserve">Removes from revenue credits revenues that are distributed pursuant to the associated schedules of the Midwest ISO Tariff, since the Transmission Owner's Attachment O revenue requirements have already been reduced by the Attachment GG revenue requirements.  </t>
  </si>
  <si>
    <t>Z</t>
  </si>
  <si>
    <t>All amounts shown on this page (with the exception of CWC, line 26) are based on 13 month averages.  Work papers will be provided.</t>
  </si>
  <si>
    <t>AA</t>
  </si>
  <si>
    <t>Pursuant to Attachment MM of the Midwest ISO Tariff, removes dollar amount of revenue requirements calculated pursuant to Attachment MM and recovered under the associated schedules of the Midwest ISO Tariff.</t>
  </si>
  <si>
    <t>BB</t>
  </si>
  <si>
    <t xml:space="preserve">Removes from revenue credits revenues that are distributed pursuant to the associated schedules of the Midwest ISO Tariff, since the Transmission Owner's Attachment O revenue requirements have already been reduced by the Attachment MM revenue requirements.  </t>
  </si>
  <si>
    <t>CC</t>
  </si>
  <si>
    <t>Schedule 10-FERC charges should not be included in O&amp;M recovered under this Attachment O.</t>
  </si>
  <si>
    <t>Attachment GG - ATCLLC</t>
  </si>
  <si>
    <t>Formula Rate calculation</t>
  </si>
  <si>
    <t xml:space="preserve">     Rate Formula Template</t>
  </si>
  <si>
    <t xml:space="preserve"> Utilizing Attachment O - ATCLLC Data</t>
  </si>
  <si>
    <t>Page 1 of 2</t>
  </si>
  <si>
    <t>To be completed in conjunction with Attachment O - ATCLLC.</t>
  </si>
  <si>
    <t>Attachment O - ATCLLC</t>
  </si>
  <si>
    <t>Gross Transmission Plant - Total</t>
  </si>
  <si>
    <t>Attach O - ATCLLC, p 2, line 2 col 5 (Note A)</t>
  </si>
  <si>
    <t>Net Transmission Plant - Total</t>
  </si>
  <si>
    <t>Attach O - ATCLLC, p 2, line 14 col 5 (Note B)</t>
  </si>
  <si>
    <t>O&amp;M EXPENSE</t>
  </si>
  <si>
    <t>Total O&amp;M Allocated to Transmission</t>
  </si>
  <si>
    <t>Attach O - ATCLLC, p 3, line 8 col 5</t>
  </si>
  <si>
    <t>3a</t>
  </si>
  <si>
    <t>Less: Preliminary Survey and Investigation Adjustment  (Note I)</t>
  </si>
  <si>
    <t>Included in Attach O - ATCLLC, P 3, line 1 col 5</t>
  </si>
  <si>
    <t>3b</t>
  </si>
  <si>
    <t>Adjusted O&amp;M Allocated to Transmission</t>
  </si>
  <si>
    <t>(line 3 minus line 3a col 3)</t>
  </si>
  <si>
    <t>Annual Allocation Factor for O&amp;M</t>
  </si>
  <si>
    <t>(line 3b divided by line 1 col 3)</t>
  </si>
  <si>
    <t>GENERAL AND COMMON (G&amp;C) DEPRECIATION EXPENSE</t>
  </si>
  <si>
    <t>5</t>
  </si>
  <si>
    <t>Total G&amp;C Depreciation Expense</t>
  </si>
  <si>
    <t>Attach O - ATCLLC, p 3, lines 10 &amp; 11, col 5 (Note H)</t>
  </si>
  <si>
    <t>6</t>
  </si>
  <si>
    <t>Annual Allocation Factor for G&amp;C Depreciation Expense</t>
  </si>
  <si>
    <t>(line 5 divided by line 1 col 3)</t>
  </si>
  <si>
    <t>TAXES OTHER THAN INCOME TAXES</t>
  </si>
  <si>
    <t>7</t>
  </si>
  <si>
    <t>Total Other Taxes</t>
  </si>
  <si>
    <t>Attach O - ATCLLC, p 3, line 20 col 5</t>
  </si>
  <si>
    <t>8</t>
  </si>
  <si>
    <t>Annual Allocation Factor for Other Taxes</t>
  </si>
  <si>
    <t>(line 7 divided by line 1 col 3)</t>
  </si>
  <si>
    <t>9</t>
  </si>
  <si>
    <t>Annual Allocation Factor for Expense</t>
  </si>
  <si>
    <t>Sum of line 4, 6, and 8</t>
  </si>
  <si>
    <t>INCOME TAXES</t>
  </si>
  <si>
    <t>10</t>
  </si>
  <si>
    <t>Total Income Taxes</t>
  </si>
  <si>
    <t>Attach O - ATCLLC, p 3, line 27 col 5</t>
  </si>
  <si>
    <t>11</t>
  </si>
  <si>
    <t>Annual Allocation Factor for Income Taxes</t>
  </si>
  <si>
    <t>(line 10 divided by line 2 col 3)</t>
  </si>
  <si>
    <t>12</t>
  </si>
  <si>
    <t>Return on Rate Base</t>
  </si>
  <si>
    <t>Attach O - ATCLLC, p 3, line 28 col 5</t>
  </si>
  <si>
    <t>13</t>
  </si>
  <si>
    <t>Annual Allocation Factor for Return on Rate Base</t>
  </si>
  <si>
    <t>(line 12 divided by line 2 col 3)</t>
  </si>
  <si>
    <t>14</t>
  </si>
  <si>
    <t>Annual Allocation Factor for Return</t>
  </si>
  <si>
    <t>Sum of line 11 and 13</t>
  </si>
  <si>
    <t>Page 2 of 2</t>
  </si>
  <si>
    <t xml:space="preserve">                           Network Upgrade Charge Calculation By Project</t>
  </si>
  <si>
    <t>(9a)</t>
  </si>
  <si>
    <t>Line No.</t>
  </si>
  <si>
    <t>Project Name</t>
  </si>
  <si>
    <t>MTEP Project Number</t>
  </si>
  <si>
    <t xml:space="preserve">Project Gross Plant </t>
  </si>
  <si>
    <t>Annual Expense Charge</t>
  </si>
  <si>
    <t xml:space="preserve">Project Net Plant </t>
  </si>
  <si>
    <t>Annual Return Charge</t>
  </si>
  <si>
    <t>Project Depreciation Expense</t>
  </si>
  <si>
    <t>Preliminary Survey and Investigation Expense</t>
  </si>
  <si>
    <t>Annual Revenue Requirement</t>
  </si>
  <si>
    <t>True-Up Adjustment</t>
  </si>
  <si>
    <t>Network Upgrade Charge</t>
  </si>
  <si>
    <t>(Page 1 line 9)</t>
  </si>
  <si>
    <t>(Col. 3 * Col. 4)</t>
  </si>
  <si>
    <t>(Page 1 line 14)</t>
  </si>
  <si>
    <t>(Col. 6 * Col. 7)</t>
  </si>
  <si>
    <t>(Note J)</t>
  </si>
  <si>
    <t>(Sum Col. 5, 8, 9  &amp; 9a)</t>
  </si>
  <si>
    <t>(Note F)</t>
  </si>
  <si>
    <t>(Sum Col. 10 &amp; 11)
(Note G)</t>
  </si>
  <si>
    <t>Werner West-Morgan</t>
  </si>
  <si>
    <t>1b</t>
  </si>
  <si>
    <t>Pleasant Valley - St. Lawrence</t>
  </si>
  <si>
    <t>1c</t>
  </si>
  <si>
    <t>Cranberry-Conover-Iron River-Plains</t>
  </si>
  <si>
    <t>1d</t>
  </si>
  <si>
    <t>Rockdale-W.Middleton 345kV</t>
  </si>
  <si>
    <t>1e</t>
  </si>
  <si>
    <t>Lake Delton- Birchwood 138 kV line</t>
  </si>
  <si>
    <t>1f</t>
  </si>
  <si>
    <t>1g</t>
  </si>
  <si>
    <t>G507-Cedar Ridge Wind Farm</t>
  </si>
  <si>
    <t>1h</t>
  </si>
  <si>
    <t>GIC706-H012 Glacier Hills Wind Park</t>
  </si>
  <si>
    <t>2452 / 3160</t>
  </si>
  <si>
    <t>1i</t>
  </si>
  <si>
    <t>G834 Interim Upgrades</t>
  </si>
  <si>
    <t>1j</t>
  </si>
  <si>
    <t>G833 Interim Upgrades</t>
  </si>
  <si>
    <t>1k</t>
  </si>
  <si>
    <t>2nd Kewaunee Xfr</t>
  </si>
  <si>
    <t>1l</t>
  </si>
  <si>
    <t>G833/4 Long Term Solution</t>
  </si>
  <si>
    <t>1m</t>
  </si>
  <si>
    <t>Straits Power Flow Controller</t>
  </si>
  <si>
    <t>1n</t>
  </si>
  <si>
    <t>Rebuild Arcadian - Waukesha 138kV lines</t>
  </si>
  <si>
    <t>Arnold Transformer</t>
  </si>
  <si>
    <t>Green Bay to Morgan project and Menominee Co to Delta Co 138 kV line/Green Bay-Morgan 138 kV line/Morgan-Plains 2nd 345 kV line/National 138 kV SVC</t>
  </si>
  <si>
    <t>2</t>
  </si>
  <si>
    <t>Annual Totals</t>
  </si>
  <si>
    <t>Rev. Req. Adj For Attachment O - ATCLLC</t>
  </si>
  <si>
    <r>
      <t>Gross Transmission Plant is that identified on page 2 line 2 of Attachment O - ATCLLC and includes any sub lines 2a or 2b etc. and is inclusive of any CWIP included in rate base when authorized by FERC order</t>
    </r>
    <r>
      <rPr>
        <sz val="12"/>
        <rFont val="Arial"/>
        <family val="2"/>
      </rPr>
      <t xml:space="preserve"> less any prefunded AFUDC, if applicable.</t>
    </r>
  </si>
  <si>
    <r>
      <t xml:space="preserve">Net Transmission Plant is that identified on page 2 line 14 of Attachment O - ATCLLC and includes any sub lines 14a or 14b etc. and is inclusive of any CWIP included in rate base when authorized by FERC order </t>
    </r>
    <r>
      <rPr>
        <sz val="12"/>
        <rFont val="Arial"/>
        <family val="2"/>
      </rPr>
      <t>less any prefunded AFUDC, if applicable.</t>
    </r>
  </si>
  <si>
    <t>Project Gross Plant is the total capital investment for the project calculated in the same method as the gross plant value in line 1 and includes CWIP in rate base less any prefunded AFUDC, if applicable.  This value includes subsequent capital investments required to maintain the facilities to their original capabilities.</t>
  </si>
  <si>
    <t>Project Net Plant is the Project Gross Plant Identified in Column 3 less the associated Accumulated Depreciation.</t>
  </si>
  <si>
    <t>Project Depreciation Expense is the actual value booked for the project and included in the Depreciation Expense in Attachment O - ATCLLC page 3 line 12.</t>
  </si>
  <si>
    <t>True-Up Adjustment is included pursuant to a FERC approved methodology, if applicable.</t>
  </si>
  <si>
    <t>The Network Upgrade Charge is the value to be used in schedules associated with Attachment GG - ATCLLC.</t>
  </si>
  <si>
    <t>The Total General and Common Depreciation Expense excludes any depreciation expense directly associated with a project and thereby included in page 2 column 9.</t>
  </si>
  <si>
    <t>Preliminary Survey and Investigation expense (pre-certification costs) equals the actual value booked, or projected to be booked for forward-looking rate periods, for all of the MISO approved projects and included in Attachment O – ATCLLC, Page 3, Line 1, Column 5.</t>
  </si>
  <si>
    <t>Preliminary Survey and Investigation expense (pre-certification costs) equals the actual value booked, or projected to be booked for forward-looking rate periods, for each of the MISO approved RECB Projects and included in Attachment O – ATCLLC, Page 3, Line 1, Column 5.</t>
  </si>
  <si>
    <t>Attachment MM - ATCLLC</t>
  </si>
  <si>
    <t>(inputs from Attachment O - ATCLLC are rounded to whole dollars)</t>
  </si>
  <si>
    <t>Attach O - ATCLLC, p 2, line 2a and 2b col 5 (Note A)</t>
  </si>
  <si>
    <t>Transmission Accumulated Depreciation</t>
  </si>
  <si>
    <t>Attach O - ATCLLC, p 2, line 8a and 8b col 5 (Note A)</t>
  </si>
  <si>
    <t>Line 1 minus Line 1a (Note B)</t>
  </si>
  <si>
    <t>O&amp;M TRANSMISSION EXPENSE</t>
  </si>
  <si>
    <t>Transmission O&amp;M</t>
  </si>
  <si>
    <t>Attach O - ATCLLC, p 3, line 1 col 5</t>
  </si>
  <si>
    <t>3a1</t>
  </si>
  <si>
    <t>Less Preliminary Survey and Investigation Adjustment  (Note I)</t>
  </si>
  <si>
    <t>Preliminary and Survey Expense included in Attach O - ATCLLC, P 3, line 1 col 5</t>
  </si>
  <si>
    <t>Less: LSE Expenses included in above, if any</t>
  </si>
  <si>
    <t>Attach O - ATCLLC, p 3, line 1a col 5</t>
  </si>
  <si>
    <t>3c</t>
  </si>
  <si>
    <t>Less: Account 565 included in above, if any</t>
  </si>
  <si>
    <t>Attach O - ATCLLC, p 3, line 2 col 5</t>
  </si>
  <si>
    <t>3d</t>
  </si>
  <si>
    <t>Adjusted Transmission O&amp;M</t>
  </si>
  <si>
    <t>Line 3a minus Lines 3a1, 3b and 3c</t>
  </si>
  <si>
    <t>Annual Allocation Factor for Transmission O&amp;M</t>
  </si>
  <si>
    <t>(Line 3d divided by line 1a, col 3)</t>
  </si>
  <si>
    <t>OTHER O&amp;M EXPENSE</t>
  </si>
  <si>
    <t>4a</t>
  </si>
  <si>
    <t>Other O&amp;M Allocated to Transmission</t>
  </si>
  <si>
    <t>Line 3 minus Lines 3d and 3a1</t>
  </si>
  <si>
    <t>4b</t>
  </si>
  <si>
    <t>Annual Allocation Factor for Other O&amp;M</t>
  </si>
  <si>
    <t>Line 4a divided by Line 1, col 3</t>
  </si>
  <si>
    <t>Annual Allocation Factor for Other Expense</t>
  </si>
  <si>
    <t>Sum of line 4b, 6, and 8</t>
  </si>
  <si>
    <t>Multi-Value Project (MVP) Revenue Requirement Calculation</t>
  </si>
  <si>
    <t>(6)</t>
  </si>
  <si>
    <t>(7)</t>
  </si>
  <si>
    <t>(8)</t>
  </si>
  <si>
    <t>(9)</t>
  </si>
  <si>
    <t>(10)</t>
  </si>
  <si>
    <t>(11)</t>
  </si>
  <si>
    <t>(12)</t>
  </si>
  <si>
    <t>(13)</t>
  </si>
  <si>
    <t>(13a)</t>
  </si>
  <si>
    <t>(14)</t>
  </si>
  <si>
    <t>(15)</t>
  </si>
  <si>
    <t>(16)</t>
  </si>
  <si>
    <t>Project Gross Plant</t>
  </si>
  <si>
    <t>Project Accumulated Depreciation</t>
  </si>
  <si>
    <t>Transmission O&amp;M Annual Allocation Factor</t>
  </si>
  <si>
    <t>Annual Allocation for Transmission O&amp;M Expense</t>
  </si>
  <si>
    <t>Other Expense Annual Allocation Factor</t>
  </si>
  <si>
    <t>Annual Allocation for Other Expense</t>
  </si>
  <si>
    <t>MVP Annual Adjusted Revenue Requirement</t>
  </si>
  <si>
    <t>Page 1 line 4</t>
  </si>
  <si>
    <t>(Col 4 * Col 5)</t>
  </si>
  <si>
    <t>Page 1 line 9</t>
  </si>
  <si>
    <t>(Col 3 * Col 7)</t>
  </si>
  <si>
    <t>(Col 6 + Col 8)</t>
  </si>
  <si>
    <t>(Col 3 - Col 4)</t>
  </si>
  <si>
    <t>(Col 10 * Col 11)</t>
  </si>
  <si>
    <t>(Sum Col. 9, 12, 13 &amp; 13a)</t>
  </si>
  <si>
    <t>Sum Col. 14 &amp; 15
(Note G)</t>
  </si>
  <si>
    <t>Multi-Value Projects (MVP)</t>
  </si>
  <si>
    <t>MVP Total Annual Revenue Requirements</t>
  </si>
  <si>
    <t>Gross Transmission Plant is that identified on page 2 lines 2a and 2b of Attachment O - ATCLLC  and is inclusive of any CWIP included in rate base.  Transmission Accumulated Depreciation comports with this Note A and B below.</t>
  </si>
  <si>
    <t>Net Transmission Plant is that identified on page 2 lines 14a and 14b of Attachment O - ATCLLC and is inclusive of any CWIP included in rate base.</t>
  </si>
  <si>
    <t>Project Gross Plant is the total capital investment for the project calculated in the same method as the gross plant value in line 1 and includes CWIP in rate base.  This value includes subsequent capital investments required to maintain the facilities to their original capabilities.</t>
  </si>
  <si>
    <t>Note deliberately left blank.</t>
  </si>
  <si>
    <t>True-Up Adjustment is included pursuant to Attachment MM - ATCLLC Annual True-up Procedure.</t>
  </si>
  <si>
    <t>The MVP Annual Revenue Requirement is the value to be used in Schedule 26-A.</t>
  </si>
  <si>
    <t>The Total General and Common Depreciation Expense excludes any depreciation expense directly associated with a project and thereby included in page 2 column 13.</t>
  </si>
  <si>
    <t>Preliminary Survey and Investigation expense (pre-certification costs) equals the actual value booked, or projected to be booked for forward-looking rate periods, for each of the MISO approved MVP Projects and included in Attachment O – ATCLLC, Page 3, Line 1, Column 5.</t>
  </si>
  <si>
    <t>LaCrosse-Madison 345 kV - Dubuque Co - Spring Green 345 kV</t>
  </si>
  <si>
    <t>Pleasant Prairie - Zion Energy Center 345 kV Line</t>
  </si>
  <si>
    <t/>
  </si>
  <si>
    <t xml:space="preserve">Estimated Network Revenue Requirement True-up </t>
  </si>
  <si>
    <t>Network Billings</t>
  </si>
  <si>
    <t>For the Year Ended December 31, 2013</t>
  </si>
  <si>
    <t>For the 12 months ended 12/31/2013</t>
  </si>
  <si>
    <t>For  the 12 months ended 12/31/2013</t>
  </si>
  <si>
    <t>CWIP</t>
  </si>
  <si>
    <t>Federal Rate</t>
  </si>
  <si>
    <t>Interest</t>
  </si>
  <si>
    <t>Member Income Tax Rates for Attachment O</t>
  </si>
  <si>
    <t>State Rate:</t>
  </si>
  <si>
    <t>Statutory</t>
  </si>
  <si>
    <t>ATC Apportionment Factor</t>
  </si>
  <si>
    <t>Wisconsin</t>
  </si>
  <si>
    <t>Minnesota</t>
  </si>
  <si>
    <t>Illinois</t>
  </si>
  <si>
    <t>District of Columbia</t>
  </si>
  <si>
    <t>Michigan</t>
  </si>
  <si>
    <t>North Carolina</t>
  </si>
  <si>
    <t>Notes:</t>
  </si>
  <si>
    <t>Apportionment formulas for states are not uniform, resulting in an aggregate apportionment that may not equal 100%</t>
  </si>
  <si>
    <t>ATC LLC</t>
  </si>
  <si>
    <t>Tax on Permanent Items</t>
  </si>
  <si>
    <t>Combined</t>
  </si>
  <si>
    <t>State Only</t>
  </si>
  <si>
    <t>Annual</t>
  </si>
  <si>
    <t>Permanent Items:</t>
  </si>
  <si>
    <t>Equity AFUDC Depr</t>
  </si>
  <si>
    <t>Tax Penalties</t>
  </si>
  <si>
    <t>Wi Recycling Fee</t>
  </si>
  <si>
    <t>DC Tax</t>
  </si>
  <si>
    <t>Illinois Tax</t>
  </si>
  <si>
    <t>Tax Rate</t>
  </si>
  <si>
    <t>Use</t>
  </si>
  <si>
    <t>13-mo Average</t>
  </si>
  <si>
    <t>Weighted Avg. Debt Rate</t>
  </si>
  <si>
    <t>Description</t>
  </si>
  <si>
    <t>Debt Amount</t>
  </si>
  <si>
    <t>Months O/S during year</t>
  </si>
  <si>
    <t>Weighted Debt Amount</t>
  </si>
  <si>
    <t>Eff. Rate**</t>
  </si>
  <si>
    <t>Weighted Rate</t>
  </si>
  <si>
    <t>Verfied against debt amortization tables</t>
  </si>
  <si>
    <t>12/02 $50.0 M Debt</t>
  </si>
  <si>
    <t>8/29/03 $70M &amp; 10/31/03 $30M Debt</t>
  </si>
  <si>
    <t>3/21/05 $100M Debt</t>
  </si>
  <si>
    <t>4/29/05 $40M &amp; 8/01/05 $60M Debt</t>
  </si>
  <si>
    <t>2/20/07 $75M Debt;5/01/07 $75M; 8/01/07 $100M</t>
  </si>
  <si>
    <t>4/30/08 $200M Debt</t>
  </si>
  <si>
    <t>3/16/09 $115M</t>
  </si>
  <si>
    <t>5/15/09 $35M</t>
  </si>
  <si>
    <t>2/1/10 $100M</t>
  </si>
  <si>
    <t>4/1/10 $50M</t>
  </si>
  <si>
    <t>12/15/10 $75M</t>
  </si>
  <si>
    <t>3/14/11 $75M</t>
  </si>
  <si>
    <t>3/14/11 $150M</t>
  </si>
  <si>
    <t>4/18/12 $150M</t>
  </si>
  <si>
    <t>Weighted Avg. ST Debt -Jan</t>
  </si>
  <si>
    <t>Weighted Avg. ST Debt -Feb</t>
  </si>
  <si>
    <t>Weighted Avg. ST Debt -Mar</t>
  </si>
  <si>
    <t>Weighted Avg. ST Debt - Apr</t>
  </si>
  <si>
    <t>Weighted Avg. ST Debt - May</t>
  </si>
  <si>
    <t>Weighted Avg. ST Debt - June</t>
  </si>
  <si>
    <t>Weighted Avg. ST Debt - July</t>
  </si>
  <si>
    <t>Weighted Avg. ST Debt - Aug</t>
  </si>
  <si>
    <t>Weighted Avg. ST Debt - Sept</t>
  </si>
  <si>
    <t>Weighted Avg. ST Debt - Oct</t>
  </si>
  <si>
    <t>Weighted Avg. ST Debt - Nov</t>
  </si>
  <si>
    <t>Weighted Avg. ST Debt - Dec</t>
  </si>
  <si>
    <t>Computation of Average Deferred Tax Balances</t>
  </si>
  <si>
    <t>Month Ended</t>
  </si>
  <si>
    <t>True-up</t>
  </si>
  <si>
    <t>Balance to Average</t>
  </si>
  <si>
    <t>Account 190</t>
  </si>
  <si>
    <t>Account 282</t>
  </si>
  <si>
    <t>Account 283</t>
  </si>
  <si>
    <t>2013 Revenue Requirement and True-up</t>
  </si>
  <si>
    <t>C1</t>
  </si>
  <si>
    <t>C2</t>
  </si>
  <si>
    <t>C3</t>
  </si>
  <si>
    <t>C4</t>
  </si>
  <si>
    <t>C5</t>
  </si>
  <si>
    <t>C6</t>
  </si>
  <si>
    <t>C7</t>
  </si>
  <si>
    <t>I1</t>
  </si>
  <si>
    <t>I2</t>
  </si>
  <si>
    <t>I3</t>
  </si>
  <si>
    <t>I4</t>
  </si>
  <si>
    <t>I5</t>
  </si>
  <si>
    <t>I6</t>
  </si>
  <si>
    <t>I7</t>
  </si>
  <si>
    <t xml:space="preserve">Annual Expense Factor </t>
  </si>
  <si>
    <t xml:space="preserve">Annual Return Factor </t>
  </si>
  <si>
    <t>Revenue Received</t>
  </si>
  <si>
    <t>% of Revenue Received</t>
  </si>
  <si>
    <t xml:space="preserve">1) Average Gross Plant Balance as it is included in the Projected Attachment O for the same year. </t>
  </si>
  <si>
    <t xml:space="preserve">2) True-Up adjustment from prior year. </t>
  </si>
  <si>
    <t>3) Average Gross Plant Balance as it is included in the Actual Attachment O.</t>
  </si>
  <si>
    <t>4) The “Total Schedule 26 Revenue Received by TO” in the Current Year.</t>
  </si>
  <si>
    <t>5)Interest calculated in accordance with the Attachment O True-Up Interest calculation based on the Aggregate Schedule 26 True-Up.</t>
  </si>
  <si>
    <t>Year</t>
  </si>
  <si>
    <t>2011 Projected Revenue Requirement Calculation</t>
  </si>
  <si>
    <t>Revenue Received 4</t>
  </si>
  <si>
    <t>2011 Actual Revenue Requirement</t>
  </si>
  <si>
    <t>2011 Annual True-up Calculation</t>
  </si>
  <si>
    <t>Received</t>
  </si>
  <si>
    <t>Interest Rate</t>
  </si>
  <si>
    <t xml:space="preserve">2011 Annual Expense Factor </t>
  </si>
  <si>
    <t xml:space="preserve">2011 Annual Return Factor </t>
  </si>
  <si>
    <t>Project Gross Plant 1</t>
  </si>
  <si>
    <t>True-Up Adjustment 2</t>
  </si>
  <si>
    <t>% of Total Rev. Req</t>
  </si>
  <si>
    <t>Project Gross Plant 3</t>
  </si>
  <si>
    <t>Net Under/(Over) Collection</t>
  </si>
  <si>
    <t>Interest Income (Expense) 5</t>
  </si>
  <si>
    <t>Total 2011 True-up</t>
  </si>
  <si>
    <t>North Randolph Transformer 500 MVA</t>
  </si>
  <si>
    <t>G527 Nelson Dewey</t>
  </si>
  <si>
    <t>LaCrosse-Madison 345 kV</t>
  </si>
  <si>
    <t>Ledge Wind Energy Ctr-Network-G773</t>
  </si>
  <si>
    <t>2452 /3160</t>
  </si>
  <si>
    <t xml:space="preserve">GIC749 EcoMont Wind Farm </t>
  </si>
  <si>
    <t>Kewaunee SS Bus Reconfiguration</t>
  </si>
  <si>
    <t>Straits Flow Control</t>
  </si>
  <si>
    <t>T:\Financial Planning and Capital Allocation\2013 Budget Planning\OASIS Posting\Attach O, GG, MM - 2013 OASIS 01.03.13.xlsx</t>
  </si>
  <si>
    <r>
      <t>Monthly</t>
    </r>
    <r>
      <rPr>
        <sz val="12"/>
        <rFont val="Arial"/>
        <family val="2"/>
      </rPr>
      <t xml:space="preserve"> FERC Interest Rate:</t>
    </r>
  </si>
  <si>
    <t>Avg.</t>
  </si>
  <si>
    <t>Avg. Monthly FERC Rate</t>
  </si>
  <si>
    <t>Per Month</t>
  </si>
  <si>
    <t>X  12 months</t>
  </si>
  <si>
    <t>MTEP #</t>
  </si>
  <si>
    <t>Project</t>
  </si>
  <si>
    <t>Alloc Factor</t>
  </si>
  <si>
    <t>Eligible Amount</t>
  </si>
  <si>
    <t>Monthly Preliminary Survey &amp; Investigation Expense</t>
  </si>
  <si>
    <t>F0823:  Werner West - Morgan</t>
  </si>
  <si>
    <t>F0823</t>
  </si>
  <si>
    <t>Gross Plant In Service</t>
  </si>
  <si>
    <t>Beg. Accum. Reserve</t>
  </si>
  <si>
    <t>Monthly Depr. Expense</t>
  </si>
  <si>
    <t>Retirements</t>
  </si>
  <si>
    <t>Net Plant In Service</t>
  </si>
  <si>
    <t>F1324:  Port Wash Phase 2 TSR OH Rebuild</t>
  </si>
  <si>
    <t>F1324</t>
  </si>
  <si>
    <t>F1363:  Cranberry-Conover-Iron River-Plains</t>
  </si>
  <si>
    <t>F1363</t>
  </si>
  <si>
    <t>F1435:  Dane Cnty Rockdale- WMD new 345kV</t>
  </si>
  <si>
    <t>F1435</t>
  </si>
  <si>
    <t>F2019:  G507 Cedar Ridge Wind Farm</t>
  </si>
  <si>
    <t>F2019</t>
  </si>
  <si>
    <t>F2630:  Glacier Hills Wind Park</t>
  </si>
  <si>
    <t>F2630</t>
  </si>
  <si>
    <t>F2828:  G834 Interim Upgrades (Barnhart Branch River)</t>
  </si>
  <si>
    <t>F2828</t>
  </si>
  <si>
    <t>F2854:  G833 Interim Upgrades (Barnhart Branch River)</t>
  </si>
  <si>
    <t>F2854</t>
  </si>
  <si>
    <t>F2437:  Kewaunee SS Bus Reconfiguration</t>
  </si>
  <si>
    <t>F2437</t>
  </si>
  <si>
    <t>F2894:  Straits SS - Install Power Flow Control</t>
  </si>
  <si>
    <t>F2894</t>
  </si>
  <si>
    <t>F2142:  9942 9962 Arcadian Waukesha Uprate</t>
  </si>
  <si>
    <t>F2142</t>
  </si>
  <si>
    <t>F3080:  Arnold SS Expansion</t>
  </si>
  <si>
    <t>F3080</t>
  </si>
  <si>
    <t>F2676</t>
  </si>
  <si>
    <t>F3064:  Barnhart Branch River Reliability</t>
  </si>
  <si>
    <t>F3064</t>
  </si>
  <si>
    <t>F3471</t>
  </si>
  <si>
    <t>F3501:  GBMP-345kV Project</t>
  </si>
  <si>
    <t>F3501</t>
  </si>
  <si>
    <t>F3513</t>
  </si>
  <si>
    <t>F3514:  Holmes-Escanaba 138kV</t>
  </si>
  <si>
    <t>F3514</t>
  </si>
  <si>
    <t>F4112</t>
  </si>
  <si>
    <t>F4111:  G833-834 J022-023 Branch PB</t>
  </si>
  <si>
    <t>F4111</t>
  </si>
  <si>
    <t>All Projects</t>
  </si>
  <si>
    <t>F3122</t>
  </si>
  <si>
    <t>F3123:  Pleasant Prairie - Zion Energy Center 345 kV Line</t>
  </si>
  <si>
    <t>F3123</t>
  </si>
  <si>
    <t>F2789 &amp; F3398</t>
  </si>
  <si>
    <t>F3105 &amp; F3434:  LaCrosse-Madison 345 kV - Dubuque Co - Spring Green 345 kV</t>
  </si>
  <si>
    <t>F3105 &amp; F3434</t>
  </si>
  <si>
    <t>(Form 1, footnote to p 321, Lines 85, 86, &amp; 87)</t>
  </si>
  <si>
    <t>(Form 1, p 321, Line 87)</t>
  </si>
  <si>
    <t>Account 561.3</t>
  </si>
  <si>
    <t>(Form 1, p 321, Line 86)</t>
  </si>
  <si>
    <t>Account 561.2</t>
  </si>
  <si>
    <t>Company:</t>
  </si>
  <si>
    <t>Schedule 1 True-Up Adjustment</t>
  </si>
  <si>
    <t>(Form 1, p 321, Line 85)</t>
  </si>
  <si>
    <t>Company</t>
  </si>
  <si>
    <t>True-Up Year:</t>
  </si>
  <si>
    <t>Current Year Schedule 1 revenues include revenue credits and exclude True-Up Adjustments.</t>
  </si>
  <si>
    <t>Scheduling, Control, and Dispatch Service--Transmission.</t>
  </si>
  <si>
    <t>(Over)/Under Collected Amount (Note E)</t>
  </si>
  <si>
    <t>(Form 1, footnote to p 300, Line 23)</t>
  </si>
  <si>
    <r>
      <t>Revenues including revenue credits (Account 457.1)</t>
    </r>
    <r>
      <rPr>
        <sz val="11"/>
        <color theme="1"/>
        <rFont val="Times New Roman"/>
        <family val="1"/>
      </rPr>
      <t xml:space="preserve"> (Note D)</t>
    </r>
  </si>
  <si>
    <r>
      <t>Account 561 Available excluding revenue credits</t>
    </r>
    <r>
      <rPr>
        <sz val="11"/>
        <color theme="1"/>
        <rFont val="Times New Roman"/>
        <family val="1"/>
      </rPr>
      <t xml:space="preserve"> (Note C)</t>
    </r>
  </si>
  <si>
    <t>Account 561.BA for Schedule 24 (Note B)</t>
  </si>
  <si>
    <t xml:space="preserve">   Subtotal (sum lines 1-3)</t>
  </si>
  <si>
    <t>Account 561.1 (Note A)</t>
  </si>
  <si>
    <t>Amount being Refunded in 2014, Including Interest</t>
  </si>
  <si>
    <t>Attachment O revenue requirement</t>
  </si>
  <si>
    <t>Reconciliation to Network True-up</t>
  </si>
  <si>
    <t>FERC Form 1 300.22.b</t>
  </si>
  <si>
    <t>Schedules 7&amp;8 amounts received</t>
  </si>
  <si>
    <t>FERC Form 1 300.21.b</t>
  </si>
  <si>
    <t>456 Other Electric Revenues</t>
  </si>
  <si>
    <t>454 Rentals</t>
  </si>
  <si>
    <r>
      <t xml:space="preserve">Ties to revenue requirement from </t>
    </r>
    <r>
      <rPr>
        <b/>
        <sz val="10"/>
        <rFont val="Arial"/>
        <family val="2"/>
      </rPr>
      <t>Attachment GG-ATCLLC</t>
    </r>
  </si>
  <si>
    <r>
      <t xml:space="preserve">Ties to revenue requirement from </t>
    </r>
    <r>
      <rPr>
        <b/>
        <sz val="10"/>
        <rFont val="Arial"/>
        <family val="2"/>
      </rPr>
      <t>Attachment MM-ATCLLC</t>
    </r>
  </si>
  <si>
    <t>Less:  2013 network billings</t>
  </si>
  <si>
    <t>456.1 Revenues from Transmission of Electrictiy of Others</t>
  </si>
  <si>
    <t>Sum of 456 and 456.1 balances from FERC Form 1</t>
  </si>
  <si>
    <t>Attachment O-ATCLLC, Page 4, Line 36a (sum of lines (6) and (7) above)</t>
  </si>
  <si>
    <t>Attachment O-ATCLLC, Page 4, Line 36b (sum of lines (8) and (9) above)</t>
  </si>
  <si>
    <t>Attachment O-ATCLLC, Page 4, Line 37 (sum of lines (2) and (5) above)</t>
  </si>
  <si>
    <t>Amortization of Excess Deferred Income Taxes</t>
  </si>
  <si>
    <t xml:space="preserve">For Post 2007 </t>
  </si>
  <si>
    <t>Federal</t>
  </si>
  <si>
    <t>State</t>
  </si>
  <si>
    <t>Balance</t>
  </si>
  <si>
    <t>Amortization Period</t>
  </si>
  <si>
    <t>Original 12-31-2005 Excess</t>
  </si>
  <si>
    <t>Revised 12-31-2005 Excess</t>
  </si>
  <si>
    <t>Revised 12-31-2011 Excess/(Shortage)</t>
  </si>
  <si>
    <t>2006 amortization is based upon a 22.5 year remaining book life.</t>
  </si>
  <si>
    <t>2007 and after is based upon 12-31-2006 remaining book life of 24 years.</t>
  </si>
  <si>
    <t xml:space="preserve">2008 amortization is adjusted for a change is the 12-31-2005 excess.  </t>
  </si>
  <si>
    <t xml:space="preserve">        Opening excess revised for a change in effective tax rates.</t>
  </si>
  <si>
    <t>Proof of Tax Exempt Ownership % for Attachment O</t>
  </si>
  <si>
    <t>Return on rate base (page 3, line 28)</t>
  </si>
  <si>
    <t>Equity component of return (page 4, line 29)</t>
  </si>
  <si>
    <t>Total return (page 4, line 30)</t>
  </si>
  <si>
    <t>Equity / total return</t>
  </si>
  <si>
    <t>Equity component of return on rate base</t>
  </si>
  <si>
    <t>Total income taxes (page 3, line 27)</t>
  </si>
  <si>
    <t>Earnings before tax from Attachment O</t>
  </si>
  <si>
    <t>Earnings allocated to tax exempt owners</t>
  </si>
  <si>
    <t>2013 Actual Results</t>
  </si>
  <si>
    <t>Apportioned Rate (SIT)</t>
  </si>
  <si>
    <t>December 31, 2013</t>
  </si>
  <si>
    <t>Tax exempt ownership percentage (TEP)</t>
  </si>
  <si>
    <t>Monthly network billing ($44,154,741.52 x 12, + 2011 over-collection of $1,295,494)</t>
  </si>
  <si>
    <t>Attachment O-ATCLLC, Page 4, Line 34 (line (1) above)</t>
  </si>
  <si>
    <t>Attachment O-ATCLLC, Page 4, Line 35 (sum of lines (2) and (10) above)</t>
  </si>
  <si>
    <t>Details to FERC Form 1 Balances in Revenue Accounts</t>
  </si>
  <si>
    <t>456.1 Revenue-Network Service</t>
  </si>
  <si>
    <t>456.1 Revenue-Network Service True-up</t>
  </si>
  <si>
    <t>456.1 Revenue-Regional Schedule 26</t>
  </si>
  <si>
    <t>456.1 Revenue-Regional Schedule 26A</t>
  </si>
  <si>
    <t>456.1 Revenue-Point to Point</t>
  </si>
  <si>
    <t>456.1 Revenue-Regional Schedule 26 TrueUp</t>
  </si>
  <si>
    <t>456.1 Revenue-Regional Schedule 26A TrueUp</t>
  </si>
  <si>
    <t>Network true-up per Attachment O-ATCLLC</t>
  </si>
  <si>
    <t>FERC Form 1 300.19.b</t>
  </si>
  <si>
    <t>Schedule 26 amounts received</t>
  </si>
  <si>
    <t>Schedule 26A amounts received</t>
  </si>
  <si>
    <t>Schedule 26A true-up per Attachment MM-ATCLLC</t>
  </si>
  <si>
    <t>Schedule 26 true-up per Attachment GG-ATCLLC</t>
  </si>
  <si>
    <t>Reconciliation of FERC Form 1 to Attachment O-ATCLLC Revenues</t>
  </si>
  <si>
    <t>Total Network Revenue Requirement per Attachment O-ATCLLC</t>
  </si>
  <si>
    <t>Less:  Network True-up to be Refunded in 2015</t>
  </si>
  <si>
    <t>Less:  Schedule 1 True-up to be Refunded in 2015</t>
  </si>
  <si>
    <t>Network True-up to be Refunded in 2014</t>
  </si>
  <si>
    <t>2013 Network Over-collection</t>
  </si>
  <si>
    <t>1st Qtr. 2013</t>
  </si>
  <si>
    <t>2nd Qtr. 2013</t>
  </si>
  <si>
    <t>3rd Qtr. 2013</t>
  </si>
  <si>
    <t>Accounting Changes</t>
  </si>
  <si>
    <t>2013 Attachment O true-up under/(over) collection</t>
  </si>
  <si>
    <t>Interest on the (over)/under collected amount will not be known at the time the template is submitted pursuant to the approved FERC methodology.</t>
  </si>
  <si>
    <t xml:space="preserve">Scheduling, Control, and Dispatch Service--Balancing Authority.  ATCLLC's constituent load balancing authorities incur these </t>
  </si>
  <si>
    <t>expenses; ATCLLC does not.</t>
  </si>
  <si>
    <t>Inputs in whole dollars.</t>
  </si>
  <si>
    <t>Minnesota Tax</t>
  </si>
  <si>
    <t>The cells highlighted in yellow contain the official data, either actual or projected.</t>
  </si>
  <si>
    <t>Tax Affect of Permanent Differences</t>
  </si>
  <si>
    <t>13-month average</t>
  </si>
  <si>
    <t>13-month average net total</t>
  </si>
  <si>
    <t>During 2013, ATC LLC conducted an internal cost allocation study to ensure that all costs are being properly allocated to internal projects and activities, including capital projects and business development activities.  The outcome of this study was a change in ATC LLC’s approach to administrative and general cost allocation; in particular, the capitalization of a higher percentage of such costs.  As a result, actual operations and maintenance expenses for 2013 were approximately $12M lower than what was used to calculate the forecasted revenue requirement that was billed during 2013, and was the main driver of the network revenue over-collection for the year.  ATC LLC accounted for this change on a prospective basis, as a change in accounting estimate.
ATC LLC will discuss this topic in greater detail at its 2014 Annual True-up Meeting.</t>
  </si>
  <si>
    <t>Attachment O-ATCLLC, Page 4, Line 36 (sum of lines (3) and (4) above)</t>
  </si>
</sst>
</file>

<file path=xl/styles.xml><?xml version="1.0" encoding="utf-8"?>
<styleSheet xmlns="http://schemas.openxmlformats.org/spreadsheetml/2006/main" xmlns:mc="http://schemas.openxmlformats.org/markup-compatibility/2006" xmlns:x14ac="http://schemas.microsoft.com/office/spreadsheetml/2009/9/ac" mc:Ignorable="x14ac">
  <numFmts count="122">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quot;$&quot;#,##0.000"/>
    <numFmt numFmtId="168" formatCode="0.0000"/>
    <numFmt numFmtId="169" formatCode="#,##0.00000"/>
    <numFmt numFmtId="170" formatCode="_(* #,##0_);_(* \(#,##0\);_(* &quot;-&quot;??_);_(@_)"/>
    <numFmt numFmtId="171" formatCode="0.000%"/>
    <numFmt numFmtId="172" formatCode="#,##0.0"/>
    <numFmt numFmtId="173" formatCode="#,##0.0000"/>
    <numFmt numFmtId="174" formatCode="&quot;$&quot;#,##0"/>
    <numFmt numFmtId="175" formatCode="0_);\(0\)"/>
    <numFmt numFmtId="176" formatCode="_(&quot;$&quot;* #,##0_);_(&quot;$&quot;* \(#,##0\);_(&quot;$&quot;* &quot;-&quot;??_);_(@_)"/>
    <numFmt numFmtId="177" formatCode="&quot;$&quot;#,##0;\(&quot;$&quot;#,##0\)"/>
    <numFmt numFmtId="178" formatCode="_(* #,##0.0\¢_m;[Red]_(* \-#,##0.0\¢_m;[Green]_(* 0.0\¢_m;_(@_)_%"/>
    <numFmt numFmtId="179" formatCode="_(* #,##0.00\¢_m;[Red]_(* \-#,##0.00\¢_m;[Green]_(* 0.00\¢_m;_(@_)_%"/>
    <numFmt numFmtId="180" formatCode="_(* #,##0.000\¢_m;[Red]_(* \-#,##0.000\¢_m;[Green]_(* 0.000\¢_m;_(@_)_%"/>
    <numFmt numFmtId="181" formatCode="_(_(\£* #,##0_)_%;[Red]_(\(\£* #,##0\)_%;[Green]_(_(\£* #,##0_)_%;_(@_)_%"/>
    <numFmt numFmtId="182" formatCode="_(_(\£* #,##0.0_)_%;[Red]_(\(\£* #,##0.0\)_%;[Green]_(_(\£* #,##0.0_)_%;_(@_)_%"/>
    <numFmt numFmtId="183" formatCode="_(_(\£* #,##0.00_)_%;[Red]_(\(\£* #,##0.00\)_%;[Green]_(_(\£* #,##0.00_)_%;_(@_)_%"/>
    <numFmt numFmtId="184" formatCode="0.0%_);\(0.0%\)"/>
    <numFmt numFmtId="185" formatCode="\•\ \ @"/>
    <numFmt numFmtId="186" formatCode="_(_(\•_ #0_)_%;[Red]_(_(\•_ \-#0\)_%;[Green]_(_(\•_ #0_)_%;_(_(\•_ @_)_%"/>
    <numFmt numFmtId="187" formatCode="_(_(_•_ \•_ #0_)_%;[Red]_(_(_•_ \•_ \-#0\)_%;[Green]_(_(_•_ \•_ #0_)_%;_(_(_•_ \•_ @_)_%"/>
    <numFmt numFmtId="188" formatCode="_(_(_•_ _•_ \•_ #0_)_%;[Red]_(_(_•_ _•_ \•_ \-#0\)_%;[Green]_(_(_•_ _•_ \•_ #0_)_%;_(_(_•_ \•_ @_)_%"/>
    <numFmt numFmtId="189" formatCode="#,##0,_);\(#,##0,\)"/>
    <numFmt numFmtId="190" formatCode="#,##0.0_);\(#,##0.0\)"/>
    <numFmt numFmtId="191" formatCode="0.0,_);\(0.0,\)"/>
    <numFmt numFmtId="192" formatCode="0.00,_);\(0.00,\)"/>
    <numFmt numFmtId="193" formatCode="#,##0.000_);\(#,##0.000\)"/>
    <numFmt numFmtId="194" formatCode="_(_(_$* #,##0.0_)_%;[Red]_(\(_$* #,##0.0\)_%;[Green]_(_(_$* #,##0.0_)_%;_(@_)_%"/>
    <numFmt numFmtId="195" formatCode="_(_(_$* #,##0.00_)_%;[Red]_(\(_$* #,##0.00\)_%;[Green]_(_(_$* #,##0.00_)_%;_(@_)_%"/>
    <numFmt numFmtId="196" formatCode="_(_(_$* #,##0.000_)_%;[Red]_(\(_$* #,##0.000\)_%;[Green]_(_(_$* #,##0.000_)_%;_(@_)_%"/>
    <numFmt numFmtId="197" formatCode="_._.* #,##0.0_)_%;_._.* \(#,##0.0\)_%;_._.* \ ?_)_%"/>
    <numFmt numFmtId="198" formatCode="_._.* #,##0.00_)_%;_._.* \(#,##0.00\)_%;_._.* \ ?_)_%"/>
    <numFmt numFmtId="199" formatCode="_._.* #,##0.000_)_%;_._.* \(#,##0.000\)_%;_._.* \ ?_)_%"/>
    <numFmt numFmtId="200" formatCode="_._.* #,##0.0000_)_%;_._.* \(#,##0.0000\)_%;_._.* \ ?_)_%"/>
    <numFmt numFmtId="201" formatCode="_(_(&quot;$&quot;* #,##0.0_)_%;[Red]_(\(&quot;$&quot;* #,##0.0\)_%;[Green]_(_(&quot;$&quot;* #,##0.0_)_%;_(@_)_%"/>
    <numFmt numFmtId="202" formatCode="_(_(&quot;$&quot;* #,##0.00_)_%;[Red]_(\(&quot;$&quot;* #,##0.00\)_%;[Green]_(_(&quot;$&quot;* #,##0.00_)_%;_(@_)_%"/>
    <numFmt numFmtId="203" formatCode="_(_(&quot;$&quot;* #,##0.000_)_%;[Red]_(\(&quot;$&quot;* #,##0.000\)_%;[Green]_(_(&quot;$&quot;* #,##0.000_)_%;_(@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_(* dd\-mmm\-yy_)_%"/>
    <numFmt numFmtId="214" formatCode="_(* dd\ mmmm\ yyyy_)_%"/>
    <numFmt numFmtId="215" formatCode="_(* mmmm\ dd\,\ yyyy_)_%"/>
    <numFmt numFmtId="216" formatCode="_(* dd\.mm\.yyyy_)_%"/>
    <numFmt numFmtId="217" formatCode="_(* mm/dd/yyyy_)_%"/>
    <numFmt numFmtId="218" formatCode="m/d/yy;@"/>
    <numFmt numFmtId="219" formatCode="#,##0.0\x_);\(#,##0.0\x\)"/>
    <numFmt numFmtId="220" formatCode="#,##0.00\x_);\(#,##0.00\x\)"/>
    <numFmt numFmtId="221" formatCode="[$€-2]\ #,##0_);\([$€-2]\ #,##0\)"/>
    <numFmt numFmtId="222" formatCode="[$€-2]\ #,##0.0_);\([$€-2]\ #,##0.0\)"/>
    <numFmt numFmtId="223" formatCode="_([$€-2]* #,##0.00_);_([$€-2]* \(#,##0.00\);_([$€-2]* &quot;-&quot;??_)"/>
    <numFmt numFmtId="224" formatCode="General_)_%"/>
    <numFmt numFmtId="225" formatCode="_(_(#0_)_%;[Red]_(_(\-#0\)_%;[Green]_(_(#0_)_%;_(_(@_)_%"/>
    <numFmt numFmtId="226" formatCode="_(_(_•_ #0_)_%;[Red]_(_(_•_ \-#0\)_%;[Green]_(_(_•_ #0_)_%;_(_(_•_ @_)_%"/>
    <numFmt numFmtId="227" formatCode="_(_(_•_ _•_ #0_)_%;[Red]_(_(_•_ _•_ \-#0\)_%;[Green]_(_(_•_ _•_ #0_)_%;_(_(_•_ _•_ @_)_%"/>
    <numFmt numFmtId="228" formatCode="_(_(_•_ _•_ _•_ #0_)_%;[Red]_(_(_•_ _•_ _•_ \-#0\)_%;[Green]_(_(_•_ _•_ _•_ #0_)_%;_(_(_•_ _•_ _•_ @_)_%"/>
    <numFmt numFmtId="229" formatCode="#,##0\x;\(#,##0\x\)"/>
    <numFmt numFmtId="230" formatCode="0.0\x;\(0.0\x\)"/>
    <numFmt numFmtId="231" formatCode="#,##0.00\x;\(#,##0.00\x\)"/>
    <numFmt numFmtId="232" formatCode="#,##0.000\x;\(#,##0.000\x\)"/>
    <numFmt numFmtId="233" formatCode="0.0_);\(0.0\)"/>
    <numFmt numFmtId="234" formatCode="0%;\(0%\)"/>
    <numFmt numFmtId="235" formatCode="0.00\ \x_);\(0.00\ \x\)"/>
    <numFmt numFmtId="236" formatCode="_(* #,##0_);_(* \(#,##0\);_(* &quot;-&quot;????_);_(@_)"/>
    <numFmt numFmtId="237" formatCode="0__"/>
    <numFmt numFmtId="238" formatCode="h:mmAM/PM"/>
    <numFmt numFmtId="239" formatCode="0&quot; E&quot;"/>
    <numFmt numFmtId="240" formatCode="yyyy"/>
    <numFmt numFmtId="241" formatCode="&quot;$&quot;#,##0.0"/>
    <numFmt numFmtId="242" formatCode="0.0%;\(0.0%\)"/>
    <numFmt numFmtId="243" formatCode="0.00%_);\(0.00%\)"/>
    <numFmt numFmtId="244" formatCode="0.000%_);\(0.000%\)"/>
    <numFmt numFmtId="245" formatCode="_(0_)%;\(0\)%;\ \ ?_)%"/>
    <numFmt numFmtId="246" formatCode="_._._(* 0_)%;_._.* \(0\)%;_._._(* \ ?_)%"/>
    <numFmt numFmtId="247" formatCode="0%_);\(0%\)"/>
    <numFmt numFmtId="248" formatCode="_(* #,##0_)_%;[Red]_(* \(#,##0\)_%;[Green]_(* 0_)_%;_(@_)_%"/>
    <numFmt numFmtId="249" formatCode="_(* #,##0.0%_);[Red]_(* \-#,##0.0%_);[Green]_(* 0.0%_);_(@_)_%"/>
    <numFmt numFmtId="250" formatCode="_(* #,##0.00%_);[Red]_(* \-#,##0.00%_);[Green]_(* 0.00%_);_(@_)_%"/>
    <numFmt numFmtId="251" formatCode="_(* #,##0.000%_);[Red]_(* \-#,##0.000%_);[Green]_(* 0.000%_);_(@_)_%"/>
    <numFmt numFmtId="252" formatCode="_(0.0_)%;\(0.0\)%;\ \ ?_)%"/>
    <numFmt numFmtId="253" formatCode="_._._(* 0.0_)%;_._.* \(0.0\)%;_._._(* \ ?_)%"/>
    <numFmt numFmtId="254" formatCode="_(0.00_)%;\(0.00\)%;\ \ ?_)%"/>
    <numFmt numFmtId="255" formatCode="_._._(* 0.00_)%;_._.* \(0.00\)%;_._._(* \ ?_)%"/>
    <numFmt numFmtId="256" formatCode="_(0.000_)%;\(0.000\)%;\ \ ?_)%"/>
    <numFmt numFmtId="257" formatCode="_._._(* 0.000_)%;_._.* \(0.000\)%;_._._(* \ ?_)%"/>
    <numFmt numFmtId="258" formatCode="_(0.0000_)%;\(0.0000\)%;\ \ ?_)%"/>
    <numFmt numFmtId="259" formatCode="_._._(* 0.0000_)%;_._.* \(0.0000\)%;_._._(* \ ?_)%"/>
    <numFmt numFmtId="260" formatCode="0.0%"/>
    <numFmt numFmtId="261" formatCode="mmmm\ dd\,\ yy"/>
    <numFmt numFmtId="262" formatCode="0.0\x"/>
    <numFmt numFmtId="263" formatCode="_(* #,##0_);_(* \(#,##0\);_(* \ ?_)"/>
    <numFmt numFmtId="264" formatCode="_(* #,##0.0_);_(* \(#,##0.0\);_(* \ ?_)"/>
    <numFmt numFmtId="265" formatCode="_(* #,##0.00_);_(* \(#,##0.00\);_(* \ ?_)"/>
    <numFmt numFmtId="266" formatCode="_(* #,##0.000_);_(* \(#,##0.000\);_(* \ ?_)"/>
    <numFmt numFmtId="267" formatCode="_(&quot;$&quot;* #,##0_);_(&quot;$&quot;* \(#,##0\);_(&quot;$&quot;* \ ?_)"/>
    <numFmt numFmtId="268" formatCode="_(&quot;$&quot;* #,##0.0_);_(&quot;$&quot;* \(#,##0.0\);_(&quot;$&quot;* \ ?_)"/>
    <numFmt numFmtId="269" formatCode="_(&quot;$&quot;* #,##0.00_);_(&quot;$&quot;* \(#,##0.00\);_(&quot;$&quot;* \ ?_)"/>
    <numFmt numFmtId="270" formatCode="_(&quot;$&quot;* #,##0.000_);_(&quot;$&quot;* \(#,##0.000\);_(&quot;$&quot;* \ ?_)"/>
    <numFmt numFmtId="271" formatCode="0000&quot;A&quot;"/>
    <numFmt numFmtId="272" formatCode="0&quot;E&quot;"/>
    <numFmt numFmtId="273" formatCode="0000&quot;E&quot;"/>
    <numFmt numFmtId="274" formatCode="0.0000%"/>
    <numFmt numFmtId="275" formatCode="0.00000%"/>
    <numFmt numFmtId="276" formatCode="0.000000%"/>
    <numFmt numFmtId="277" formatCode="m/d/yy"/>
    <numFmt numFmtId="278" formatCode="[$-409]mmm\-yy;@"/>
  </numFmts>
  <fonts count="124">
    <font>
      <sz val="11"/>
      <color theme="1"/>
      <name val="Calibri"/>
      <family val="2"/>
      <scheme val="minor"/>
    </font>
    <font>
      <sz val="11"/>
      <color theme="1"/>
      <name val="Calibri"/>
      <family val="2"/>
      <scheme val="minor"/>
    </font>
    <font>
      <sz val="10"/>
      <name val="Arial"/>
      <family val="2"/>
    </font>
    <font>
      <sz val="12"/>
      <name val="Times New Roman"/>
      <family val="1"/>
    </font>
    <font>
      <sz val="12"/>
      <name val="Arial MT"/>
    </font>
    <font>
      <b/>
      <i/>
      <sz val="12"/>
      <name val="Times New Roman"/>
      <family val="1"/>
    </font>
    <font>
      <b/>
      <sz val="12"/>
      <name val="Times New Roman"/>
      <family val="1"/>
    </font>
    <font>
      <b/>
      <sz val="12"/>
      <color indexed="10"/>
      <name val="Times New Roman"/>
      <family val="1"/>
    </font>
    <font>
      <sz val="12"/>
      <color rgb="FFFF0000"/>
      <name val="Times New Roman"/>
      <family val="1"/>
    </font>
    <font>
      <sz val="12"/>
      <color theme="1"/>
      <name val="Times New Roman"/>
      <family val="1"/>
    </font>
    <font>
      <strike/>
      <sz val="12"/>
      <name val="Times New Roman"/>
      <family val="1"/>
    </font>
    <font>
      <sz val="12"/>
      <color indexed="10"/>
      <name val="Times New Roman"/>
      <family val="1"/>
    </font>
    <font>
      <strike/>
      <sz val="12"/>
      <color indexed="10"/>
      <name val="Times New Roman"/>
      <family val="1"/>
    </font>
    <font>
      <sz val="12"/>
      <name val="Arial"/>
      <family val="2"/>
    </font>
    <font>
      <b/>
      <sz val="12"/>
      <name val="Arial"/>
      <family val="2"/>
    </font>
    <font>
      <b/>
      <sz val="12"/>
      <name val="Arial MT"/>
    </font>
    <font>
      <b/>
      <u/>
      <sz val="12"/>
      <name val="Arial MT"/>
    </font>
    <font>
      <sz val="11"/>
      <name val="Calibri"/>
      <family val="2"/>
      <scheme val="minor"/>
    </font>
    <font>
      <sz val="10"/>
      <name val="Arial MT"/>
    </font>
    <font>
      <sz val="12"/>
      <color indexed="17"/>
      <name val="Arial MT"/>
    </font>
    <font>
      <u/>
      <sz val="12"/>
      <name val="Arial"/>
      <family val="2"/>
    </font>
    <font>
      <sz val="12"/>
      <color indexed="10"/>
      <name val="Arial"/>
      <family val="2"/>
    </font>
    <font>
      <sz val="12"/>
      <color indexed="10"/>
      <name val="Arial MT"/>
    </font>
    <font>
      <sz val="10"/>
      <name val="C Helvetica Condensed"/>
    </font>
    <font>
      <sz val="11"/>
      <color indexed="8"/>
      <name val="Calibri"/>
      <family val="2"/>
    </font>
    <font>
      <sz val="11"/>
      <color indexed="9"/>
      <name val="Calibri"/>
      <family val="2"/>
    </font>
    <font>
      <sz val="11"/>
      <color indexed="20"/>
      <name val="Calibri"/>
      <family val="2"/>
    </font>
    <font>
      <sz val="9"/>
      <name val="Arial"/>
      <family val="2"/>
    </font>
    <font>
      <sz val="10"/>
      <color indexed="12"/>
      <name val="Arial"/>
      <family val="2"/>
    </font>
    <font>
      <sz val="10"/>
      <color indexed="12"/>
      <name val="Times New Roman"/>
      <family val="1"/>
    </font>
    <font>
      <sz val="10"/>
      <name val="Times New Roman"/>
      <family val="1"/>
    </font>
    <font>
      <b/>
      <sz val="10"/>
      <color indexed="8"/>
      <name val="Times New Roman"/>
      <family val="1"/>
    </font>
    <font>
      <sz val="8"/>
      <name val="Arial"/>
      <family val="2"/>
    </font>
    <font>
      <b/>
      <sz val="14"/>
      <name val="Arial"/>
      <family val="2"/>
    </font>
    <font>
      <b/>
      <i/>
      <sz val="14"/>
      <name val="Arial"/>
      <family val="2"/>
    </font>
    <font>
      <b/>
      <sz val="11"/>
      <name val="Arial"/>
      <family val="2"/>
    </font>
    <font>
      <b/>
      <sz val="24"/>
      <name val="Arial Narrow"/>
      <family val="2"/>
    </font>
    <font>
      <b/>
      <i/>
      <sz val="12"/>
      <name val="Arial"/>
      <family val="2"/>
    </font>
    <font>
      <i/>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sz val="9"/>
      <color indexed="12"/>
      <name val="Arial"/>
      <family val="2"/>
    </font>
    <font>
      <sz val="9"/>
      <name val="Times New Roman"/>
      <family val="1"/>
    </font>
    <font>
      <b/>
      <sz val="11"/>
      <color indexed="52"/>
      <name val="Calibri"/>
      <family val="2"/>
    </font>
    <font>
      <b/>
      <sz val="9"/>
      <name val="Arial"/>
      <family val="2"/>
    </font>
    <font>
      <b/>
      <sz val="11"/>
      <color indexed="9"/>
      <name val="Calibri"/>
      <family val="2"/>
    </font>
    <font>
      <sz val="12"/>
      <name val="Helv"/>
    </font>
    <font>
      <sz val="11"/>
      <name val="Times New Roman"/>
      <family val="1"/>
    </font>
    <font>
      <u val="singleAccounting"/>
      <sz val="11"/>
      <name val="Times New Roman"/>
      <family val="1"/>
    </font>
    <font>
      <sz val="10"/>
      <name val="MS Sans Serif"/>
      <family val="2"/>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i/>
      <sz val="11"/>
      <color indexed="23"/>
      <name val="Calibri"/>
      <family val="2"/>
    </font>
    <font>
      <b/>
      <i/>
      <sz val="14"/>
      <name val="Tms Rmn"/>
    </font>
    <font>
      <sz val="10"/>
      <color indexed="42"/>
      <name val="Arial"/>
      <family val="2"/>
    </font>
    <font>
      <sz val="11"/>
      <color indexed="17"/>
      <name val="Calibri"/>
      <family val="2"/>
    </font>
    <font>
      <sz val="10"/>
      <color indexed="46"/>
      <name val="Arial"/>
      <family val="2"/>
    </font>
    <font>
      <b/>
      <sz val="10"/>
      <name val="Arial"/>
      <family val="2"/>
    </font>
    <font>
      <b/>
      <sz val="15"/>
      <color indexed="56"/>
      <name val="Calibri"/>
      <family val="2"/>
    </font>
    <font>
      <b/>
      <sz val="13"/>
      <color indexed="56"/>
      <name val="Calibri"/>
      <family val="2"/>
    </font>
    <font>
      <b/>
      <sz val="11"/>
      <color indexed="56"/>
      <name val="Calibri"/>
      <family val="2"/>
    </font>
    <font>
      <b/>
      <sz val="14"/>
      <name val="Book Antiqua"/>
      <family val="1"/>
    </font>
    <font>
      <i/>
      <sz val="10"/>
      <name val="Book Antiqua"/>
      <family val="1"/>
    </font>
    <font>
      <b/>
      <sz val="10"/>
      <color indexed="22"/>
      <name val="Arial"/>
      <family val="2"/>
    </font>
    <font>
      <u/>
      <sz val="10"/>
      <color indexed="12"/>
      <name val="Arial"/>
      <family val="2"/>
    </font>
    <font>
      <b/>
      <sz val="10"/>
      <color indexed="12"/>
      <name val="Arial"/>
      <family val="2"/>
    </font>
    <font>
      <sz val="11"/>
      <color indexed="62"/>
      <name val="Calibri"/>
      <family val="2"/>
    </font>
    <font>
      <sz val="10"/>
      <color indexed="12"/>
      <name val="Book Antiqua"/>
      <family val="1"/>
    </font>
    <font>
      <i/>
      <sz val="16"/>
      <name val="Times New Roman"/>
      <family val="1"/>
    </font>
    <font>
      <sz val="11"/>
      <color indexed="52"/>
      <name val="Calibri"/>
      <family val="2"/>
    </font>
    <font>
      <sz val="11"/>
      <color indexed="60"/>
      <name val="Calibri"/>
      <family val="2"/>
    </font>
    <font>
      <sz val="7"/>
      <name val="Small Fonts"/>
      <family val="2"/>
    </font>
    <font>
      <sz val="10"/>
      <name val="Arial Narrow"/>
      <family val="2"/>
    </font>
    <font>
      <b/>
      <sz val="11"/>
      <color indexed="63"/>
      <name val="Calibri"/>
      <family val="2"/>
    </font>
    <font>
      <u/>
      <sz val="10"/>
      <name val="Times New Roman"/>
      <family val="1"/>
    </font>
    <font>
      <b/>
      <sz val="10"/>
      <name val="MS Sans Serif"/>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10"/>
      <color indexed="8"/>
      <name val="Arial"/>
      <family val="2"/>
    </font>
    <font>
      <b/>
      <sz val="9"/>
      <name val="Times New Roman"/>
      <family val="1"/>
    </font>
    <font>
      <b/>
      <sz val="10"/>
      <color indexed="10"/>
      <name val="Arial"/>
      <family val="2"/>
    </font>
    <font>
      <b/>
      <sz val="18"/>
      <color indexed="56"/>
      <name val="Cambria"/>
      <family val="2"/>
    </font>
    <font>
      <i/>
      <sz val="8"/>
      <name val="Times New Roman"/>
      <family val="1"/>
    </font>
    <font>
      <b/>
      <sz val="11"/>
      <color indexed="8"/>
      <name val="Calibri"/>
      <family val="2"/>
    </font>
    <font>
      <sz val="10"/>
      <color indexed="21"/>
      <name val="Arial"/>
      <family val="2"/>
    </font>
    <font>
      <sz val="11"/>
      <color indexed="10"/>
      <name val="Calibri"/>
      <family val="2"/>
    </font>
    <font>
      <b/>
      <sz val="8"/>
      <name val="Arial"/>
      <family val="2"/>
    </font>
    <font>
      <sz val="11"/>
      <color rgb="FF3F3F76"/>
      <name val="Calibri"/>
      <family val="2"/>
      <scheme val="minor"/>
    </font>
    <font>
      <b/>
      <sz val="9"/>
      <color indexed="81"/>
      <name val="Tahoma"/>
      <family val="2"/>
    </font>
    <font>
      <sz val="9"/>
      <color indexed="81"/>
      <name val="Tahoma"/>
      <family val="2"/>
    </font>
    <font>
      <u/>
      <sz val="8"/>
      <color theme="10"/>
      <name val="Arial"/>
      <family val="2"/>
    </font>
    <font>
      <sz val="10"/>
      <name val="Arial"/>
      <family val="2"/>
    </font>
    <font>
      <sz val="10"/>
      <color rgb="FFFF0000"/>
      <name val="Arial"/>
      <family val="2"/>
    </font>
    <font>
      <u/>
      <sz val="10"/>
      <name val="Arial"/>
      <family val="2"/>
    </font>
    <font>
      <b/>
      <sz val="10"/>
      <color indexed="81"/>
      <name val="Tahoma"/>
      <family val="2"/>
    </font>
    <font>
      <sz val="10"/>
      <color indexed="81"/>
      <name val="Tahoma"/>
      <family val="2"/>
    </font>
    <font>
      <b/>
      <sz val="10"/>
      <color rgb="FFFF0000"/>
      <name val="Arial"/>
      <family val="2"/>
    </font>
    <font>
      <b/>
      <u/>
      <sz val="10"/>
      <name val="Arial"/>
      <family val="2"/>
    </font>
    <font>
      <b/>
      <sz val="10"/>
      <name val="Arial MT"/>
    </font>
    <font>
      <sz val="10"/>
      <color theme="0"/>
      <name val="Arial MT"/>
    </font>
    <font>
      <u/>
      <sz val="10"/>
      <color theme="1"/>
      <name val="Calibri"/>
      <family val="2"/>
      <scheme val="minor"/>
    </font>
    <font>
      <sz val="10"/>
      <color theme="1"/>
      <name val="Calibri"/>
      <family val="2"/>
      <scheme val="minor"/>
    </font>
    <font>
      <u/>
      <sz val="10"/>
      <color theme="10"/>
      <name val="Arial"/>
      <family val="2"/>
    </font>
    <font>
      <b/>
      <sz val="9"/>
      <name val="Arial MT"/>
    </font>
    <font>
      <sz val="11"/>
      <color theme="1"/>
      <name val="Times New Roman"/>
      <family val="2"/>
    </font>
    <font>
      <b/>
      <sz val="11"/>
      <color theme="1"/>
      <name val="Times New Roman"/>
      <family val="1"/>
    </font>
    <font>
      <b/>
      <sz val="14"/>
      <color theme="1"/>
      <name val="Times New Roman"/>
      <family val="1"/>
    </font>
    <font>
      <i/>
      <sz val="11"/>
      <color rgb="FFFF0000"/>
      <name val="Times New Roman"/>
      <family val="1"/>
    </font>
    <font>
      <sz val="11"/>
      <color theme="1"/>
      <name val="Times New Roman"/>
      <family val="1"/>
    </font>
  </fonts>
  <fills count="54">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3"/>
        <bgColor indexed="64"/>
      </patternFill>
    </fill>
    <fill>
      <patternFill patternType="solid">
        <fgColor indexed="22"/>
      </patternFill>
    </fill>
    <fill>
      <patternFill patternType="solid">
        <fgColor indexed="55"/>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2"/>
        <bgColor indexed="64"/>
      </patternFill>
    </fill>
    <fill>
      <patternFill patternType="solid">
        <fgColor rgb="FFFFCC99"/>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FF00"/>
        <bgColor indexed="64"/>
      </patternFill>
    </fill>
    <fill>
      <patternFill patternType="solid">
        <fgColor indexed="11"/>
        <bgColor indexed="64"/>
      </patternFill>
    </fill>
    <fill>
      <patternFill patternType="solid">
        <fgColor indexed="23"/>
        <bgColor indexed="64"/>
      </patternFill>
    </fill>
    <fill>
      <patternFill patternType="solid">
        <fgColor theme="1" tint="4.9989318521683403E-2"/>
        <bgColor indexed="64"/>
      </patternFill>
    </fill>
  </fills>
  <borders count="33">
    <border>
      <left/>
      <right/>
      <top/>
      <bottom/>
      <diagonal/>
    </border>
    <border>
      <left/>
      <right/>
      <top/>
      <bottom style="medium">
        <color auto="1"/>
      </bottom>
      <diagonal/>
    </border>
    <border>
      <left/>
      <right/>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hair">
        <color indexed="64"/>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bottom/>
      <diagonal/>
    </border>
    <border>
      <left/>
      <right/>
      <top style="thin">
        <color indexed="62"/>
      </top>
      <bottom style="double">
        <color indexed="62"/>
      </bottom>
      <diagonal/>
    </border>
    <border>
      <left/>
      <right/>
      <top/>
      <bottom style="hair">
        <color indexed="20"/>
      </bottom>
      <diagonal/>
    </border>
    <border>
      <left style="thin">
        <color rgb="FF7F7F7F"/>
      </left>
      <right style="thin">
        <color rgb="FF7F7F7F"/>
      </right>
      <top style="thin">
        <color rgb="FF7F7F7F"/>
      </top>
      <bottom style="thin">
        <color rgb="FF7F7F7F"/>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s>
  <cellStyleXfs count="498">
    <xf numFmtId="0" fontId="0"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164" fontId="4" fillId="0" borderId="0" applyProtection="0"/>
    <xf numFmtId="164" fontId="4" fillId="0" borderId="0" applyProtection="0"/>
    <xf numFmtId="164" fontId="4" fillId="0" borderId="0" applyProtection="0"/>
    <xf numFmtId="164" fontId="4" fillId="0" borderId="0" applyProtection="0"/>
    <xf numFmtId="44" fontId="2" fillId="0" borderId="0" applyFont="0" applyFill="0" applyBorder="0" applyAlignment="0" applyProtection="0"/>
    <xf numFmtId="0" fontId="1" fillId="0" borderId="0"/>
    <xf numFmtId="44" fontId="2" fillId="0" borderId="0" applyFont="0" applyFill="0" applyBorder="0" applyAlignment="0" applyProtection="0"/>
    <xf numFmtId="178" fontId="23" fillId="0" borderId="0" applyFont="0" applyFill="0" applyBorder="0" applyAlignment="0" applyProtection="0"/>
    <xf numFmtId="179"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2" fontId="23" fillId="0" borderId="0" applyFont="0" applyFill="0" applyBorder="0" applyAlignment="0" applyProtection="0"/>
    <xf numFmtId="183" fontId="23" fillId="0" borderId="0" applyFont="0" applyFill="0" applyBorder="0" applyAlignment="0" applyProtection="0"/>
    <xf numFmtId="0" fontId="2" fillId="0" borderId="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7"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5" fillId="14"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21" borderId="0" applyNumberFormat="0" applyBorder="0" applyAlignment="0" applyProtection="0"/>
    <xf numFmtId="0" fontId="26" fillId="5" borderId="0" applyNumberFormat="0" applyBorder="0" applyAlignment="0" applyProtection="0"/>
    <xf numFmtId="0" fontId="27" fillId="0" borderId="0"/>
    <xf numFmtId="184" fontId="2" fillId="22" borderId="0" applyNumberFormat="0" applyFill="0" applyBorder="0" applyAlignment="0" applyProtection="0">
      <alignment horizontal="right" vertical="center"/>
    </xf>
    <xf numFmtId="184" fontId="28" fillId="0" borderId="0" applyNumberFormat="0" applyFill="0" applyBorder="0" applyAlignment="0" applyProtection="0"/>
    <xf numFmtId="0" fontId="2" fillId="0" borderId="10" applyNumberFormat="0" applyFont="0" applyFill="0" applyAlignment="0" applyProtection="0"/>
    <xf numFmtId="185" fontId="3" fillId="0" borderId="0" applyFont="0" applyFill="0" applyBorder="0" applyAlignment="0" applyProtection="0"/>
    <xf numFmtId="186" fontId="23" fillId="0" borderId="0" applyFont="0" applyFill="0" applyBorder="0" applyProtection="0">
      <alignment horizontal="left"/>
    </xf>
    <xf numFmtId="187" fontId="23" fillId="0" borderId="0" applyFont="0" applyFill="0" applyBorder="0" applyProtection="0">
      <alignment horizontal="left"/>
    </xf>
    <xf numFmtId="188" fontId="23" fillId="0" borderId="0" applyFont="0" applyFill="0" applyBorder="0" applyProtection="0">
      <alignment horizontal="left"/>
    </xf>
    <xf numFmtId="37" fontId="29" fillId="0" borderId="0" applyFont="0" applyFill="0" applyBorder="0" applyAlignment="0" applyProtection="0">
      <alignment vertical="center"/>
      <protection locked="0"/>
    </xf>
    <xf numFmtId="189" fontId="30" fillId="0" borderId="0" applyFont="0" applyFill="0" applyBorder="0" applyAlignment="0" applyProtection="0"/>
    <xf numFmtId="0" fontId="31" fillId="0" borderId="0"/>
    <xf numFmtId="0" fontId="31" fillId="0" borderId="0"/>
    <xf numFmtId="164" fontId="32" fillId="0" borderId="0" applyFill="0"/>
    <xf numFmtId="164" fontId="32" fillId="0" borderId="0">
      <alignment horizontal="center"/>
    </xf>
    <xf numFmtId="0" fontId="32" fillId="0" borderId="0" applyFill="0">
      <alignment horizontal="center"/>
    </xf>
    <xf numFmtId="164" fontId="33" fillId="0" borderId="13" applyFill="0"/>
    <xf numFmtId="0" fontId="2" fillId="0" borderId="0" applyFont="0" applyAlignment="0"/>
    <xf numFmtId="0" fontId="34" fillId="0" borderId="0" applyFill="0">
      <alignment vertical="top"/>
    </xf>
    <xf numFmtId="0" fontId="33" fillId="0" borderId="0" applyFill="0">
      <alignment horizontal="left" vertical="top"/>
    </xf>
    <xf numFmtId="164" fontId="14" fillId="0" borderId="3" applyFill="0"/>
    <xf numFmtId="0" fontId="2" fillId="0" borderId="0" applyNumberFormat="0" applyFont="0" applyAlignment="0"/>
    <xf numFmtId="0" fontId="34" fillId="0" borderId="0" applyFill="0">
      <alignment wrapText="1"/>
    </xf>
    <xf numFmtId="0" fontId="33" fillId="0" borderId="0" applyFill="0">
      <alignment horizontal="left" vertical="top" wrapText="1"/>
    </xf>
    <xf numFmtId="164" fontId="35" fillId="0" borderId="0" applyFill="0"/>
    <xf numFmtId="0" fontId="36" fillId="0" borderId="0" applyNumberFormat="0" applyFont="0" applyAlignment="0">
      <alignment horizontal="center"/>
    </xf>
    <xf numFmtId="0" fontId="37" fillId="0" borderId="0" applyFill="0">
      <alignment vertical="top" wrapText="1"/>
    </xf>
    <xf numFmtId="0" fontId="14" fillId="0" borderId="0" applyFill="0">
      <alignment horizontal="left" vertical="top" wrapText="1"/>
    </xf>
    <xf numFmtId="164" fontId="2" fillId="0" borderId="0" applyFill="0"/>
    <xf numFmtId="0" fontId="36" fillId="0" borderId="0" applyNumberFormat="0" applyFont="0" applyAlignment="0">
      <alignment horizontal="center"/>
    </xf>
    <xf numFmtId="0" fontId="38" fillId="0" borderId="0" applyFill="0">
      <alignment vertical="center" wrapText="1"/>
    </xf>
    <xf numFmtId="0" fontId="13" fillId="0" borderId="0">
      <alignment horizontal="left" vertical="center" wrapText="1"/>
    </xf>
    <xf numFmtId="164" fontId="27" fillId="0" borderId="0" applyFill="0"/>
    <xf numFmtId="0" fontId="36" fillId="0" borderId="0" applyNumberFormat="0" applyFont="0" applyAlignment="0">
      <alignment horizontal="center"/>
    </xf>
    <xf numFmtId="0" fontId="39" fillId="0" borderId="0" applyFill="0">
      <alignment horizontal="center" vertical="center" wrapText="1"/>
    </xf>
    <xf numFmtId="0" fontId="2" fillId="0" borderId="0" applyFill="0">
      <alignment horizontal="center" vertical="center" wrapText="1"/>
    </xf>
    <xf numFmtId="164" fontId="40" fillId="0" borderId="0" applyFill="0"/>
    <xf numFmtId="0" fontId="36" fillId="0" borderId="0" applyNumberFormat="0" applyFont="0" applyAlignment="0">
      <alignment horizontal="center"/>
    </xf>
    <xf numFmtId="0" fontId="41" fillId="0" borderId="0" applyFill="0">
      <alignment horizontal="center" vertical="center" wrapText="1"/>
    </xf>
    <xf numFmtId="0" fontId="42" fillId="0" borderId="0" applyFill="0">
      <alignment horizontal="center" vertical="center" wrapText="1"/>
    </xf>
    <xf numFmtId="164" fontId="43" fillId="0" borderId="0" applyFill="0"/>
    <xf numFmtId="0" fontId="36" fillId="0" borderId="0" applyNumberFormat="0" applyFont="0" applyAlignment="0">
      <alignment horizontal="center"/>
    </xf>
    <xf numFmtId="0" fontId="44" fillId="0" borderId="0">
      <alignment horizontal="center" wrapText="1"/>
    </xf>
    <xf numFmtId="0" fontId="40" fillId="0" borderId="0" applyFill="0">
      <alignment horizontal="center" wrapText="1"/>
    </xf>
    <xf numFmtId="190" fontId="45" fillId="0" borderId="0" applyFont="0" applyFill="0" applyBorder="0" applyAlignment="0" applyProtection="0">
      <protection locked="0"/>
    </xf>
    <xf numFmtId="191" fontId="45" fillId="0" borderId="0" applyFont="0" applyFill="0" applyBorder="0" applyAlignment="0" applyProtection="0">
      <protection locked="0"/>
    </xf>
    <xf numFmtId="39" fontId="2" fillId="0" borderId="0" applyFont="0" applyFill="0" applyBorder="0" applyAlignment="0" applyProtection="0"/>
    <xf numFmtId="192" fontId="46" fillId="0" borderId="0" applyFont="0" applyFill="0" applyBorder="0" applyAlignment="0" applyProtection="0"/>
    <xf numFmtId="193" fontId="30" fillId="0" borderId="0" applyFont="0" applyFill="0" applyBorder="0" applyAlignment="0" applyProtection="0"/>
    <xf numFmtId="0" fontId="47" fillId="23" borderId="14" applyNumberFormat="0" applyAlignment="0" applyProtection="0"/>
    <xf numFmtId="0" fontId="2" fillId="0" borderId="10" applyNumberFormat="0" applyFont="0" applyFill="0" applyBorder="0" applyProtection="0">
      <alignment horizontal="centerContinuous" vertical="center"/>
    </xf>
    <xf numFmtId="0" fontId="48" fillId="0" borderId="0" applyFill="0" applyBorder="0" applyProtection="0">
      <alignment horizontal="center"/>
      <protection locked="0"/>
    </xf>
    <xf numFmtId="0" fontId="49" fillId="24" borderId="15" applyNumberFormat="0" applyAlignment="0" applyProtection="0"/>
    <xf numFmtId="0" fontId="2"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41" fontId="2" fillId="0" borderId="0" applyFont="0" applyFill="0" applyBorder="0" applyAlignment="0" applyProtection="0"/>
    <xf numFmtId="194" fontId="23" fillId="0" borderId="0" applyFont="0" applyFill="0" applyBorder="0" applyAlignment="0" applyProtection="0"/>
    <xf numFmtId="195" fontId="23" fillId="0" borderId="0" applyFont="0" applyFill="0" applyBorder="0" applyAlignment="0" applyProtection="0"/>
    <xf numFmtId="196" fontId="23" fillId="0" borderId="0" applyFont="0" applyFill="0" applyBorder="0" applyAlignment="0" applyProtection="0"/>
    <xf numFmtId="197" fontId="51" fillId="0" borderId="0" applyFont="0" applyFill="0" applyBorder="0" applyAlignment="0" applyProtection="0"/>
    <xf numFmtId="198" fontId="52" fillId="0" borderId="0" applyFont="0" applyFill="0" applyBorder="0" applyAlignment="0" applyProtection="0"/>
    <xf numFmtId="199" fontId="52" fillId="0" borderId="0" applyFont="0" applyFill="0" applyBorder="0" applyAlignment="0" applyProtection="0"/>
    <xf numFmtId="200" fontId="35" fillId="0" borderId="0" applyFont="0" applyFill="0" applyBorder="0" applyAlignment="0" applyProtection="0">
      <protection locked="0"/>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53"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7" fontId="54" fillId="0" borderId="0" applyFill="0" applyBorder="0" applyAlignment="0" applyProtection="0"/>
    <xf numFmtId="3" fontId="2" fillId="0" borderId="0" applyFont="0" applyFill="0" applyBorder="0" applyAlignment="0" applyProtection="0"/>
    <xf numFmtId="0" fontId="33" fillId="0" borderId="0" applyFill="0" applyBorder="0" applyAlignment="0" applyProtection="0">
      <protection locked="0"/>
    </xf>
    <xf numFmtId="201" fontId="23" fillId="0" borderId="0" applyFont="0" applyFill="0" applyBorder="0" applyAlignment="0" applyProtection="0"/>
    <xf numFmtId="202" fontId="23" fillId="0" borderId="0" applyFont="0" applyFill="0" applyBorder="0" applyAlignment="0" applyProtection="0"/>
    <xf numFmtId="203" fontId="23" fillId="0" borderId="0" applyFont="0" applyFill="0" applyBorder="0" applyAlignment="0" applyProtection="0"/>
    <xf numFmtId="204" fontId="52" fillId="0" borderId="0" applyFont="0" applyFill="0" applyBorder="0" applyAlignment="0" applyProtection="0"/>
    <xf numFmtId="205" fontId="52" fillId="0" borderId="0" applyFont="0" applyFill="0" applyBorder="0" applyAlignment="0" applyProtection="0"/>
    <xf numFmtId="206" fontId="52" fillId="0" borderId="0" applyFont="0" applyFill="0" applyBorder="0" applyAlignment="0" applyProtection="0"/>
    <xf numFmtId="207" fontId="35" fillId="0" borderId="0" applyFont="0" applyFill="0" applyBorder="0" applyAlignment="0" applyProtection="0">
      <protection locked="0"/>
    </xf>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5" fontId="54" fillId="0" borderId="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208" fontId="30" fillId="0" borderId="0" applyFont="0" applyFill="0" applyBorder="0" applyAlignment="0" applyProtection="0"/>
    <xf numFmtId="209" fontId="2" fillId="0" borderId="0" applyFont="0" applyFill="0" applyBorder="0" applyAlignment="0" applyProtection="0"/>
    <xf numFmtId="210" fontId="45" fillId="0" borderId="0" applyFont="0" applyFill="0" applyBorder="0" applyAlignment="0" applyProtection="0">
      <protection locked="0"/>
    </xf>
    <xf numFmtId="7" fontId="32" fillId="0" borderId="0" applyFont="0" applyFill="0" applyBorder="0" applyAlignment="0" applyProtection="0"/>
    <xf numFmtId="211" fontId="46" fillId="0" borderId="0" applyFont="0" applyFill="0" applyBorder="0" applyAlignment="0" applyProtection="0"/>
    <xf numFmtId="212" fontId="55" fillId="0" borderId="0" applyFont="0" applyFill="0" applyBorder="0" applyAlignment="0" applyProtection="0"/>
    <xf numFmtId="0" fontId="56" fillId="25" borderId="16" applyNumberFormat="0" applyFont="0" applyFill="0" applyAlignment="0" applyProtection="0">
      <alignment horizontal="left" indent="1"/>
    </xf>
    <xf numFmtId="14" fontId="2" fillId="0" borderId="0" applyFont="0" applyFill="0" applyBorder="0" applyAlignment="0" applyProtection="0"/>
    <xf numFmtId="213" fontId="23" fillId="0" borderId="0" applyFont="0" applyFill="0" applyBorder="0" applyProtection="0"/>
    <xf numFmtId="214" fontId="23" fillId="0" borderId="0" applyFont="0" applyFill="0" applyBorder="0" applyProtection="0"/>
    <xf numFmtId="215" fontId="23" fillId="0" borderId="0" applyFont="0" applyFill="0" applyBorder="0" applyAlignment="0" applyProtection="0"/>
    <xf numFmtId="216" fontId="23" fillId="0" borderId="0" applyFont="0" applyFill="0" applyBorder="0" applyAlignment="0" applyProtection="0"/>
    <xf numFmtId="217" fontId="23" fillId="0" borderId="0" applyFont="0" applyFill="0" applyBorder="0" applyAlignment="0" applyProtection="0"/>
    <xf numFmtId="218" fontId="57" fillId="0" borderId="0" applyFont="0" applyFill="0" applyBorder="0" applyAlignment="0" applyProtection="0"/>
    <xf numFmtId="5" fontId="58" fillId="0" borderId="0" applyBorder="0"/>
    <xf numFmtId="209" fontId="58" fillId="0" borderId="0" applyBorder="0"/>
    <xf numFmtId="7" fontId="58" fillId="0" borderId="0" applyBorder="0"/>
    <xf numFmtId="37" fontId="58" fillId="0" borderId="0" applyBorder="0"/>
    <xf numFmtId="190" fontId="58" fillId="0" borderId="0" applyBorder="0"/>
    <xf numFmtId="219" fontId="58" fillId="0" borderId="0" applyBorder="0"/>
    <xf numFmtId="39" fontId="58" fillId="0" borderId="0" applyBorder="0"/>
    <xf numFmtId="220" fontId="58" fillId="0" borderId="0" applyBorder="0"/>
    <xf numFmtId="7" fontId="2" fillId="0" borderId="0" applyFont="0" applyFill="0" applyBorder="0" applyAlignment="0" applyProtection="0"/>
    <xf numFmtId="221" fontId="30" fillId="0" borderId="0" applyFont="0" applyFill="0" applyBorder="0" applyAlignment="0" applyProtection="0"/>
    <xf numFmtId="222" fontId="30" fillId="0" borderId="0" applyFont="0" applyFill="0" applyAlignment="0" applyProtection="0"/>
    <xf numFmtId="221" fontId="30" fillId="0" borderId="0" applyFont="0" applyFill="0" applyBorder="0" applyAlignment="0" applyProtection="0"/>
    <xf numFmtId="223" fontId="2" fillId="0" borderId="0" applyFont="0" applyFill="0" applyBorder="0" applyAlignment="0" applyProtection="0"/>
    <xf numFmtId="0" fontId="59" fillId="0" borderId="0" applyNumberFormat="0" applyFill="0" applyBorder="0" applyAlignment="0" applyProtection="0"/>
    <xf numFmtId="2" fontId="2" fillId="0" borderId="0" applyFont="0" applyFill="0" applyBorder="0" applyAlignment="0" applyProtection="0"/>
    <xf numFmtId="0" fontId="60" fillId="0" borderId="0"/>
    <xf numFmtId="190" fontId="61" fillId="0" borderId="0" applyNumberFormat="0" applyFill="0" applyBorder="0" applyAlignment="0" applyProtection="0"/>
    <xf numFmtId="0" fontId="32" fillId="0" borderId="0" applyFont="0" applyFill="0" applyBorder="0" applyAlignment="0" applyProtection="0"/>
    <xf numFmtId="0" fontId="23" fillId="0" borderId="0" applyFont="0" applyFill="0" applyBorder="0" applyProtection="0">
      <alignment horizontal="center" wrapText="1"/>
    </xf>
    <xf numFmtId="224" fontId="23" fillId="0" borderId="0" applyFont="0" applyFill="0" applyBorder="0" applyProtection="0">
      <alignment horizontal="right"/>
    </xf>
    <xf numFmtId="0" fontId="62" fillId="6" borderId="0" applyNumberFormat="0" applyBorder="0" applyAlignment="0" applyProtection="0"/>
    <xf numFmtId="0" fontId="61" fillId="0" borderId="0" applyNumberFormat="0" applyFill="0" applyBorder="0" applyAlignment="0" applyProtection="0"/>
    <xf numFmtId="0" fontId="63" fillId="26" borderId="0" applyNumberFormat="0" applyFill="0" applyBorder="0" applyAlignment="0" applyProtection="0"/>
    <xf numFmtId="0" fontId="14" fillId="0" borderId="17" applyNumberFormat="0" applyAlignment="0" applyProtection="0">
      <alignment horizontal="left" vertical="center"/>
    </xf>
    <xf numFmtId="0" fontId="14" fillId="0" borderId="5">
      <alignment horizontal="left" vertical="center"/>
    </xf>
    <xf numFmtId="14" fontId="64" fillId="27" borderId="1">
      <alignment horizontal="center" vertical="center" wrapText="1"/>
    </xf>
    <xf numFmtId="0" fontId="65" fillId="0" borderId="18" applyNumberFormat="0" applyFill="0" applyAlignment="0" applyProtection="0"/>
    <xf numFmtId="0" fontId="66" fillId="0" borderId="19" applyNumberFormat="0" applyFill="0" applyAlignment="0" applyProtection="0"/>
    <xf numFmtId="0" fontId="67" fillId="0" borderId="20" applyNumberFormat="0" applyFill="0" applyAlignment="0" applyProtection="0"/>
    <xf numFmtId="0" fontId="67" fillId="0" borderId="0" applyNumberFormat="0" applyFill="0" applyBorder="0" applyAlignment="0" applyProtection="0"/>
    <xf numFmtId="0" fontId="48" fillId="0" borderId="0" applyFill="0" applyAlignment="0" applyProtection="0">
      <protection locked="0"/>
    </xf>
    <xf numFmtId="0" fontId="48" fillId="0" borderId="10" applyFill="0" applyAlignment="0" applyProtection="0">
      <protection locked="0"/>
    </xf>
    <xf numFmtId="0" fontId="68" fillId="0" borderId="1"/>
    <xf numFmtId="0" fontId="69" fillId="0" borderId="0"/>
    <xf numFmtId="0" fontId="70" fillId="0" borderId="10" applyNumberFormat="0" applyFill="0" applyAlignment="0" applyProtection="0"/>
    <xf numFmtId="0" fontId="57" fillId="28" borderId="0" applyNumberFormat="0" applyFont="0" applyBorder="0" applyAlignment="0" applyProtection="0"/>
    <xf numFmtId="0" fontId="71" fillId="0" borderId="0" applyNumberFormat="0" applyFill="0" applyBorder="0" applyAlignment="0" applyProtection="0">
      <alignment vertical="top"/>
      <protection locked="0"/>
    </xf>
    <xf numFmtId="0" fontId="72" fillId="29" borderId="6" applyNumberFormat="0" applyAlignment="0" applyProtection="0"/>
    <xf numFmtId="225" fontId="23" fillId="0" borderId="0" applyFont="0" applyFill="0" applyBorder="0" applyProtection="0">
      <alignment horizontal="left"/>
    </xf>
    <xf numFmtId="226" fontId="23" fillId="0" borderId="0" applyFont="0" applyFill="0" applyBorder="0" applyProtection="0">
      <alignment horizontal="left"/>
    </xf>
    <xf numFmtId="227" fontId="23" fillId="0" borderId="0" applyFont="0" applyFill="0" applyBorder="0" applyProtection="0">
      <alignment horizontal="left"/>
    </xf>
    <xf numFmtId="228" fontId="23" fillId="0" borderId="0" applyFont="0" applyFill="0" applyBorder="0" applyProtection="0">
      <alignment horizontal="left"/>
    </xf>
    <xf numFmtId="10" fontId="32" fillId="30" borderId="6" applyNumberFormat="0" applyBorder="0" applyAlignment="0" applyProtection="0"/>
    <xf numFmtId="0" fontId="73" fillId="9" borderId="14" applyNumberFormat="0" applyAlignment="0" applyProtection="0"/>
    <xf numFmtId="5" fontId="74" fillId="0" borderId="0" applyBorder="0"/>
    <xf numFmtId="209" fontId="74" fillId="0" borderId="0" applyBorder="0"/>
    <xf numFmtId="7" fontId="74" fillId="0" borderId="0" applyBorder="0"/>
    <xf numFmtId="37" fontId="74" fillId="0" borderId="0" applyBorder="0"/>
    <xf numFmtId="190" fontId="74" fillId="0" borderId="0" applyBorder="0"/>
    <xf numFmtId="219" fontId="74" fillId="0" borderId="0" applyBorder="0"/>
    <xf numFmtId="39" fontId="74" fillId="0" borderId="0" applyBorder="0"/>
    <xf numFmtId="220" fontId="74" fillId="0" borderId="0" applyBorder="0"/>
    <xf numFmtId="0" fontId="57" fillId="0" borderId="7" applyNumberFormat="0" applyFont="0" applyFill="0" applyAlignment="0" applyProtection="0"/>
    <xf numFmtId="0" fontId="75" fillId="0" borderId="0"/>
    <xf numFmtId="0" fontId="76" fillId="0" borderId="21" applyNumberFormat="0" applyFill="0" applyAlignment="0" applyProtection="0"/>
    <xf numFmtId="229" fontId="2" fillId="0" borderId="0" applyFont="0" applyFill="0" applyBorder="0" applyAlignment="0" applyProtection="0"/>
    <xf numFmtId="230" fontId="2" fillId="0" borderId="0" applyFont="0" applyFill="0" applyBorder="0" applyAlignment="0" applyProtection="0"/>
    <xf numFmtId="231" fontId="2" fillId="0" borderId="0" applyFont="0" applyFill="0" applyBorder="0" applyAlignment="0" applyProtection="0"/>
    <xf numFmtId="232" fontId="2" fillId="0" borderId="0" applyFont="0" applyFill="0" applyBorder="0" applyAlignment="0" applyProtection="0"/>
    <xf numFmtId="0" fontId="2" fillId="0" borderId="0" applyFont="0" applyFill="0" applyBorder="0" applyAlignment="0" applyProtection="0">
      <alignment horizontal="right"/>
    </xf>
    <xf numFmtId="233" fontId="2" fillId="0" borderId="0" applyFont="0" applyFill="0" applyBorder="0" applyAlignment="0" applyProtection="0"/>
    <xf numFmtId="0" fontId="77" fillId="31" borderId="0" applyNumberFormat="0" applyBorder="0" applyAlignment="0" applyProtection="0"/>
    <xf numFmtId="37" fontId="78"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9" fillId="0" borderId="0">
      <alignment vertical="top"/>
    </xf>
    <xf numFmtId="0" fontId="3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4" fillId="32" borderId="22" applyNumberFormat="0" applyFont="0" applyAlignment="0" applyProtection="0"/>
    <xf numFmtId="0" fontId="80" fillId="23" borderId="23" applyNumberFormat="0" applyAlignment="0" applyProtection="0"/>
    <xf numFmtId="0" fontId="3" fillId="33" borderId="0" applyNumberFormat="0" applyFont="0" applyBorder="0" applyAlignment="0"/>
    <xf numFmtId="234" fontId="2" fillId="0" borderId="0" applyFont="0" applyFill="0" applyBorder="0" applyAlignment="0" applyProtection="0"/>
    <xf numFmtId="235" fontId="81" fillId="0" borderId="0"/>
    <xf numFmtId="234" fontId="2" fillId="0" borderId="0" applyFont="0" applyFill="0" applyBorder="0" applyAlignment="0" applyProtection="0"/>
    <xf numFmtId="234" fontId="2" fillId="0" borderId="0" applyFont="0" applyFill="0" applyBorder="0" applyAlignment="0" applyProtection="0"/>
    <xf numFmtId="234" fontId="2" fillId="0" borderId="0" applyFont="0" applyFill="0" applyBorder="0" applyAlignment="0" applyProtection="0"/>
    <xf numFmtId="236" fontId="2" fillId="0" borderId="0"/>
    <xf numFmtId="237" fontId="30" fillId="0" borderId="0"/>
    <xf numFmtId="237" fontId="30" fillId="0" borderId="0"/>
    <xf numFmtId="235" fontId="81" fillId="0" borderId="0"/>
    <xf numFmtId="0" fontId="30" fillId="0" borderId="0"/>
    <xf numFmtId="235" fontId="54" fillId="0" borderId="0"/>
    <xf numFmtId="236" fontId="2" fillId="0" borderId="0"/>
    <xf numFmtId="237" fontId="30" fillId="0" borderId="0"/>
    <xf numFmtId="237" fontId="30" fillId="0" borderId="0"/>
    <xf numFmtId="0" fontId="30" fillId="0" borderId="0"/>
    <xf numFmtId="0" fontId="30" fillId="0" borderId="0"/>
    <xf numFmtId="238" fontId="30" fillId="0" borderId="0"/>
    <xf numFmtId="174" fontId="30" fillId="0" borderId="0"/>
    <xf numFmtId="239" fontId="30" fillId="0" borderId="0"/>
    <xf numFmtId="238" fontId="30" fillId="0" borderId="0"/>
    <xf numFmtId="174" fontId="30" fillId="0" borderId="0"/>
    <xf numFmtId="240" fontId="30" fillId="0" borderId="0"/>
    <xf numFmtId="240" fontId="30" fillId="0" borderId="0"/>
    <xf numFmtId="241" fontId="30" fillId="0" borderId="0"/>
    <xf numFmtId="239" fontId="30" fillId="0" borderId="0"/>
    <xf numFmtId="168" fontId="30" fillId="0" borderId="0"/>
    <xf numFmtId="241" fontId="30" fillId="0" borderId="0"/>
    <xf numFmtId="241" fontId="30" fillId="0" borderId="0"/>
    <xf numFmtId="0" fontId="30" fillId="0" borderId="0"/>
    <xf numFmtId="234" fontId="2" fillId="0" borderId="0" applyFont="0" applyFill="0" applyBorder="0" applyAlignment="0" applyProtection="0"/>
    <xf numFmtId="234" fontId="2" fillId="0" borderId="0" applyFont="0" applyFill="0" applyBorder="0" applyAlignment="0" applyProtection="0"/>
    <xf numFmtId="234" fontId="2" fillId="0" borderId="0" applyFont="0" applyFill="0" applyBorder="0" applyAlignment="0" applyProtection="0"/>
    <xf numFmtId="235" fontId="81" fillId="0" borderId="0"/>
    <xf numFmtId="235" fontId="81" fillId="0" borderId="0"/>
    <xf numFmtId="234" fontId="2" fillId="0" borderId="0" applyFont="0" applyFill="0" applyBorder="0" applyAlignment="0" applyProtection="0"/>
    <xf numFmtId="235" fontId="81" fillId="0" borderId="0"/>
    <xf numFmtId="235" fontId="81" fillId="0" borderId="0"/>
    <xf numFmtId="238" fontId="30" fillId="0" borderId="0"/>
    <xf numFmtId="174" fontId="30" fillId="0" borderId="0"/>
    <xf numFmtId="239" fontId="30" fillId="0" borderId="0"/>
    <xf numFmtId="238" fontId="30" fillId="0" borderId="0"/>
    <xf numFmtId="174" fontId="30" fillId="0" borderId="0"/>
    <xf numFmtId="240" fontId="30" fillId="0" borderId="0"/>
    <xf numFmtId="240" fontId="30" fillId="0" borderId="0"/>
    <xf numFmtId="241" fontId="30" fillId="0" borderId="0"/>
    <xf numFmtId="239" fontId="30" fillId="0" borderId="0"/>
    <xf numFmtId="168" fontId="30" fillId="0" borderId="0"/>
    <xf numFmtId="241" fontId="30" fillId="0" borderId="0"/>
    <xf numFmtId="241" fontId="30" fillId="0" borderId="0"/>
    <xf numFmtId="242" fontId="27" fillId="34" borderId="0" applyFont="0" applyFill="0" applyBorder="0" applyAlignment="0" applyProtection="0"/>
    <xf numFmtId="243" fontId="27" fillId="34" borderId="0" applyFont="0" applyFill="0" applyBorder="0" applyAlignment="0" applyProtection="0"/>
    <xf numFmtId="244" fontId="2" fillId="0" borderId="0" applyFont="0" applyFill="0" applyBorder="0" applyAlignment="0" applyProtection="0"/>
    <xf numFmtId="245" fontId="52" fillId="0" borderId="0" applyFont="0" applyFill="0" applyBorder="0" applyAlignment="0" applyProtection="0"/>
    <xf numFmtId="246" fontId="51" fillId="0" borderId="0" applyFont="0" applyFill="0" applyBorder="0" applyAlignment="0" applyProtection="0"/>
    <xf numFmtId="247" fontId="2" fillId="0" borderId="0" applyFont="0" applyFill="0" applyBorder="0" applyAlignment="0" applyProtection="0"/>
    <xf numFmtId="248" fontId="23" fillId="0" borderId="0" applyFont="0" applyFill="0" applyBorder="0" applyAlignment="0" applyProtection="0"/>
    <xf numFmtId="249" fontId="23" fillId="0" borderId="0" applyFont="0" applyFill="0" applyBorder="0" applyAlignment="0" applyProtection="0"/>
    <xf numFmtId="250" fontId="23" fillId="0" borderId="0" applyFont="0" applyFill="0" applyBorder="0" applyAlignment="0" applyProtection="0"/>
    <xf numFmtId="251" fontId="23" fillId="0" borderId="0" applyFont="0" applyFill="0" applyBorder="0" applyAlignment="0" applyProtection="0"/>
    <xf numFmtId="252" fontId="52" fillId="0" borderId="0" applyFont="0" applyFill="0" applyBorder="0" applyAlignment="0" applyProtection="0"/>
    <xf numFmtId="253" fontId="51" fillId="0" borderId="0" applyFont="0" applyFill="0" applyBorder="0" applyAlignment="0" applyProtection="0"/>
    <xf numFmtId="254" fontId="52" fillId="0" borderId="0" applyFont="0" applyFill="0" applyBorder="0" applyAlignment="0" applyProtection="0"/>
    <xf numFmtId="255" fontId="51" fillId="0" borderId="0" applyFont="0" applyFill="0" applyBorder="0" applyAlignment="0" applyProtection="0"/>
    <xf numFmtId="256" fontId="52" fillId="0" borderId="0" applyFont="0" applyFill="0" applyBorder="0" applyAlignment="0" applyProtection="0"/>
    <xf numFmtId="257" fontId="51" fillId="0" borderId="0" applyFont="0" applyFill="0" applyBorder="0" applyAlignment="0" applyProtection="0"/>
    <xf numFmtId="258" fontId="35" fillId="0" borderId="0" applyFont="0" applyFill="0" applyBorder="0" applyAlignment="0" applyProtection="0">
      <protection locked="0"/>
    </xf>
    <xf numFmtId="259" fontId="5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84" fontId="54" fillId="0" borderId="0" applyFill="0" applyBorder="0" applyAlignment="0" applyProtection="0"/>
    <xf numFmtId="9" fontId="58" fillId="0" borderId="0" applyBorder="0"/>
    <xf numFmtId="260" fontId="58" fillId="0" borderId="0" applyBorder="0"/>
    <xf numFmtId="10" fontId="58" fillId="0" borderId="0" applyBorder="0"/>
    <xf numFmtId="0" fontId="53" fillId="0" borderId="0" applyNumberFormat="0" applyFont="0" applyFill="0" applyBorder="0" applyAlignment="0" applyProtection="0">
      <alignment horizontal="left"/>
    </xf>
    <xf numFmtId="15" fontId="53" fillId="0" borderId="0" applyFont="0" applyFill="0" applyBorder="0" applyAlignment="0" applyProtection="0"/>
    <xf numFmtId="4" fontId="53" fillId="0" borderId="0" applyFont="0" applyFill="0" applyBorder="0" applyAlignment="0" applyProtection="0"/>
    <xf numFmtId="3" fontId="2" fillId="0" borderId="0">
      <alignment horizontal="left" vertical="top"/>
    </xf>
    <xf numFmtId="0" fontId="82" fillId="0" borderId="24">
      <alignment horizontal="center"/>
    </xf>
    <xf numFmtId="3" fontId="53" fillId="0" borderId="0" applyFont="0" applyFill="0" applyBorder="0" applyAlignment="0" applyProtection="0"/>
    <xf numFmtId="0" fontId="53" fillId="35" borderId="0" applyNumberFormat="0" applyFont="0" applyBorder="0" applyAlignment="0" applyProtection="0"/>
    <xf numFmtId="3" fontId="2" fillId="0" borderId="0">
      <alignment horizontal="right" vertical="top"/>
    </xf>
    <xf numFmtId="41" fontId="13" fillId="36" borderId="8" applyFill="0"/>
    <xf numFmtId="0" fontId="83" fillId="0" borderId="0">
      <alignment horizontal="left" indent="7"/>
    </xf>
    <xf numFmtId="41" fontId="13" fillId="0" borderId="8" applyFill="0">
      <alignment horizontal="left" indent="2"/>
    </xf>
    <xf numFmtId="164" fontId="48" fillId="0" borderId="10" applyFill="0">
      <alignment horizontal="right"/>
    </xf>
    <xf numFmtId="0" fontId="64" fillId="0" borderId="6" applyNumberFormat="0" applyFont="0" applyBorder="0">
      <alignment horizontal="right"/>
    </xf>
    <xf numFmtId="0" fontId="84" fillId="0" borderId="0" applyFill="0"/>
    <xf numFmtId="0" fontId="14" fillId="0" borderId="0" applyFill="0"/>
    <xf numFmtId="4" fontId="48" fillId="0" borderId="10" applyFill="0"/>
    <xf numFmtId="0" fontId="2" fillId="0" borderId="0" applyNumberFormat="0" applyFont="0" applyBorder="0" applyAlignment="0"/>
    <xf numFmtId="0" fontId="37" fillId="0" borderId="0" applyFill="0">
      <alignment horizontal="left" indent="1"/>
    </xf>
    <xf numFmtId="0" fontId="85" fillId="0" borderId="0" applyFill="0">
      <alignment horizontal="left" indent="1"/>
    </xf>
    <xf numFmtId="4" fontId="27" fillId="0" borderId="0" applyFill="0"/>
    <xf numFmtId="0" fontId="2" fillId="0" borderId="0" applyNumberFormat="0" applyFont="0" applyFill="0" applyBorder="0" applyAlignment="0"/>
    <xf numFmtId="0" fontId="37" fillId="0" borderId="0" applyFill="0">
      <alignment horizontal="left" indent="2"/>
    </xf>
    <xf numFmtId="0" fontId="14" fillId="0" borderId="0" applyFill="0">
      <alignment horizontal="left" indent="2"/>
    </xf>
    <xf numFmtId="4" fontId="27" fillId="0" borderId="0" applyFill="0"/>
    <xf numFmtId="0" fontId="2" fillId="0" borderId="0" applyNumberFormat="0" applyFont="0" applyBorder="0" applyAlignment="0"/>
    <xf numFmtId="0" fontId="86" fillId="0" borderId="0">
      <alignment horizontal="left" indent="3"/>
    </xf>
    <xf numFmtId="0" fontId="87" fillId="0" borderId="0" applyFill="0">
      <alignment horizontal="left" indent="3"/>
    </xf>
    <xf numFmtId="4" fontId="27" fillId="0" borderId="0" applyFill="0"/>
    <xf numFmtId="0" fontId="2" fillId="0" borderId="0" applyNumberFormat="0" applyFont="0" applyBorder="0" applyAlignment="0"/>
    <xf numFmtId="0" fontId="39" fillId="0" borderId="0">
      <alignment horizontal="left" indent="4"/>
    </xf>
    <xf numFmtId="0" fontId="2" fillId="0" borderId="0" applyFill="0">
      <alignment horizontal="left" indent="4"/>
    </xf>
    <xf numFmtId="4" fontId="40" fillId="0" borderId="0" applyFill="0"/>
    <xf numFmtId="0" fontId="2" fillId="0" borderId="0" applyNumberFormat="0" applyFont="0" applyBorder="0" applyAlignment="0"/>
    <xf numFmtId="0" fontId="41" fillId="0" borderId="0">
      <alignment horizontal="left" indent="5"/>
    </xf>
    <xf numFmtId="0" fontId="42" fillId="0" borderId="0" applyFill="0">
      <alignment horizontal="left" indent="5"/>
    </xf>
    <xf numFmtId="4" fontId="43" fillId="0" borderId="0" applyFill="0"/>
    <xf numFmtId="0" fontId="2" fillId="0" borderId="0" applyNumberFormat="0" applyFont="0" applyFill="0" applyBorder="0" applyAlignment="0"/>
    <xf numFmtId="0" fontId="44" fillId="0" borderId="0" applyFill="0">
      <alignment horizontal="left" indent="6"/>
    </xf>
    <xf numFmtId="0" fontId="40" fillId="0" borderId="0" applyFill="0">
      <alignment horizontal="left" indent="6"/>
    </xf>
    <xf numFmtId="0" fontId="57" fillId="0" borderId="25" applyNumberFormat="0" applyFont="0" applyFill="0" applyAlignment="0" applyProtection="0"/>
    <xf numFmtId="0" fontId="88" fillId="0" borderId="0" applyNumberFormat="0" applyFill="0" applyBorder="0" applyAlignment="0" applyProtection="0"/>
    <xf numFmtId="0" fontId="89" fillId="0" borderId="0"/>
    <xf numFmtId="0" fontId="89" fillId="0" borderId="0"/>
    <xf numFmtId="0" fontId="5" fillId="0" borderId="24">
      <alignment horizontal="right"/>
    </xf>
    <xf numFmtId="261" fontId="55" fillId="0" borderId="0">
      <alignment horizontal="center"/>
    </xf>
    <xf numFmtId="262" fontId="90" fillId="0" borderId="0">
      <alignment horizontal="center"/>
    </xf>
    <xf numFmtId="0" fontId="91" fillId="0" borderId="0" applyNumberFormat="0" applyFill="0" applyBorder="0" applyAlignment="0" applyProtection="0"/>
    <xf numFmtId="0" fontId="92" fillId="0" borderId="0" applyNumberFormat="0" applyBorder="0" applyAlignment="0"/>
    <xf numFmtId="0" fontId="93" fillId="0" borderId="0" applyNumberFormat="0" applyBorder="0" applyAlignment="0"/>
    <xf numFmtId="0" fontId="57" fillId="25" borderId="0" applyNumberFormat="0" applyFont="0" applyBorder="0" applyAlignment="0" applyProtection="0"/>
    <xf numFmtId="242" fontId="94" fillId="0" borderId="5" applyNumberFormat="0" applyFont="0" applyFill="0" applyAlignment="0" applyProtection="0"/>
    <xf numFmtId="0" fontId="95" fillId="0" borderId="0" applyFill="0" applyBorder="0" applyProtection="0">
      <alignment horizontal="left" vertical="top"/>
    </xf>
    <xf numFmtId="0" fontId="96" fillId="0" borderId="0" applyNumberFormat="0" applyFill="0" applyBorder="0" applyAlignment="0" applyProtection="0"/>
    <xf numFmtId="0" fontId="97" fillId="0" borderId="0" applyAlignment="0">
      <alignment horizontal="centerContinuous"/>
    </xf>
    <xf numFmtId="0" fontId="2" fillId="0" borderId="3" applyNumberFormat="0" applyFont="0" applyFill="0" applyAlignment="0" applyProtection="0"/>
    <xf numFmtId="0" fontId="98" fillId="0" borderId="26" applyNumberFormat="0" applyFill="0" applyAlignment="0" applyProtection="0"/>
    <xf numFmtId="0" fontId="99" fillId="0" borderId="0" applyNumberFormat="0" applyFill="0" applyBorder="0" applyAlignment="0" applyProtection="0"/>
    <xf numFmtId="0" fontId="100" fillId="0" borderId="0" applyNumberFormat="0" applyFill="0" applyBorder="0" applyAlignment="0" applyProtection="0"/>
    <xf numFmtId="263" fontId="51" fillId="0" borderId="0" applyFont="0" applyFill="0" applyBorder="0" applyAlignment="0" applyProtection="0"/>
    <xf numFmtId="264" fontId="51" fillId="0" borderId="0" applyFont="0" applyFill="0" applyBorder="0" applyAlignment="0" applyProtection="0"/>
    <xf numFmtId="265" fontId="51" fillId="0" borderId="0" applyFont="0" applyFill="0" applyBorder="0" applyAlignment="0" applyProtection="0"/>
    <xf numFmtId="266" fontId="51" fillId="0" borderId="0" applyFont="0" applyFill="0" applyBorder="0" applyAlignment="0" applyProtection="0"/>
    <xf numFmtId="267" fontId="51" fillId="0" borderId="0" applyFont="0" applyFill="0" applyBorder="0" applyAlignment="0" applyProtection="0"/>
    <xf numFmtId="268" fontId="51" fillId="0" borderId="0" applyFont="0" applyFill="0" applyBorder="0" applyAlignment="0" applyProtection="0"/>
    <xf numFmtId="269" fontId="51" fillId="0" borderId="0" applyFont="0" applyFill="0" applyBorder="0" applyAlignment="0" applyProtection="0"/>
    <xf numFmtId="270" fontId="51" fillId="0" borderId="0" applyFont="0" applyFill="0" applyBorder="0" applyAlignment="0" applyProtection="0"/>
    <xf numFmtId="271" fontId="101" fillId="25" borderId="27" applyFont="0" applyFill="0" applyBorder="0" applyAlignment="0" applyProtection="0"/>
    <xf numFmtId="271" fontId="30" fillId="0" borderId="0" applyFont="0" applyFill="0" applyBorder="0" applyAlignment="0" applyProtection="0"/>
    <xf numFmtId="272" fontId="46" fillId="0" borderId="0" applyFont="0" applyFill="0" applyBorder="0" applyAlignment="0" applyProtection="0"/>
    <xf numFmtId="273" fontId="55" fillId="0" borderId="5" applyFont="0" applyFill="0" applyBorder="0" applyAlignment="0" applyProtection="0">
      <alignment horizontal="right"/>
      <protection locked="0"/>
    </xf>
    <xf numFmtId="164" fontId="4" fillId="0" borderId="0" applyProtection="0"/>
    <xf numFmtId="0" fontId="2" fillId="0" borderId="0"/>
    <xf numFmtId="0" fontId="1" fillId="38" borderId="0" applyNumberFormat="0" applyBorder="0" applyAlignment="0" applyProtection="0"/>
    <xf numFmtId="0" fontId="1" fillId="40" borderId="0" applyNumberFormat="0" applyBorder="0" applyAlignment="0" applyProtection="0"/>
    <xf numFmtId="0" fontId="1" fillId="42" borderId="0" applyNumberFormat="0" applyBorder="0" applyAlignment="0" applyProtection="0"/>
    <xf numFmtId="0" fontId="1" fillId="44" borderId="0" applyNumberFormat="0" applyBorder="0" applyAlignment="0" applyProtection="0"/>
    <xf numFmtId="0" fontId="1" fillId="46" borderId="0" applyNumberFormat="0" applyBorder="0" applyAlignment="0" applyProtection="0"/>
    <xf numFmtId="0" fontId="1" fillId="48"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43" borderId="0" applyNumberFormat="0" applyBorder="0" applyAlignment="0" applyProtection="0"/>
    <xf numFmtId="0" fontId="1" fillId="45" borderId="0" applyNumberFormat="0" applyBorder="0" applyAlignment="0" applyProtection="0"/>
    <xf numFmtId="0" fontId="1" fillId="47" borderId="0" applyNumberFormat="0" applyBorder="0" applyAlignment="0" applyProtection="0"/>
    <xf numFmtId="0" fontId="1" fillId="49"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0" fontId="105" fillId="0" borderId="0" applyNumberFormat="0" applyFill="0" applyBorder="0" applyAlignment="0" applyProtection="0"/>
    <xf numFmtId="0" fontId="102" fillId="37" borderId="28" applyNumberFormat="0" applyAlignment="0" applyProtection="0"/>
    <xf numFmtId="0" fontId="102" fillId="37" borderId="28" applyNumberFormat="0" applyAlignment="0" applyProtection="0"/>
    <xf numFmtId="0" fontId="102" fillId="37" borderId="28" applyNumberFormat="0" applyAlignment="0" applyProtection="0"/>
    <xf numFmtId="0" fontId="102" fillId="37" borderId="28" applyNumberFormat="0" applyAlignment="0" applyProtection="0"/>
    <xf numFmtId="0" fontId="102" fillId="37" borderId="28" applyNumberFormat="0" applyAlignment="0" applyProtection="0"/>
    <xf numFmtId="0" fontId="102" fillId="37" borderId="28" applyNumberFormat="0" applyAlignment="0" applyProtection="0"/>
    <xf numFmtId="0" fontId="102" fillId="37" borderId="28" applyNumberFormat="0" applyAlignment="0" applyProtection="0"/>
    <xf numFmtId="0" fontId="102" fillId="37" borderId="28" applyNumberFormat="0" applyAlignment="0" applyProtection="0"/>
    <xf numFmtId="0" fontId="2" fillId="0" borderId="0"/>
    <xf numFmtId="0" fontId="2" fillId="0" borderId="0"/>
    <xf numFmtId="0" fontId="32" fillId="0" borderId="0"/>
    <xf numFmtId="0" fontId="32" fillId="0" borderId="0"/>
    <xf numFmtId="0" fontId="32" fillId="0" borderId="0"/>
    <xf numFmtId="0" fontId="32" fillId="0" borderId="0"/>
    <xf numFmtId="0" fontId="2" fillId="0" borderId="0"/>
    <xf numFmtId="0" fontId="1" fillId="0" borderId="0"/>
    <xf numFmtId="0" fontId="2" fillId="0" borderId="0"/>
    <xf numFmtId="9" fontId="32" fillId="0" borderId="0" applyFont="0" applyFill="0" applyBorder="0" applyAlignment="0" applyProtection="0"/>
    <xf numFmtId="9" fontId="32" fillId="0" borderId="0" applyFont="0" applyFill="0" applyBorder="0" applyAlignment="0" applyProtection="0"/>
    <xf numFmtId="0" fontId="106" fillId="0" borderId="0"/>
    <xf numFmtId="0" fontId="117" fillId="0" borderId="0" applyNumberFormat="0" applyFill="0" applyBorder="0" applyAlignment="0" applyProtection="0"/>
    <xf numFmtId="44" fontId="2" fillId="0" borderId="0" applyFont="0" applyFill="0" applyBorder="0" applyAlignment="0" applyProtection="0"/>
    <xf numFmtId="223" fontId="32" fillId="0" borderId="0" applyFont="0" applyFill="0" applyBorder="0" applyAlignment="0" applyProtection="0"/>
    <xf numFmtId="14" fontId="64" fillId="27" borderId="24">
      <alignment horizontal="center" vertical="center" wrapText="1"/>
    </xf>
    <xf numFmtId="0" fontId="68" fillId="0" borderId="24"/>
    <xf numFmtId="0" fontId="119" fillId="0" borderId="0"/>
    <xf numFmtId="0" fontId="119" fillId="0" borderId="0"/>
    <xf numFmtId="44" fontId="1" fillId="0" borderId="0" applyFont="0" applyFill="0" applyBorder="0" applyAlignment="0" applyProtection="0"/>
    <xf numFmtId="0" fontId="2" fillId="0" borderId="0"/>
    <xf numFmtId="0" fontId="2" fillId="0" borderId="0"/>
    <xf numFmtId="0" fontId="2" fillId="0" borderId="0"/>
  </cellStyleXfs>
  <cellXfs count="747">
    <xf numFmtId="0" fontId="0" fillId="0" borderId="0" xfId="0"/>
    <xf numFmtId="0" fontId="3" fillId="0" borderId="0" xfId="3" applyFont="1"/>
    <xf numFmtId="0" fontId="3" fillId="0" borderId="0" xfId="3" applyFont="1" applyAlignment="1">
      <alignment horizontal="right"/>
    </xf>
    <xf numFmtId="164" fontId="3" fillId="0" borderId="0" xfId="4" applyFont="1" applyAlignment="1"/>
    <xf numFmtId="0" fontId="3" fillId="0" borderId="0" xfId="4" applyNumberFormat="1" applyFont="1" applyAlignment="1" applyProtection="1">
      <protection locked="0"/>
    </xf>
    <xf numFmtId="0" fontId="3" fillId="0" borderId="0" xfId="4" applyNumberFormat="1" applyFont="1" applyAlignment="1" applyProtection="1">
      <alignment horizontal="left"/>
      <protection locked="0"/>
    </xf>
    <xf numFmtId="0" fontId="3" fillId="2" borderId="0" xfId="4" applyNumberFormat="1" applyFont="1" applyFill="1" applyAlignment="1" applyProtection="1">
      <protection locked="0"/>
    </xf>
    <xf numFmtId="0" fontId="3" fillId="2" borderId="0" xfId="4" applyNumberFormat="1" applyFont="1" applyFill="1" applyProtection="1">
      <protection locked="0"/>
    </xf>
    <xf numFmtId="0" fontId="3" fillId="2" borderId="0" xfId="3" applyFont="1" applyFill="1"/>
    <xf numFmtId="0" fontId="3" fillId="2" borderId="0" xfId="4" applyNumberFormat="1" applyFont="1" applyFill="1"/>
    <xf numFmtId="0" fontId="3" fillId="2" borderId="0" xfId="3" applyNumberFormat="1" applyFont="1" applyFill="1" applyAlignment="1">
      <alignment horizontal="right"/>
    </xf>
    <xf numFmtId="0" fontId="3" fillId="0" borderId="0" xfId="4" applyNumberFormat="1" applyFont="1"/>
    <xf numFmtId="3" fontId="3" fillId="0" borderId="0" xfId="4" applyNumberFormat="1" applyFont="1" applyAlignment="1"/>
    <xf numFmtId="0" fontId="3" fillId="0" borderId="0" xfId="4" applyNumberFormat="1" applyFont="1" applyProtection="1">
      <protection locked="0"/>
    </xf>
    <xf numFmtId="0" fontId="3" fillId="0" borderId="0" xfId="4" applyNumberFormat="1" applyFont="1" applyAlignment="1" applyProtection="1">
      <alignment horizontal="center"/>
      <protection locked="0"/>
    </xf>
    <xf numFmtId="0" fontId="5" fillId="0" borderId="0" xfId="4" applyNumberFormat="1" applyFont="1"/>
    <xf numFmtId="49" fontId="3" fillId="0" borderId="0" xfId="4" applyNumberFormat="1" applyFont="1" applyAlignment="1">
      <alignment horizontal="center"/>
    </xf>
    <xf numFmtId="49" fontId="3" fillId="0" borderId="0" xfId="4" applyNumberFormat="1" applyFont="1"/>
    <xf numFmtId="0" fontId="3" fillId="0" borderId="1" xfId="4" applyNumberFormat="1" applyFont="1" applyBorder="1" applyAlignment="1" applyProtection="1">
      <alignment horizontal="center"/>
      <protection locked="0"/>
    </xf>
    <xf numFmtId="3" fontId="3" fillId="0" borderId="0" xfId="4" applyNumberFormat="1" applyFont="1"/>
    <xf numFmtId="42" fontId="3" fillId="0" borderId="0" xfId="3" applyNumberFormat="1" applyFont="1"/>
    <xf numFmtId="42" fontId="3" fillId="0" borderId="0" xfId="4" applyNumberFormat="1" applyFont="1" applyFill="1"/>
    <xf numFmtId="0" fontId="3" fillId="0" borderId="0" xfId="4" applyNumberFormat="1" applyFont="1" applyAlignment="1"/>
    <xf numFmtId="3" fontId="3" fillId="0" borderId="0" xfId="4" applyNumberFormat="1" applyFont="1" applyFill="1" applyAlignment="1"/>
    <xf numFmtId="0" fontId="3" fillId="0" borderId="1" xfId="4" applyNumberFormat="1" applyFont="1" applyBorder="1" applyAlignment="1" applyProtection="1">
      <alignment horizontal="centerContinuous"/>
      <protection locked="0"/>
    </xf>
    <xf numFmtId="165" fontId="3" fillId="0" borderId="0" xfId="3" applyNumberFormat="1" applyFont="1" applyAlignment="1"/>
    <xf numFmtId="3" fontId="3" fillId="0" borderId="0" xfId="3" applyNumberFormat="1" applyFont="1" applyAlignment="1"/>
    <xf numFmtId="3" fontId="3" fillId="0" borderId="0" xfId="4" applyNumberFormat="1" applyFont="1" applyFill="1" applyBorder="1"/>
    <xf numFmtId="3" fontId="3" fillId="2" borderId="0" xfId="4" applyNumberFormat="1" applyFont="1" applyFill="1" applyAlignment="1"/>
    <xf numFmtId="3" fontId="3" fillId="0" borderId="1" xfId="3" applyNumberFormat="1" applyFont="1" applyBorder="1" applyAlignment="1"/>
    <xf numFmtId="3" fontId="3" fillId="0" borderId="0" xfId="4" applyNumberFormat="1" applyFont="1" applyAlignment="1">
      <alignment horizontal="fill"/>
    </xf>
    <xf numFmtId="165" fontId="3" fillId="0" borderId="0" xfId="4" applyNumberFormat="1" applyFont="1" applyAlignment="1"/>
    <xf numFmtId="42" fontId="3" fillId="0" borderId="2" xfId="4" applyNumberFormat="1" applyFont="1" applyBorder="1" applyAlignment="1" applyProtection="1">
      <alignment horizontal="right"/>
      <protection locked="0"/>
    </xf>
    <xf numFmtId="0" fontId="3" fillId="0" borderId="0" xfId="4" applyNumberFormat="1" applyFont="1" applyFill="1" applyProtection="1">
      <protection locked="0"/>
    </xf>
    <xf numFmtId="3" fontId="3" fillId="2" borderId="0" xfId="4" applyNumberFormat="1" applyFont="1" applyFill="1"/>
    <xf numFmtId="3" fontId="3" fillId="2" borderId="0" xfId="4" applyNumberFormat="1" applyFont="1" applyFill="1" applyBorder="1"/>
    <xf numFmtId="3" fontId="3" fillId="2" borderId="1" xfId="4" applyNumberFormat="1" applyFont="1" applyFill="1" applyBorder="1"/>
    <xf numFmtId="166" fontId="3" fillId="0" borderId="0" xfId="3" applyNumberFormat="1" applyFont="1"/>
    <xf numFmtId="166" fontId="3" fillId="0" borderId="0" xfId="4" applyNumberFormat="1" applyFont="1"/>
    <xf numFmtId="166" fontId="3" fillId="0" borderId="0" xfId="4" applyNumberFormat="1" applyFont="1" applyAlignment="1">
      <alignment horizontal="center"/>
    </xf>
    <xf numFmtId="164" fontId="3" fillId="0" borderId="0" xfId="4" applyFont="1" applyAlignment="1">
      <alignment horizontal="center"/>
    </xf>
    <xf numFmtId="0" fontId="3" fillId="0" borderId="0" xfId="4" applyNumberFormat="1" applyFont="1" applyAlignment="1">
      <alignment horizontal="left"/>
    </xf>
    <xf numFmtId="167" fontId="3" fillId="0" borderId="0" xfId="3" applyNumberFormat="1" applyFont="1" applyAlignment="1"/>
    <xf numFmtId="167" fontId="3" fillId="2" borderId="0" xfId="4" applyNumberFormat="1" applyFont="1" applyFill="1" applyProtection="1">
      <protection locked="0"/>
    </xf>
    <xf numFmtId="167" fontId="3" fillId="0" borderId="0" xfId="4" applyNumberFormat="1" applyFont="1" applyProtection="1">
      <protection locked="0"/>
    </xf>
    <xf numFmtId="167" fontId="3" fillId="0" borderId="0" xfId="4" applyNumberFormat="1" applyFont="1" applyFill="1" applyProtection="1">
      <protection locked="0"/>
    </xf>
    <xf numFmtId="168" fontId="3" fillId="0" borderId="0" xfId="4" applyNumberFormat="1" applyFont="1"/>
    <xf numFmtId="0" fontId="3" fillId="0" borderId="0" xfId="4" applyNumberFormat="1" applyFont="1" applyAlignment="1">
      <alignment horizontal="right"/>
    </xf>
    <xf numFmtId="0" fontId="3" fillId="0" borderId="0" xfId="4" applyNumberFormat="1" applyFont="1" applyAlignment="1">
      <alignment horizontal="center"/>
    </xf>
    <xf numFmtId="49" fontId="3" fillId="0" borderId="0" xfId="4" applyNumberFormat="1" applyFont="1" applyAlignment="1">
      <alignment horizontal="left"/>
    </xf>
    <xf numFmtId="3" fontId="6" fillId="0" borderId="0" xfId="4" applyNumberFormat="1" applyFont="1" applyAlignment="1">
      <alignment horizontal="center"/>
    </xf>
    <xf numFmtId="0" fontId="6" fillId="0" borderId="0" xfId="4" applyNumberFormat="1" applyFont="1" applyAlignment="1" applyProtection="1">
      <alignment horizontal="center"/>
      <protection locked="0"/>
    </xf>
    <xf numFmtId="164" fontId="6" fillId="0" borderId="0" xfId="4" applyFont="1" applyAlignment="1">
      <alignment horizontal="center"/>
    </xf>
    <xf numFmtId="3" fontId="6" fillId="0" borderId="0" xfId="4" applyNumberFormat="1" applyFont="1" applyAlignment="1"/>
    <xf numFmtId="0" fontId="6" fillId="0" borderId="0" xfId="4" applyNumberFormat="1" applyFont="1" applyAlignment="1"/>
    <xf numFmtId="169" fontId="3" fillId="0" borderId="0" xfId="4" applyNumberFormat="1" applyFont="1" applyAlignment="1"/>
    <xf numFmtId="169" fontId="3" fillId="0" borderId="0" xfId="3" applyNumberFormat="1" applyFont="1" applyAlignment="1"/>
    <xf numFmtId="3" fontId="3" fillId="2" borderId="1" xfId="4" applyNumberFormat="1" applyFont="1" applyFill="1" applyBorder="1" applyAlignment="1"/>
    <xf numFmtId="3" fontId="9" fillId="0" borderId="0" xfId="4" applyNumberFormat="1" applyFont="1" applyAlignment="1"/>
    <xf numFmtId="171" fontId="3" fillId="0" borderId="0" xfId="3" applyNumberFormat="1" applyFont="1" applyAlignment="1">
      <alignment horizontal="center"/>
    </xf>
    <xf numFmtId="171" fontId="3" fillId="0" borderId="0" xfId="4" applyNumberFormat="1" applyFont="1" applyAlignment="1">
      <alignment horizontal="center"/>
    </xf>
    <xf numFmtId="3" fontId="3" fillId="2" borderId="0" xfId="1" applyNumberFormat="1" applyFont="1" applyFill="1" applyAlignment="1"/>
    <xf numFmtId="3" fontId="8" fillId="0" borderId="0" xfId="4" applyNumberFormat="1" applyFont="1" applyAlignment="1"/>
    <xf numFmtId="3" fontId="3" fillId="0" borderId="0" xfId="4" quotePrefix="1" applyNumberFormat="1" applyFont="1" applyAlignment="1">
      <alignment horizontal="left"/>
    </xf>
    <xf numFmtId="3" fontId="9" fillId="0" borderId="0" xfId="1" applyNumberFormat="1" applyFont="1" applyAlignment="1"/>
    <xf numFmtId="0" fontId="3" fillId="0" borderId="0" xfId="4" quotePrefix="1" applyNumberFormat="1" applyFont="1" applyAlignment="1">
      <alignment horizontal="left"/>
    </xf>
    <xf numFmtId="169" fontId="3" fillId="0" borderId="0" xfId="3" applyNumberFormat="1" applyFont="1" applyFill="1" applyAlignment="1">
      <alignment horizontal="right"/>
    </xf>
    <xf numFmtId="3" fontId="3" fillId="2" borderId="0" xfId="1" applyNumberFormat="1" applyFont="1" applyFill="1" applyBorder="1" applyAlignment="1"/>
    <xf numFmtId="3" fontId="3" fillId="2" borderId="0" xfId="4" applyNumberFormat="1" applyFont="1" applyFill="1" applyBorder="1" applyAlignment="1"/>
    <xf numFmtId="170" fontId="9" fillId="0" borderId="0" xfId="1" applyNumberFormat="1" applyFont="1" applyAlignment="1"/>
    <xf numFmtId="3" fontId="9" fillId="2" borderId="0" xfId="4" applyNumberFormat="1" applyFont="1" applyFill="1" applyAlignment="1"/>
    <xf numFmtId="169" fontId="3" fillId="0" borderId="0" xfId="3" applyNumberFormat="1" applyFont="1" applyFill="1" applyAlignment="1"/>
    <xf numFmtId="3" fontId="3" fillId="0" borderId="0" xfId="3" applyNumberFormat="1" applyFont="1" applyFill="1" applyAlignment="1"/>
    <xf numFmtId="3" fontId="3" fillId="0" borderId="0" xfId="4" applyNumberFormat="1" applyFont="1" applyAlignment="1">
      <alignment horizontal="center"/>
    </xf>
    <xf numFmtId="0" fontId="3" fillId="0" borderId="0" xfId="3" applyNumberFormat="1" applyFont="1"/>
    <xf numFmtId="164" fontId="3" fillId="0" borderId="1" xfId="4" applyFont="1" applyBorder="1" applyAlignment="1"/>
    <xf numFmtId="3" fontId="3" fillId="0" borderId="2" xfId="3" applyNumberFormat="1" applyFont="1" applyBorder="1" applyAlignment="1"/>
    <xf numFmtId="3" fontId="3" fillId="0" borderId="0" xfId="3" applyNumberFormat="1" applyFont="1" applyBorder="1" applyAlignment="1"/>
    <xf numFmtId="3" fontId="3" fillId="0" borderId="0" xfId="4" applyNumberFormat="1" applyFont="1" applyAlignment="1">
      <alignment horizontal="right"/>
    </xf>
    <xf numFmtId="0" fontId="3" fillId="0" borderId="0" xfId="4" applyNumberFormat="1" applyFont="1" applyFill="1" applyAlignment="1"/>
    <xf numFmtId="3" fontId="10" fillId="0" borderId="0" xfId="4" applyNumberFormat="1" applyFont="1" applyFill="1" applyAlignment="1"/>
    <xf numFmtId="172" fontId="3" fillId="0" borderId="0" xfId="4" applyNumberFormat="1" applyFont="1" applyFill="1" applyAlignment="1">
      <alignment horizontal="left"/>
    </xf>
    <xf numFmtId="0" fontId="3" fillId="0" borderId="0" xfId="3" applyFont="1" applyAlignment="1"/>
    <xf numFmtId="165" fontId="3" fillId="0" borderId="0" xfId="3" applyNumberFormat="1" applyFont="1" applyFill="1" applyAlignment="1">
      <alignment horizontal="right"/>
    </xf>
    <xf numFmtId="165" fontId="3" fillId="0" borderId="0" xfId="4" applyNumberFormat="1" applyFont="1" applyAlignment="1">
      <alignment horizontal="center"/>
    </xf>
    <xf numFmtId="171" fontId="3" fillId="0" borderId="0" xfId="4" applyNumberFormat="1" applyFont="1" applyAlignment="1">
      <alignment horizontal="left"/>
    </xf>
    <xf numFmtId="10" fontId="3" fillId="0" borderId="0" xfId="3" applyNumberFormat="1" applyFont="1" applyFill="1" applyAlignment="1">
      <alignment horizontal="right"/>
    </xf>
    <xf numFmtId="168" fontId="3" fillId="0" borderId="0" xfId="3" applyNumberFormat="1" applyFont="1" applyFill="1" applyAlignment="1">
      <alignment horizontal="right"/>
    </xf>
    <xf numFmtId="170" fontId="3" fillId="0" borderId="0" xfId="1" applyNumberFormat="1" applyFont="1" applyBorder="1" applyAlignment="1"/>
    <xf numFmtId="10" fontId="3" fillId="0" borderId="0" xfId="4" applyNumberFormat="1" applyFont="1" applyAlignment="1">
      <alignment horizontal="left"/>
    </xf>
    <xf numFmtId="3" fontId="3" fillId="0" borderId="0" xfId="4" applyNumberFormat="1" applyFont="1" applyAlignment="1">
      <alignment horizontal="left"/>
    </xf>
    <xf numFmtId="171" fontId="3" fillId="0" borderId="0" xfId="4" applyNumberFormat="1" applyFont="1" applyAlignment="1" applyProtection="1">
      <alignment horizontal="left"/>
      <protection locked="0"/>
    </xf>
    <xf numFmtId="3" fontId="3" fillId="0" borderId="0" xfId="3" applyNumberFormat="1" applyFont="1" applyFill="1" applyAlignment="1">
      <alignment horizontal="right"/>
    </xf>
    <xf numFmtId="173" fontId="3" fillId="0" borderId="0" xfId="4" applyNumberFormat="1" applyFont="1" applyAlignment="1"/>
    <xf numFmtId="170" fontId="3" fillId="0" borderId="0" xfId="1" applyNumberFormat="1" applyFont="1" applyAlignment="1"/>
    <xf numFmtId="165" fontId="3" fillId="0" borderId="0" xfId="3" applyNumberFormat="1" applyFont="1" applyAlignment="1">
      <alignment horizontal="center"/>
    </xf>
    <xf numFmtId="0" fontId="3" fillId="0" borderId="0" xfId="3" applyNumberFormat="1" applyFont="1" applyAlignment="1">
      <alignment horizontal="center"/>
    </xf>
    <xf numFmtId="0" fontId="3" fillId="0" borderId="0" xfId="3" quotePrefix="1" applyNumberFormat="1" applyFont="1" applyAlignment="1">
      <alignment horizontal="left"/>
    </xf>
    <xf numFmtId="3" fontId="11" fillId="0" borderId="0" xfId="3" applyNumberFormat="1" applyFont="1" applyBorder="1" applyAlignment="1"/>
    <xf numFmtId="3" fontId="11" fillId="0" borderId="0" xfId="3" applyNumberFormat="1" applyFont="1" applyAlignment="1"/>
    <xf numFmtId="0" fontId="11" fillId="0" borderId="0" xfId="3" applyFont="1" applyAlignment="1"/>
    <xf numFmtId="0" fontId="3" fillId="0" borderId="0" xfId="3" applyNumberFormat="1" applyFont="1" applyAlignment="1"/>
    <xf numFmtId="3" fontId="3" fillId="2" borderId="0" xfId="3" applyNumberFormat="1" applyFont="1" applyFill="1" applyBorder="1" applyAlignment="1"/>
    <xf numFmtId="0" fontId="11" fillId="0" borderId="0" xfId="3" applyNumberFormat="1" applyFont="1"/>
    <xf numFmtId="0" fontId="11" fillId="0" borderId="0" xfId="3" applyNumberFormat="1" applyFont="1" applyFill="1"/>
    <xf numFmtId="3" fontId="3" fillId="2" borderId="1" xfId="3" applyNumberFormat="1" applyFont="1" applyFill="1" applyBorder="1" applyAlignment="1"/>
    <xf numFmtId="0" fontId="3" fillId="0" borderId="0" xfId="4" applyNumberFormat="1" applyFont="1" applyFill="1" applyAlignment="1" applyProtection="1">
      <protection locked="0"/>
    </xf>
    <xf numFmtId="0" fontId="3" fillId="0" borderId="0" xfId="4" applyNumberFormat="1" applyFont="1" applyFill="1"/>
    <xf numFmtId="164" fontId="3" fillId="0" borderId="0" xfId="4" applyFont="1" applyFill="1" applyAlignment="1"/>
    <xf numFmtId="0" fontId="3" fillId="0" borderId="1" xfId="4" applyNumberFormat="1" applyFont="1" applyFill="1" applyBorder="1" applyProtection="1">
      <protection locked="0"/>
    </xf>
    <xf numFmtId="0" fontId="3" fillId="0" borderId="1" xfId="4" applyNumberFormat="1" applyFont="1" applyFill="1" applyBorder="1"/>
    <xf numFmtId="3" fontId="3" fillId="0" borderId="0" xfId="4" applyNumberFormat="1" applyFont="1" applyFill="1" applyAlignment="1">
      <alignment horizontal="center"/>
    </xf>
    <xf numFmtId="49" fontId="3" fillId="0" borderId="0" xfId="4" applyNumberFormat="1" applyFont="1" applyFill="1"/>
    <xf numFmtId="49" fontId="3" fillId="0" borderId="0" xfId="4" applyNumberFormat="1" applyFont="1" applyFill="1" applyAlignment="1"/>
    <xf numFmtId="49" fontId="3" fillId="0" borderId="0" xfId="4" applyNumberFormat="1" applyFont="1" applyFill="1" applyAlignment="1">
      <alignment horizontal="center"/>
    </xf>
    <xf numFmtId="164" fontId="11" fillId="0" borderId="0" xfId="4" applyFont="1" applyFill="1" applyAlignment="1"/>
    <xf numFmtId="0" fontId="3" fillId="0" borderId="0" xfId="4" applyNumberFormat="1" applyFont="1" applyFill="1" applyAlignment="1">
      <alignment horizontal="center"/>
    </xf>
    <xf numFmtId="3" fontId="3" fillId="0" borderId="0" xfId="4" applyNumberFormat="1" applyFont="1" applyFill="1" applyBorder="1" applyAlignment="1"/>
    <xf numFmtId="169" fontId="3" fillId="0" borderId="0" xfId="3" applyNumberFormat="1" applyFont="1" applyFill="1"/>
    <xf numFmtId="165" fontId="3" fillId="0" borderId="0" xfId="3" applyNumberFormat="1" applyFont="1" applyFill="1"/>
    <xf numFmtId="3" fontId="3" fillId="0" borderId="1" xfId="4" applyNumberFormat="1" applyFont="1" applyBorder="1" applyAlignment="1"/>
    <xf numFmtId="3" fontId="3" fillId="0" borderId="1" xfId="4" applyNumberFormat="1" applyFont="1" applyBorder="1" applyAlignment="1">
      <alignment horizontal="center"/>
    </xf>
    <xf numFmtId="4" fontId="3" fillId="0" borderId="0" xfId="4" applyNumberFormat="1" applyFont="1" applyAlignment="1"/>
    <xf numFmtId="4" fontId="3" fillId="0" borderId="0" xfId="3" applyNumberFormat="1" applyFont="1" applyAlignment="1"/>
    <xf numFmtId="3" fontId="3" fillId="0" borderId="0" xfId="3" applyNumberFormat="1" applyFont="1" applyBorder="1" applyAlignment="1">
      <alignment horizontal="center"/>
    </xf>
    <xf numFmtId="0" fontId="3" fillId="0" borderId="1" xfId="3" applyNumberFormat="1" applyFont="1" applyBorder="1" applyAlignment="1">
      <alignment horizontal="center"/>
    </xf>
    <xf numFmtId="165" fontId="3" fillId="0" borderId="0" xfId="4" applyNumberFormat="1" applyFont="1" applyAlignment="1" applyProtection="1">
      <alignment horizontal="center"/>
      <protection locked="0"/>
    </xf>
    <xf numFmtId="0" fontId="3" fillId="0" borderId="1" xfId="4" applyNumberFormat="1" applyFont="1" applyBorder="1" applyAlignment="1"/>
    <xf numFmtId="174" fontId="3" fillId="2" borderId="0" xfId="4" applyNumberFormat="1" applyFont="1" applyFill="1" applyAlignment="1">
      <alignment horizontal="center"/>
    </xf>
    <xf numFmtId="42" fontId="3" fillId="2" borderId="0" xfId="4" applyNumberFormat="1" applyFont="1" applyFill="1" applyAlignment="1">
      <alignment horizontal="center"/>
    </xf>
    <xf numFmtId="3" fontId="3" fillId="2" borderId="0" xfId="4" applyNumberFormat="1" applyFont="1" applyFill="1" applyAlignment="1">
      <alignment horizontal="center"/>
    </xf>
    <xf numFmtId="3" fontId="3" fillId="0" borderId="0" xfId="4" applyNumberFormat="1" applyFont="1" applyFill="1" applyAlignment="1" applyProtection="1">
      <alignment horizontal="center"/>
      <protection locked="0"/>
    </xf>
    <xf numFmtId="3" fontId="3" fillId="2" borderId="1" xfId="4" applyNumberFormat="1" applyFont="1" applyFill="1" applyBorder="1" applyAlignment="1">
      <alignment horizontal="center"/>
    </xf>
    <xf numFmtId="9" fontId="3" fillId="0" borderId="0" xfId="4" applyNumberFormat="1" applyFont="1" applyAlignment="1"/>
    <xf numFmtId="168" fontId="3" fillId="0" borderId="0" xfId="4" applyNumberFormat="1" applyFont="1" applyAlignment="1"/>
    <xf numFmtId="168" fontId="3" fillId="2" borderId="0" xfId="4" applyNumberFormat="1" applyFont="1" applyFill="1" applyAlignment="1"/>
    <xf numFmtId="3" fontId="3" fillId="0" borderId="0" xfId="4" quotePrefix="1" applyNumberFormat="1" applyFont="1" applyAlignment="1"/>
    <xf numFmtId="168" fontId="3" fillId="0" borderId="0" xfId="3" applyNumberFormat="1" applyFont="1" applyAlignment="1"/>
    <xf numFmtId="168" fontId="3" fillId="0" borderId="1" xfId="4" applyNumberFormat="1" applyFont="1" applyBorder="1" applyAlignment="1"/>
    <xf numFmtId="0" fontId="3" fillId="0" borderId="0" xfId="4" applyNumberFormat="1" applyFont="1" applyBorder="1" applyAlignment="1" applyProtection="1">
      <alignment horizontal="center"/>
      <protection locked="0"/>
    </xf>
    <xf numFmtId="0" fontId="11" fillId="0" borderId="0" xfId="4" applyNumberFormat="1" applyFont="1" applyProtection="1">
      <protection locked="0"/>
    </xf>
    <xf numFmtId="164" fontId="11" fillId="0" borderId="0" xfId="4" applyFont="1" applyAlignment="1"/>
    <xf numFmtId="164" fontId="3" fillId="0" borderId="0" xfId="4" applyFont="1" applyFill="1" applyAlignment="1" applyProtection="1"/>
    <xf numFmtId="38" fontId="3" fillId="2" borderId="0" xfId="4" applyNumberFormat="1" applyFont="1" applyFill="1" applyBorder="1" applyProtection="1">
      <protection locked="0"/>
    </xf>
    <xf numFmtId="38" fontId="3" fillId="0" borderId="0" xfId="4" applyNumberFormat="1" applyFont="1" applyAlignment="1" applyProtection="1"/>
    <xf numFmtId="0" fontId="3" fillId="0" borderId="1" xfId="4" applyNumberFormat="1" applyFont="1" applyBorder="1"/>
    <xf numFmtId="164" fontId="3" fillId="0" borderId="0" xfId="4" applyFont="1" applyBorder="1" applyAlignment="1"/>
    <xf numFmtId="0" fontId="3" fillId="0" borderId="0" xfId="4" applyNumberFormat="1" applyFont="1" applyBorder="1" applyProtection="1">
      <protection locked="0"/>
    </xf>
    <xf numFmtId="38" fontId="3" fillId="2" borderId="1" xfId="4" applyNumberFormat="1" applyFont="1" applyFill="1" applyBorder="1" applyProtection="1">
      <protection locked="0"/>
    </xf>
    <xf numFmtId="38" fontId="3" fillId="0" borderId="0" xfId="4" applyNumberFormat="1" applyFont="1" applyAlignment="1"/>
    <xf numFmtId="38" fontId="3" fillId="0" borderId="0" xfId="4" applyNumberFormat="1" applyFont="1" applyFill="1" applyBorder="1" applyProtection="1"/>
    <xf numFmtId="174" fontId="3" fillId="0" borderId="0" xfId="4" applyNumberFormat="1" applyFont="1" applyFill="1" applyBorder="1" applyProtection="1"/>
    <xf numFmtId="166" fontId="3" fillId="0" borderId="0" xfId="4" applyNumberFormat="1" applyFont="1" applyProtection="1">
      <protection locked="0"/>
    </xf>
    <xf numFmtId="174" fontId="3" fillId="2" borderId="0" xfId="4" applyNumberFormat="1" applyFont="1" applyFill="1" applyBorder="1" applyProtection="1"/>
    <xf numFmtId="1" fontId="3" fillId="0" borderId="0" xfId="4" applyNumberFormat="1" applyFont="1" applyFill="1" applyProtection="1"/>
    <xf numFmtId="1" fontId="3" fillId="0" borderId="0" xfId="4" applyNumberFormat="1" applyFont="1" applyFill="1" applyAlignment="1" applyProtection="1"/>
    <xf numFmtId="174" fontId="3" fillId="2" borderId="0" xfId="4" applyNumberFormat="1" applyFont="1" applyFill="1" applyBorder="1" applyAlignment="1" applyProtection="1">
      <protection locked="0"/>
    </xf>
    <xf numFmtId="3" fontId="3" fillId="0" borderId="0" xfId="4" applyNumberFormat="1" applyFont="1" applyAlignment="1" applyProtection="1"/>
    <xf numFmtId="0" fontId="3" fillId="0" borderId="0" xfId="4" applyNumberFormat="1" applyFont="1" applyBorder="1" applyAlignment="1" applyProtection="1">
      <protection locked="0"/>
    </xf>
    <xf numFmtId="3" fontId="3" fillId="0" borderId="0" xfId="4" applyNumberFormat="1" applyFont="1" applyFill="1" applyAlignment="1" applyProtection="1">
      <alignment horizontal="right"/>
      <protection locked="0"/>
    </xf>
    <xf numFmtId="0" fontId="3" fillId="0" borderId="0" xfId="3" quotePrefix="1" applyNumberFormat="1" applyFont="1" applyBorder="1" applyAlignment="1">
      <alignment horizontal="left"/>
    </xf>
    <xf numFmtId="0" fontId="3" fillId="0" borderId="0" xfId="3" applyNumberFormat="1" applyFont="1" applyBorder="1"/>
    <xf numFmtId="0" fontId="3" fillId="0" borderId="1" xfId="3" quotePrefix="1" applyNumberFormat="1" applyFont="1" applyBorder="1" applyAlignment="1">
      <alignment horizontal="left"/>
    </xf>
    <xf numFmtId="0" fontId="3" fillId="0" borderId="1" xfId="3" applyNumberFormat="1" applyFont="1" applyBorder="1"/>
    <xf numFmtId="174" fontId="3" fillId="2" borderId="1" xfId="3" applyNumberFormat="1" applyFont="1" applyFill="1" applyBorder="1" applyAlignment="1" applyProtection="1">
      <protection locked="0"/>
    </xf>
    <xf numFmtId="3" fontId="11" fillId="0" borderId="0" xfId="3" applyNumberFormat="1" applyFont="1" applyFill="1" applyAlignment="1" applyProtection="1">
      <alignment horizontal="right"/>
      <protection locked="0"/>
    </xf>
    <xf numFmtId="174" fontId="3" fillId="0" borderId="0" xfId="4" applyNumberFormat="1" applyFont="1" applyFill="1" applyBorder="1" applyAlignment="1" applyProtection="1"/>
    <xf numFmtId="3" fontId="3" fillId="0" borderId="0" xfId="4" applyNumberFormat="1" applyFont="1" applyFill="1" applyAlignment="1" applyProtection="1"/>
    <xf numFmtId="164" fontId="3" fillId="0" borderId="0" xfId="4" applyNumberFormat="1" applyFont="1" applyAlignment="1" applyProtection="1">
      <protection locked="0"/>
    </xf>
    <xf numFmtId="174" fontId="3" fillId="0" borderId="0" xfId="4" applyNumberFormat="1" applyFont="1" applyProtection="1">
      <protection locked="0"/>
    </xf>
    <xf numFmtId="0" fontId="3" fillId="0" borderId="0" xfId="4" applyNumberFormat="1" applyFont="1" applyAlignment="1" applyProtection="1">
      <alignment horizontal="left" indent="8"/>
      <protection locked="0"/>
    </xf>
    <xf numFmtId="3" fontId="3" fillId="0" borderId="0" xfId="4" applyNumberFormat="1" applyFont="1" applyAlignment="1">
      <alignment vertical="top" wrapText="1"/>
    </xf>
    <xf numFmtId="0" fontId="3" fillId="0" borderId="0" xfId="4" applyNumberFormat="1" applyFont="1" applyAlignment="1" applyProtection="1">
      <alignment vertical="top" wrapText="1"/>
      <protection locked="0"/>
    </xf>
    <xf numFmtId="0" fontId="3" fillId="0" borderId="0" xfId="4" applyNumberFormat="1" applyFont="1" applyAlignment="1" applyProtection="1">
      <alignment horizontal="center" vertical="top" wrapText="1"/>
      <protection locked="0"/>
    </xf>
    <xf numFmtId="0" fontId="3" fillId="0" borderId="0" xfId="4" applyNumberFormat="1" applyFont="1" applyFill="1" applyAlignment="1" applyProtection="1">
      <alignment horizontal="center" vertical="top" wrapText="1"/>
      <protection locked="0"/>
    </xf>
    <xf numFmtId="0" fontId="3" fillId="0" borderId="0" xfId="3" applyFont="1" applyAlignment="1">
      <alignment vertical="top" wrapText="1"/>
    </xf>
    <xf numFmtId="10" fontId="3" fillId="2" borderId="0" xfId="4" applyNumberFormat="1" applyFont="1" applyFill="1" applyProtection="1">
      <protection locked="0"/>
    </xf>
    <xf numFmtId="0" fontId="3" fillId="0" borderId="0" xfId="3" applyFont="1" applyFill="1"/>
    <xf numFmtId="164" fontId="3" fillId="0" borderId="0" xfId="4" applyFont="1" applyFill="1" applyAlignment="1">
      <alignment horizontal="center" vertical="top" wrapText="1"/>
    </xf>
    <xf numFmtId="0" fontId="3" fillId="0" borderId="0" xfId="3" applyFont="1" applyFill="1" applyAlignment="1">
      <alignment horizontal="center" vertical="top" wrapText="1"/>
    </xf>
    <xf numFmtId="0" fontId="3" fillId="0" borderId="0" xfId="3" applyFont="1" applyAlignment="1">
      <alignment horizontal="center" vertical="top" wrapText="1"/>
    </xf>
    <xf numFmtId="0" fontId="11" fillId="0" borderId="0" xfId="3" applyFont="1" applyAlignment="1">
      <alignment vertical="top" wrapText="1"/>
    </xf>
    <xf numFmtId="0" fontId="11" fillId="0" borderId="0" xfId="3" applyFont="1" applyFill="1" applyAlignment="1">
      <alignment vertical="top" wrapText="1"/>
    </xf>
    <xf numFmtId="0" fontId="3" fillId="0" borderId="0" xfId="3" applyFont="1" applyAlignment="1">
      <alignment horizontal="center"/>
    </xf>
    <xf numFmtId="0" fontId="3" fillId="0" borderId="0" xfId="3" applyNumberFormat="1" applyFont="1" applyFill="1"/>
    <xf numFmtId="164" fontId="4" fillId="0" borderId="0" xfId="5" applyFont="1" applyFill="1" applyBorder="1" applyAlignment="1"/>
    <xf numFmtId="164" fontId="4" fillId="0" borderId="0" xfId="5" applyFont="1" applyFill="1" applyBorder="1" applyAlignment="1">
      <alignment horizontal="right"/>
    </xf>
    <xf numFmtId="164" fontId="4" fillId="0" borderId="0" xfId="5" applyFont="1" applyFill="1" applyBorder="1" applyAlignment="1">
      <alignment vertical="top"/>
    </xf>
    <xf numFmtId="0" fontId="13" fillId="0" borderId="0" xfId="5" applyNumberFormat="1" applyFont="1" applyFill="1" applyBorder="1" applyAlignment="1" applyProtection="1">
      <protection locked="0"/>
    </xf>
    <xf numFmtId="0" fontId="13" fillId="0" borderId="0" xfId="5" applyNumberFormat="1" applyFont="1" applyFill="1" applyBorder="1" applyAlignment="1" applyProtection="1">
      <alignment horizontal="left"/>
      <protection locked="0"/>
    </xf>
    <xf numFmtId="0" fontId="13" fillId="0" borderId="0" xfId="5" applyNumberFormat="1" applyFont="1" applyFill="1" applyBorder="1" applyProtection="1">
      <protection locked="0"/>
    </xf>
    <xf numFmtId="164" fontId="4" fillId="3" borderId="0" xfId="5" applyFont="1" applyFill="1" applyBorder="1" applyAlignment="1"/>
    <xf numFmtId="0" fontId="13" fillId="3" borderId="0" xfId="5" applyNumberFormat="1" applyFont="1" applyFill="1" applyBorder="1"/>
    <xf numFmtId="0" fontId="3" fillId="2" borderId="0" xfId="6" applyNumberFormat="1" applyFont="1" applyFill="1" applyAlignment="1">
      <alignment horizontal="right"/>
    </xf>
    <xf numFmtId="0" fontId="4" fillId="0" borderId="0" xfId="5" applyNumberFormat="1" applyFont="1" applyFill="1" applyBorder="1"/>
    <xf numFmtId="0" fontId="4" fillId="0" borderId="0" xfId="5" applyNumberFormat="1" applyFont="1" applyFill="1" applyBorder="1" applyAlignment="1">
      <alignment vertical="top"/>
    </xf>
    <xf numFmtId="3" fontId="13" fillId="0" borderId="0" xfId="5" applyNumberFormat="1" applyFont="1" applyFill="1" applyBorder="1" applyAlignment="1"/>
    <xf numFmtId="0" fontId="13" fillId="0" borderId="0" xfId="5" applyNumberFormat="1" applyFont="1" applyFill="1" applyBorder="1"/>
    <xf numFmtId="0" fontId="4" fillId="0" borderId="0" xfId="5" applyNumberFormat="1" applyFont="1" applyFill="1" applyBorder="1" applyAlignment="1">
      <alignment horizontal="center" vertical="top"/>
    </xf>
    <xf numFmtId="0" fontId="4" fillId="0" borderId="0" xfId="5" applyNumberFormat="1" applyFont="1" applyFill="1" applyBorder="1" applyAlignment="1" applyProtection="1">
      <alignment horizontal="center"/>
      <protection locked="0"/>
    </xf>
    <xf numFmtId="49" fontId="13" fillId="3" borderId="0" xfId="5" applyNumberFormat="1" applyFont="1" applyFill="1" applyBorder="1" applyAlignment="1">
      <alignment horizontal="center"/>
    </xf>
    <xf numFmtId="49" fontId="13" fillId="0" borderId="0" xfId="5" applyNumberFormat="1" applyFont="1" applyFill="1" applyBorder="1"/>
    <xf numFmtId="3" fontId="13" fillId="0" borderId="0" xfId="5" applyNumberFormat="1" applyFont="1" applyFill="1" applyBorder="1"/>
    <xf numFmtId="0" fontId="13" fillId="0" borderId="0" xfId="5" applyNumberFormat="1" applyFont="1" applyFill="1" applyBorder="1" applyAlignment="1">
      <alignment horizontal="center"/>
    </xf>
    <xf numFmtId="49" fontId="13" fillId="0" borderId="0" xfId="5" applyNumberFormat="1" applyFont="1" applyFill="1" applyBorder="1" applyAlignment="1">
      <alignment horizontal="center"/>
    </xf>
    <xf numFmtId="3" fontId="4" fillId="0" borderId="0" xfId="5" applyNumberFormat="1" applyFont="1" applyFill="1" applyBorder="1" applyAlignment="1"/>
    <xf numFmtId="49" fontId="13" fillId="0" borderId="0" xfId="5" applyNumberFormat="1" applyFont="1" applyFill="1" applyBorder="1" applyAlignment="1">
      <alignment horizontal="center" vertical="top"/>
    </xf>
    <xf numFmtId="0" fontId="4" fillId="0" borderId="0" xfId="5" applyNumberFormat="1" applyFont="1" applyFill="1" applyBorder="1" applyAlignment="1"/>
    <xf numFmtId="0" fontId="13" fillId="0" borderId="0" xfId="5" applyNumberFormat="1" applyFont="1" applyFill="1" applyBorder="1" applyAlignment="1"/>
    <xf numFmtId="3" fontId="14" fillId="0" borderId="0" xfId="5" applyNumberFormat="1" applyFont="1" applyFill="1" applyBorder="1" applyAlignment="1">
      <alignment horizontal="center"/>
    </xf>
    <xf numFmtId="0" fontId="4" fillId="0" borderId="0" xfId="5" applyNumberFormat="1" applyFont="1" applyFill="1" applyBorder="1" applyAlignment="1">
      <alignment horizontal="center"/>
    </xf>
    <xf numFmtId="164" fontId="14" fillId="0" borderId="0" xfId="5" applyFont="1" applyFill="1" applyBorder="1" applyAlignment="1">
      <alignment horizontal="center"/>
    </xf>
    <xf numFmtId="0" fontId="14" fillId="0" borderId="0" xfId="5" applyNumberFormat="1" applyFont="1" applyFill="1" applyBorder="1" applyAlignment="1" applyProtection="1">
      <alignment horizontal="center"/>
      <protection locked="0"/>
    </xf>
    <xf numFmtId="0" fontId="15" fillId="0" borderId="0" xfId="5" applyNumberFormat="1" applyFont="1" applyFill="1" applyBorder="1" applyAlignment="1">
      <alignment horizontal="center" vertical="top"/>
    </xf>
    <xf numFmtId="0" fontId="14" fillId="0" borderId="0" xfId="5" applyNumberFormat="1" applyFont="1" applyFill="1" applyBorder="1" applyAlignment="1"/>
    <xf numFmtId="3" fontId="4" fillId="0" borderId="0" xfId="5" applyNumberFormat="1" applyFont="1" applyFill="1" applyBorder="1" applyAlignment="1">
      <alignment vertical="top"/>
    </xf>
    <xf numFmtId="0" fontId="16" fillId="0" borderId="0" xfId="5" applyNumberFormat="1" applyFont="1" applyFill="1" applyBorder="1" applyAlignment="1" applyProtection="1">
      <alignment horizontal="center"/>
      <protection locked="0"/>
    </xf>
    <xf numFmtId="3" fontId="4" fillId="0" borderId="0" xfId="5" applyNumberFormat="1" applyFont="1" applyFill="1" applyBorder="1" applyAlignment="1">
      <alignment horizontal="center"/>
    </xf>
    <xf numFmtId="3" fontId="13" fillId="0" borderId="0" xfId="5" applyNumberFormat="1" applyFont="1" applyFill="1" applyBorder="1" applyAlignment="1">
      <alignment horizontal="center"/>
    </xf>
    <xf numFmtId="3" fontId="13" fillId="2" borderId="0" xfId="6" applyNumberFormat="1" applyFont="1" applyFill="1" applyBorder="1" applyAlignment="1"/>
    <xf numFmtId="3" fontId="13" fillId="3" borderId="0" xfId="5" applyNumberFormat="1" applyFont="1" applyFill="1" applyBorder="1" applyAlignment="1"/>
    <xf numFmtId="3" fontId="13" fillId="0" borderId="3" xfId="6" applyNumberFormat="1" applyFont="1" applyFill="1" applyBorder="1" applyAlignment="1"/>
    <xf numFmtId="10" fontId="13" fillId="0" borderId="0" xfId="5" applyNumberFormat="1" applyFont="1" applyFill="1" applyBorder="1" applyAlignment="1"/>
    <xf numFmtId="10" fontId="17" fillId="0" borderId="0" xfId="2" applyNumberFormat="1" applyFont="1" applyFill="1" applyBorder="1" applyAlignment="1"/>
    <xf numFmtId="10" fontId="14" fillId="0" borderId="0" xfId="5" applyNumberFormat="1" applyFont="1" applyFill="1" applyBorder="1" applyAlignment="1"/>
    <xf numFmtId="3" fontId="15" fillId="0" borderId="0" xfId="5" applyNumberFormat="1" applyFont="1" applyFill="1" applyBorder="1" applyAlignment="1"/>
    <xf numFmtId="169" fontId="14" fillId="0" borderId="0" xfId="5" applyNumberFormat="1" applyFont="1" applyFill="1" applyBorder="1" applyAlignment="1">
      <alignment vertical="top"/>
    </xf>
    <xf numFmtId="49" fontId="4" fillId="0" borderId="0" xfId="5" applyNumberFormat="1" applyFont="1" applyFill="1" applyBorder="1" applyAlignment="1">
      <alignment horizontal="center"/>
    </xf>
    <xf numFmtId="164" fontId="13" fillId="0" borderId="0" xfId="5" applyFont="1" applyFill="1" applyBorder="1" applyAlignment="1">
      <alignment horizontal="center"/>
    </xf>
    <xf numFmtId="3" fontId="13" fillId="0" borderId="0" xfId="5" applyNumberFormat="1" applyFont="1" applyFill="1" applyBorder="1" applyAlignment="1">
      <alignment vertical="top"/>
    </xf>
    <xf numFmtId="0" fontId="14" fillId="0" borderId="0" xfId="5" applyNumberFormat="1" applyFont="1" applyFill="1" applyBorder="1" applyAlignment="1">
      <alignment horizontal="center"/>
    </xf>
    <xf numFmtId="3" fontId="4" fillId="0" borderId="0" xfId="5" applyNumberFormat="1" applyFont="1" applyFill="1" applyBorder="1" applyAlignment="1">
      <alignment horizontal="center" vertical="top"/>
    </xf>
    <xf numFmtId="49" fontId="15" fillId="0" borderId="0" xfId="5" applyNumberFormat="1" applyFont="1" applyFill="1" applyBorder="1" applyAlignment="1">
      <alignment horizontal="center"/>
    </xf>
    <xf numFmtId="164" fontId="15" fillId="0" borderId="0" xfId="5" applyFont="1" applyFill="1" applyBorder="1" applyAlignment="1"/>
    <xf numFmtId="3" fontId="14" fillId="0" borderId="0" xfId="5" applyNumberFormat="1" applyFont="1" applyFill="1" applyBorder="1" applyAlignment="1"/>
    <xf numFmtId="10" fontId="14" fillId="0" borderId="0" xfId="2" applyNumberFormat="1" applyFont="1" applyFill="1" applyBorder="1" applyAlignment="1"/>
    <xf numFmtId="0" fontId="4" fillId="0" borderId="0" xfId="5" applyNumberFormat="1" applyFont="1" applyFill="1" applyBorder="1" applyAlignment="1">
      <alignment horizontal="fill" vertical="top"/>
    </xf>
    <xf numFmtId="171" fontId="13" fillId="0" borderId="0" xfId="5" applyNumberFormat="1" applyFont="1" applyFill="1" applyBorder="1" applyAlignment="1">
      <alignment horizontal="center"/>
    </xf>
    <xf numFmtId="10" fontId="13" fillId="0" borderId="0" xfId="2" applyNumberFormat="1" applyFont="1" applyFill="1" applyBorder="1" applyAlignment="1"/>
    <xf numFmtId="174" fontId="4" fillId="0" borderId="0" xfId="5" applyNumberFormat="1" applyFont="1" applyFill="1" applyBorder="1" applyAlignment="1">
      <alignment vertical="top"/>
    </xf>
    <xf numFmtId="164" fontId="13" fillId="0" borderId="0" xfId="5" applyFont="1" applyFill="1" applyBorder="1" applyAlignment="1"/>
    <xf numFmtId="49" fontId="3" fillId="0" borderId="0" xfId="5" applyNumberFormat="1" applyFont="1" applyFill="1" applyBorder="1" applyAlignment="1">
      <alignment horizontal="left"/>
    </xf>
    <xf numFmtId="0" fontId="3" fillId="0" borderId="0" xfId="5" applyNumberFormat="1" applyFont="1" applyFill="1" applyBorder="1" applyAlignment="1">
      <alignment horizontal="right"/>
    </xf>
    <xf numFmtId="0" fontId="4" fillId="0" borderId="0" xfId="5" applyNumberFormat="1" applyFont="1" applyFill="1" applyBorder="1" applyAlignment="1">
      <alignment horizontal="right"/>
    </xf>
    <xf numFmtId="49" fontId="4" fillId="0" borderId="0" xfId="5" applyNumberFormat="1" applyFont="1" applyFill="1" applyBorder="1" applyAlignment="1">
      <alignment horizontal="left"/>
    </xf>
    <xf numFmtId="164" fontId="13" fillId="0" borderId="0" xfId="5" applyFont="1" applyFill="1" applyBorder="1" applyAlignment="1">
      <alignment horizontal="right"/>
    </xf>
    <xf numFmtId="164" fontId="3" fillId="0" borderId="0" xfId="5" applyFont="1" applyFill="1" applyBorder="1" applyAlignment="1">
      <alignment horizontal="right"/>
    </xf>
    <xf numFmtId="164" fontId="3" fillId="0" borderId="0" xfId="5" applyFont="1" applyFill="1" applyBorder="1" applyAlignment="1"/>
    <xf numFmtId="175" fontId="14" fillId="0" borderId="0" xfId="5" applyNumberFormat="1" applyFont="1" applyFill="1" applyBorder="1" applyAlignment="1">
      <alignment horizontal="center"/>
    </xf>
    <xf numFmtId="164" fontId="15" fillId="0" borderId="4" xfId="5" applyFont="1" applyFill="1" applyBorder="1" applyAlignment="1">
      <alignment horizontal="center" wrapText="1"/>
    </xf>
    <xf numFmtId="164" fontId="15" fillId="0" borderId="5" xfId="5" applyFont="1" applyFill="1" applyBorder="1" applyAlignment="1"/>
    <xf numFmtId="164" fontId="15" fillId="0" borderId="5" xfId="5" applyFont="1" applyFill="1" applyBorder="1" applyAlignment="1">
      <alignment horizontal="center" wrapText="1"/>
    </xf>
    <xf numFmtId="0" fontId="14" fillId="0" borderId="5" xfId="5" applyNumberFormat="1" applyFont="1" applyFill="1" applyBorder="1" applyAlignment="1">
      <alignment horizontal="center" wrapText="1"/>
    </xf>
    <xf numFmtId="164" fontId="15" fillId="0" borderId="6" xfId="5" applyFont="1" applyFill="1" applyBorder="1" applyAlignment="1">
      <alignment horizontal="center" wrapText="1"/>
    </xf>
    <xf numFmtId="0" fontId="14" fillId="0" borderId="5" xfId="6" applyNumberFormat="1" applyFont="1" applyFill="1" applyBorder="1" applyAlignment="1">
      <alignment horizontal="center" wrapText="1"/>
    </xf>
    <xf numFmtId="3" fontId="14" fillId="0" borderId="6" xfId="5" applyNumberFormat="1" applyFont="1" applyFill="1" applyBorder="1" applyAlignment="1">
      <alignment horizontal="center" wrapText="1"/>
    </xf>
    <xf numFmtId="3" fontId="14" fillId="0" borderId="5" xfId="5" applyNumberFormat="1" applyFont="1" applyFill="1" applyBorder="1" applyAlignment="1">
      <alignment horizontal="center" wrapText="1"/>
    </xf>
    <xf numFmtId="0" fontId="13" fillId="0" borderId="4" xfId="5" applyNumberFormat="1" applyFont="1" applyFill="1" applyBorder="1"/>
    <xf numFmtId="0" fontId="13" fillId="0" borderId="5" xfId="5" applyNumberFormat="1" applyFont="1" applyFill="1" applyBorder="1"/>
    <xf numFmtId="0" fontId="13" fillId="0" borderId="5" xfId="5" applyNumberFormat="1" applyFont="1" applyFill="1" applyBorder="1" applyAlignment="1">
      <alignment horizontal="center"/>
    </xf>
    <xf numFmtId="0" fontId="13" fillId="0" borderId="6" xfId="5" applyNumberFormat="1" applyFont="1" applyFill="1" applyBorder="1" applyAlignment="1">
      <alignment horizontal="center"/>
    </xf>
    <xf numFmtId="0" fontId="13" fillId="0" borderId="5" xfId="6" applyNumberFormat="1" applyFont="1" applyFill="1" applyBorder="1" applyAlignment="1">
      <alignment horizontal="center" wrapText="1"/>
    </xf>
    <xf numFmtId="0" fontId="13" fillId="0" borderId="6" xfId="5" applyNumberFormat="1" applyFont="1" applyFill="1" applyBorder="1" applyAlignment="1">
      <alignment horizontal="center" wrapText="1"/>
    </xf>
    <xf numFmtId="3" fontId="13" fillId="0" borderId="5" xfId="5" applyNumberFormat="1" applyFont="1" applyFill="1" applyBorder="1" applyAlignment="1">
      <alignment horizontal="center"/>
    </xf>
    <xf numFmtId="3" fontId="13" fillId="0" borderId="6" xfId="5" applyNumberFormat="1" applyFont="1" applyFill="1" applyBorder="1" applyAlignment="1">
      <alignment horizontal="center" wrapText="1"/>
    </xf>
    <xf numFmtId="0" fontId="13" fillId="0" borderId="7" xfId="5" applyNumberFormat="1" applyFont="1" applyFill="1" applyBorder="1"/>
    <xf numFmtId="0" fontId="13" fillId="0" borderId="8" xfId="5" applyNumberFormat="1" applyFont="1" applyFill="1" applyBorder="1"/>
    <xf numFmtId="0" fontId="13" fillId="0" borderId="0" xfId="6" applyNumberFormat="1" applyFont="1" applyFill="1" applyBorder="1"/>
    <xf numFmtId="3" fontId="13" fillId="0" borderId="8" xfId="5" applyNumberFormat="1" applyFont="1" applyFill="1" applyBorder="1" applyAlignment="1"/>
    <xf numFmtId="1" fontId="4" fillId="0" borderId="0" xfId="5" applyNumberFormat="1" applyFill="1" applyBorder="1" applyAlignment="1">
      <alignment horizontal="center" vertical="top"/>
    </xf>
    <xf numFmtId="164" fontId="4" fillId="0" borderId="7" xfId="5" applyFont="1" applyFill="1" applyBorder="1" applyAlignment="1">
      <alignment vertical="top"/>
    </xf>
    <xf numFmtId="0" fontId="4" fillId="0" borderId="0" xfId="7" applyNumberFormat="1" applyFill="1" applyBorder="1" applyAlignment="1">
      <alignment horizontal="left" vertical="top" wrapText="1"/>
    </xf>
    <xf numFmtId="0" fontId="4" fillId="0" borderId="0" xfId="7" applyNumberFormat="1" applyFill="1" applyBorder="1" applyAlignment="1">
      <alignment horizontal="center" vertical="top"/>
    </xf>
    <xf numFmtId="176" fontId="4" fillId="2" borderId="0" xfId="8" applyNumberFormat="1" applyFont="1" applyFill="1" applyBorder="1" applyAlignment="1">
      <alignment vertical="top"/>
    </xf>
    <xf numFmtId="10" fontId="13" fillId="0" borderId="0" xfId="2" applyNumberFormat="1" applyFont="1" applyFill="1" applyBorder="1" applyAlignment="1">
      <alignment vertical="top"/>
    </xf>
    <xf numFmtId="176" fontId="4" fillId="0" borderId="8" xfId="8" applyNumberFormat="1" applyFont="1" applyFill="1" applyBorder="1" applyAlignment="1">
      <alignment vertical="top"/>
    </xf>
    <xf numFmtId="176" fontId="13" fillId="2" borderId="0" xfId="8" applyNumberFormat="1" applyFont="1" applyFill="1" applyBorder="1" applyAlignment="1">
      <alignment vertical="top"/>
    </xf>
    <xf numFmtId="164" fontId="18" fillId="0" borderId="0" xfId="5" applyFont="1" applyFill="1" applyBorder="1" applyAlignment="1"/>
    <xf numFmtId="0" fontId="18" fillId="0" borderId="0" xfId="6" applyNumberFormat="1" applyFont="1" applyFill="1" applyBorder="1" applyAlignment="1">
      <alignment horizontal="center" vertical="top"/>
    </xf>
    <xf numFmtId="176" fontId="4" fillId="0" borderId="0" xfId="8" applyNumberFormat="1" applyFont="1" applyFill="1" applyBorder="1" applyAlignment="1">
      <alignment vertical="top"/>
    </xf>
    <xf numFmtId="176" fontId="13" fillId="0" borderId="0" xfId="8" applyNumberFormat="1" applyFont="1" applyFill="1" applyBorder="1" applyAlignment="1">
      <alignment vertical="top"/>
    </xf>
    <xf numFmtId="0" fontId="4" fillId="0" borderId="0" xfId="7" applyNumberFormat="1" applyFont="1" applyFill="1" applyBorder="1" applyAlignment="1">
      <alignment horizontal="left" vertical="top" wrapText="1"/>
    </xf>
    <xf numFmtId="0" fontId="4" fillId="0" borderId="0" xfId="7" applyNumberFormat="1" applyFont="1" applyFill="1" applyBorder="1" applyAlignment="1">
      <alignment horizontal="center" vertical="top"/>
    </xf>
    <xf numFmtId="164" fontId="4" fillId="0" borderId="0" xfId="5" applyFill="1" applyBorder="1" applyAlignment="1">
      <alignment vertical="top"/>
    </xf>
    <xf numFmtId="164" fontId="4" fillId="0" borderId="9" xfId="5" applyFont="1" applyFill="1" applyBorder="1" applyAlignment="1">
      <alignment vertical="top"/>
    </xf>
    <xf numFmtId="164" fontId="4" fillId="0" borderId="10" xfId="5" applyFont="1" applyFill="1" applyBorder="1" applyAlignment="1">
      <alignment vertical="top"/>
    </xf>
    <xf numFmtId="164" fontId="18" fillId="0" borderId="10" xfId="5" applyFont="1" applyFill="1" applyBorder="1" applyAlignment="1">
      <alignment vertical="top"/>
    </xf>
    <xf numFmtId="164" fontId="18" fillId="0" borderId="11" xfId="5" applyFont="1" applyFill="1" applyBorder="1" applyAlignment="1">
      <alignment vertical="top"/>
    </xf>
    <xf numFmtId="174" fontId="13" fillId="0" borderId="0" xfId="5" applyNumberFormat="1" applyFont="1" applyFill="1" applyBorder="1" applyAlignment="1"/>
    <xf numFmtId="177" fontId="13" fillId="0" borderId="0" xfId="5" applyNumberFormat="1" applyFont="1" applyFill="1" applyBorder="1" applyAlignment="1"/>
    <xf numFmtId="164" fontId="18" fillId="0" borderId="0" xfId="5" applyFont="1" applyFill="1" applyBorder="1" applyAlignment="1">
      <alignment vertical="top"/>
    </xf>
    <xf numFmtId="164" fontId="2" fillId="0" borderId="0" xfId="5" applyFont="1" applyFill="1" applyBorder="1" applyAlignment="1"/>
    <xf numFmtId="1" fontId="13" fillId="0" borderId="0" xfId="1" applyNumberFormat="1" applyFont="1" applyFill="1" applyBorder="1" applyAlignment="1">
      <alignment horizontal="center"/>
    </xf>
    <xf numFmtId="164" fontId="13" fillId="0" borderId="1" xfId="5" applyFont="1" applyFill="1" applyBorder="1" applyAlignment="1"/>
    <xf numFmtId="164" fontId="4" fillId="0" borderId="0" xfId="5" applyFont="1" applyFill="1" applyBorder="1" applyAlignment="1">
      <alignment horizontal="center" vertical="top"/>
    </xf>
    <xf numFmtId="164" fontId="4" fillId="0" borderId="0" xfId="5" applyFont="1" applyFill="1" applyBorder="1" applyAlignment="1">
      <alignment horizontal="center"/>
    </xf>
    <xf numFmtId="164" fontId="4" fillId="0" borderId="0" xfId="6" applyFont="1" applyFill="1" applyBorder="1" applyAlignment="1">
      <alignment horizontal="center" vertical="top"/>
    </xf>
    <xf numFmtId="164" fontId="4" fillId="0" borderId="0" xfId="6" applyFont="1" applyFill="1" applyBorder="1" applyAlignment="1"/>
    <xf numFmtId="164" fontId="4" fillId="0" borderId="0" xfId="6" applyFont="1" applyFill="1" applyBorder="1" applyAlignment="1">
      <alignment vertical="top"/>
    </xf>
    <xf numFmtId="164" fontId="18" fillId="0" borderId="0" xfId="6" applyFont="1" applyFill="1" applyBorder="1" applyAlignment="1"/>
    <xf numFmtId="49" fontId="3" fillId="0" borderId="0" xfId="5" applyNumberFormat="1" applyFont="1" applyFill="1" applyBorder="1" applyAlignment="1">
      <alignment horizontal="center"/>
    </xf>
    <xf numFmtId="164" fontId="4" fillId="0" borderId="0" xfId="6" applyFill="1" applyBorder="1" applyAlignment="1"/>
    <xf numFmtId="164" fontId="4" fillId="0" borderId="0" xfId="6" applyFill="1" applyBorder="1" applyAlignment="1">
      <alignment horizontal="right"/>
    </xf>
    <xf numFmtId="164" fontId="4" fillId="0" borderId="0" xfId="6" applyFont="1" applyFill="1" applyBorder="1" applyAlignment="1">
      <alignment horizontal="right"/>
    </xf>
    <xf numFmtId="0" fontId="13" fillId="0" borderId="0" xfId="6" applyNumberFormat="1" applyFont="1" applyFill="1" applyBorder="1" applyAlignment="1" applyProtection="1">
      <protection locked="0"/>
    </xf>
    <xf numFmtId="0" fontId="13" fillId="0" borderId="0" xfId="6" applyNumberFormat="1" applyFont="1" applyFill="1" applyBorder="1" applyAlignment="1" applyProtection="1">
      <alignment horizontal="left"/>
      <protection locked="0"/>
    </xf>
    <xf numFmtId="0" fontId="13" fillId="0" borderId="0" xfId="6" applyNumberFormat="1" applyFont="1" applyFill="1" applyBorder="1" applyProtection="1">
      <protection locked="0"/>
    </xf>
    <xf numFmtId="49" fontId="13" fillId="2" borderId="0" xfId="6" applyNumberFormat="1" applyFont="1" applyFill="1" applyBorder="1" applyAlignment="1">
      <alignment horizontal="right"/>
    </xf>
    <xf numFmtId="49" fontId="13" fillId="3" borderId="0" xfId="6" applyNumberFormat="1" applyFont="1" applyFill="1" applyBorder="1" applyAlignment="1">
      <alignment horizontal="right"/>
    </xf>
    <xf numFmtId="0" fontId="4" fillId="0" borderId="0" xfId="6" applyNumberFormat="1" applyFont="1" applyFill="1" applyBorder="1"/>
    <xf numFmtId="0" fontId="19" fillId="0" borderId="0" xfId="6" applyNumberFormat="1" applyFont="1" applyFill="1" applyBorder="1"/>
    <xf numFmtId="3" fontId="13" fillId="0" borderId="0" xfId="6" applyNumberFormat="1" applyFont="1" applyFill="1" applyBorder="1" applyAlignment="1"/>
    <xf numFmtId="0" fontId="19" fillId="0" borderId="0" xfId="6" applyNumberFormat="1" applyFont="1" applyFill="1" applyBorder="1" applyAlignment="1">
      <alignment horizontal="center"/>
    </xf>
    <xf numFmtId="0" fontId="4" fillId="0" borderId="0" xfId="6" applyNumberFormat="1" applyFill="1" applyBorder="1" applyAlignment="1" applyProtection="1">
      <alignment horizontal="center"/>
      <protection locked="0"/>
    </xf>
    <xf numFmtId="49" fontId="13" fillId="0" borderId="0" xfId="6" applyNumberFormat="1" applyFont="1" applyFill="1" applyBorder="1" applyAlignment="1">
      <alignment horizontal="center"/>
    </xf>
    <xf numFmtId="49" fontId="13" fillId="0" borderId="0" xfId="6" applyNumberFormat="1" applyFont="1" applyFill="1" applyBorder="1" applyAlignment="1">
      <alignment horizontal="centerContinuous"/>
    </xf>
    <xf numFmtId="49" fontId="13" fillId="0" borderId="0" xfId="6" applyNumberFormat="1" applyFont="1" applyFill="1" applyBorder="1"/>
    <xf numFmtId="0" fontId="13" fillId="0" borderId="0" xfId="9" applyNumberFormat="1" applyFont="1" applyFill="1" applyBorder="1"/>
    <xf numFmtId="3" fontId="13" fillId="0" borderId="0" xfId="6" applyNumberFormat="1" applyFont="1" applyFill="1" applyBorder="1"/>
    <xf numFmtId="0" fontId="13" fillId="0" borderId="0" xfId="6" applyNumberFormat="1" applyFont="1" applyFill="1" applyBorder="1" applyAlignment="1">
      <alignment horizontal="center"/>
    </xf>
    <xf numFmtId="3" fontId="4" fillId="0" borderId="0" xfId="6" applyNumberFormat="1" applyFont="1" applyFill="1" applyBorder="1" applyAlignment="1"/>
    <xf numFmtId="0" fontId="4" fillId="0" borderId="0" xfId="6" applyNumberFormat="1" applyFont="1" applyFill="1" applyBorder="1" applyAlignment="1"/>
    <xf numFmtId="0" fontId="13" fillId="0" borderId="0" xfId="6" applyNumberFormat="1" applyFont="1" applyFill="1" applyBorder="1" applyAlignment="1"/>
    <xf numFmtId="3" fontId="14" fillId="0" borderId="0" xfId="6" applyNumberFormat="1" applyFont="1" applyFill="1" applyBorder="1" applyAlignment="1">
      <alignment horizontal="center"/>
    </xf>
    <xf numFmtId="0" fontId="4" fillId="0" borderId="0" xfId="6" applyNumberFormat="1" applyFont="1" applyFill="1" applyBorder="1" applyAlignment="1">
      <alignment horizontal="center"/>
    </xf>
    <xf numFmtId="0" fontId="4" fillId="0" borderId="0" xfId="6" applyNumberFormat="1" applyFont="1" applyFill="1" applyBorder="1" applyAlignment="1" applyProtection="1">
      <alignment horizontal="center"/>
      <protection locked="0"/>
    </xf>
    <xf numFmtId="164" fontId="14" fillId="0" borderId="0" xfId="6" applyFont="1" applyFill="1" applyBorder="1" applyAlignment="1">
      <alignment horizontal="center"/>
    </xf>
    <xf numFmtId="0" fontId="14" fillId="0" borderId="0" xfId="6" applyNumberFormat="1" applyFont="1" applyFill="1" applyBorder="1" applyAlignment="1" applyProtection="1">
      <alignment horizontal="center"/>
      <protection locked="0"/>
    </xf>
    <xf numFmtId="0" fontId="15" fillId="0" borderId="0" xfId="6" applyNumberFormat="1" applyFont="1" applyFill="1" applyBorder="1" applyAlignment="1">
      <alignment horizontal="center"/>
    </xf>
    <xf numFmtId="0" fontId="14" fillId="0" borderId="0" xfId="6" applyNumberFormat="1" applyFont="1" applyFill="1" applyBorder="1" applyAlignment="1"/>
    <xf numFmtId="0" fontId="16" fillId="0" borderId="0" xfId="6" applyNumberFormat="1" applyFont="1" applyFill="1" applyBorder="1" applyAlignment="1" applyProtection="1">
      <alignment horizontal="center"/>
      <protection locked="0"/>
    </xf>
    <xf numFmtId="3" fontId="4" fillId="0" borderId="0" xfId="6" applyNumberFormat="1" applyFont="1" applyFill="1" applyBorder="1" applyAlignment="1">
      <alignment horizontal="center"/>
    </xf>
    <xf numFmtId="3" fontId="13" fillId="0" borderId="0" xfId="6" applyNumberFormat="1" applyFont="1" applyFill="1" applyBorder="1" applyAlignment="1">
      <alignment horizontal="center"/>
    </xf>
    <xf numFmtId="170" fontId="13" fillId="2" borderId="0" xfId="1" applyNumberFormat="1" applyFont="1" applyFill="1" applyBorder="1" applyAlignment="1"/>
    <xf numFmtId="170" fontId="13" fillId="2" borderId="10" xfId="1" applyNumberFormat="1" applyFont="1" applyFill="1" applyBorder="1" applyAlignment="1"/>
    <xf numFmtId="3" fontId="20" fillId="0" borderId="0" xfId="6" applyNumberFormat="1" applyFont="1" applyFill="1" applyBorder="1" applyAlignment="1"/>
    <xf numFmtId="170" fontId="13" fillId="0" borderId="0" xfId="1" applyNumberFormat="1" applyFont="1" applyFill="1" applyBorder="1" applyAlignment="1"/>
    <xf numFmtId="41" fontId="13" fillId="0" borderId="0" xfId="6" applyNumberFormat="1" applyFont="1" applyFill="1" applyBorder="1" applyAlignment="1"/>
    <xf numFmtId="10" fontId="14" fillId="0" borderId="0" xfId="6" applyNumberFormat="1" applyFont="1" applyFill="1" applyBorder="1" applyAlignment="1"/>
    <xf numFmtId="10" fontId="15" fillId="0" borderId="0" xfId="2" applyNumberFormat="1" applyFont="1" applyFill="1" applyBorder="1" applyAlignment="1"/>
    <xf numFmtId="10" fontId="13" fillId="0" borderId="0" xfId="6" applyNumberFormat="1" applyFont="1" applyFill="1" applyBorder="1" applyAlignment="1"/>
    <xf numFmtId="10" fontId="0" fillId="0" borderId="0" xfId="2" applyNumberFormat="1" applyFont="1" applyFill="1" applyBorder="1" applyAlignment="1"/>
    <xf numFmtId="3" fontId="15" fillId="0" borderId="0" xfId="6" applyNumberFormat="1" applyFont="1" applyFill="1" applyBorder="1" applyAlignment="1"/>
    <xf numFmtId="169" fontId="14" fillId="0" borderId="0" xfId="6" applyNumberFormat="1" applyFont="1" applyFill="1" applyBorder="1" applyAlignment="1"/>
    <xf numFmtId="49" fontId="4" fillId="0" borderId="0" xfId="6" applyNumberFormat="1" applyFont="1" applyFill="1" applyBorder="1" applyAlignment="1">
      <alignment horizontal="center"/>
    </xf>
    <xf numFmtId="164" fontId="13" fillId="0" borderId="0" xfId="6" applyFont="1" applyFill="1" applyBorder="1" applyAlignment="1">
      <alignment horizontal="center"/>
    </xf>
    <xf numFmtId="0" fontId="14" fillId="0" borderId="0" xfId="6" applyNumberFormat="1" applyFont="1" applyFill="1" applyBorder="1" applyAlignment="1">
      <alignment horizontal="center"/>
    </xf>
    <xf numFmtId="49" fontId="15" fillId="0" borderId="0" xfId="6" applyNumberFormat="1" applyFont="1" applyFill="1" applyBorder="1" applyAlignment="1">
      <alignment horizontal="center"/>
    </xf>
    <xf numFmtId="164" fontId="15" fillId="0" borderId="0" xfId="6" applyFont="1" applyFill="1" applyBorder="1" applyAlignment="1"/>
    <xf numFmtId="0" fontId="4" fillId="0" borderId="0" xfId="6" applyNumberFormat="1" applyFont="1" applyFill="1" applyBorder="1" applyAlignment="1">
      <alignment horizontal="fill"/>
    </xf>
    <xf numFmtId="3" fontId="21" fillId="0" borderId="0" xfId="6" applyNumberFormat="1" applyFont="1" applyFill="1" applyBorder="1" applyAlignment="1"/>
    <xf numFmtId="164" fontId="22" fillId="0" borderId="0" xfId="6" applyFont="1" applyFill="1" applyBorder="1" applyAlignment="1"/>
    <xf numFmtId="171" fontId="13" fillId="0" borderId="0" xfId="6" applyNumberFormat="1" applyFont="1" applyFill="1" applyBorder="1" applyAlignment="1">
      <alignment horizontal="center"/>
    </xf>
    <xf numFmtId="174" fontId="4" fillId="0" borderId="0" xfId="6" applyNumberFormat="1" applyFill="1" applyBorder="1" applyAlignment="1"/>
    <xf numFmtId="3" fontId="14" fillId="0" borderId="0" xfId="6" applyNumberFormat="1" applyFont="1" applyFill="1" applyBorder="1" applyAlignment="1"/>
    <xf numFmtId="0" fontId="21" fillId="0" borderId="0" xfId="6" applyNumberFormat="1" applyFont="1" applyFill="1" applyBorder="1"/>
    <xf numFmtId="164" fontId="13" fillId="0" borderId="0" xfId="6" applyFont="1" applyFill="1" applyBorder="1" applyAlignment="1"/>
    <xf numFmtId="170" fontId="13" fillId="0" borderId="0" xfId="1" applyNumberFormat="1" applyFont="1" applyFill="1" applyBorder="1" applyAlignment="1">
      <alignment horizontal="right"/>
    </xf>
    <xf numFmtId="0" fontId="4" fillId="0" borderId="0" xfId="6" quotePrefix="1" applyNumberFormat="1" applyFill="1" applyBorder="1" applyAlignment="1" applyProtection="1">
      <alignment horizontal="center"/>
      <protection locked="0"/>
    </xf>
    <xf numFmtId="175" fontId="14" fillId="0" borderId="0" xfId="6" quotePrefix="1" applyNumberFormat="1" applyFont="1" applyFill="1" applyBorder="1" applyAlignment="1">
      <alignment horizontal="center"/>
    </xf>
    <xf numFmtId="164" fontId="15" fillId="0" borderId="4" xfId="6" applyFont="1" applyFill="1" applyBorder="1" applyAlignment="1">
      <alignment horizontal="center" wrapText="1"/>
    </xf>
    <xf numFmtId="164" fontId="15" fillId="0" borderId="5" xfId="6" applyFont="1" applyFill="1" applyBorder="1" applyAlignment="1"/>
    <xf numFmtId="164" fontId="15" fillId="0" borderId="5" xfId="6" applyFont="1" applyFill="1" applyBorder="1" applyAlignment="1">
      <alignment horizontal="center" wrapText="1"/>
    </xf>
    <xf numFmtId="164" fontId="15" fillId="0" borderId="12" xfId="6" applyFont="1" applyFill="1" applyBorder="1" applyAlignment="1">
      <alignment horizontal="center" wrapText="1"/>
    </xf>
    <xf numFmtId="164" fontId="15" fillId="0" borderId="6" xfId="6" applyFont="1" applyFill="1" applyBorder="1" applyAlignment="1">
      <alignment horizontal="center" wrapText="1"/>
    </xf>
    <xf numFmtId="3" fontId="14" fillId="0" borderId="6" xfId="6" applyNumberFormat="1" applyFont="1" applyFill="1" applyBorder="1" applyAlignment="1">
      <alignment horizontal="center" wrapText="1"/>
    </xf>
    <xf numFmtId="3" fontId="14" fillId="0" borderId="5" xfId="6" applyNumberFormat="1" applyFont="1" applyFill="1" applyBorder="1" applyAlignment="1">
      <alignment horizontal="center" wrapText="1"/>
    </xf>
    <xf numFmtId="0" fontId="13" fillId="0" borderId="4" xfId="6" applyNumberFormat="1" applyFont="1" applyFill="1" applyBorder="1"/>
    <xf numFmtId="0" fontId="13" fillId="0" borderId="5" xfId="6" applyNumberFormat="1" applyFont="1" applyFill="1" applyBorder="1"/>
    <xf numFmtId="0" fontId="13" fillId="0" borderId="5" xfId="6" quotePrefix="1" applyNumberFormat="1" applyFont="1" applyFill="1" applyBorder="1" applyAlignment="1">
      <alignment horizontal="center"/>
    </xf>
    <xf numFmtId="0" fontId="13" fillId="0" borderId="5" xfId="6" applyNumberFormat="1" applyFont="1" applyFill="1" applyBorder="1" applyAlignment="1">
      <alignment vertical="top" wrapText="1"/>
    </xf>
    <xf numFmtId="0" fontId="13" fillId="0" borderId="5" xfId="6" quotePrefix="1" applyNumberFormat="1" applyFont="1" applyFill="1" applyBorder="1" applyAlignment="1">
      <alignment horizontal="center" vertical="top" wrapText="1"/>
    </xf>
    <xf numFmtId="0" fontId="13" fillId="0" borderId="5" xfId="6" applyNumberFormat="1" applyFont="1" applyFill="1" applyBorder="1" applyAlignment="1">
      <alignment horizontal="center" vertical="top" wrapText="1"/>
    </xf>
    <xf numFmtId="0" fontId="13" fillId="0" borderId="6" xfId="6" quotePrefix="1" applyNumberFormat="1" applyFont="1" applyFill="1" applyBorder="1" applyAlignment="1">
      <alignment horizontal="center" vertical="top" wrapText="1"/>
    </xf>
    <xf numFmtId="0" fontId="13" fillId="0" borderId="6" xfId="6" applyNumberFormat="1" applyFont="1" applyFill="1" applyBorder="1" applyAlignment="1">
      <alignment horizontal="center" vertical="top" wrapText="1"/>
    </xf>
    <xf numFmtId="3" fontId="13" fillId="0" borderId="5" xfId="6" applyNumberFormat="1" applyFont="1" applyFill="1" applyBorder="1" applyAlignment="1">
      <alignment horizontal="center" vertical="top" wrapText="1"/>
    </xf>
    <xf numFmtId="3" fontId="13" fillId="0" borderId="6" xfId="6" applyNumberFormat="1" applyFont="1" applyFill="1" applyBorder="1" applyAlignment="1">
      <alignment horizontal="center" vertical="top" wrapText="1"/>
    </xf>
    <xf numFmtId="0" fontId="13" fillId="0" borderId="7" xfId="6" applyNumberFormat="1" applyFont="1" applyFill="1" applyBorder="1"/>
    <xf numFmtId="0" fontId="13" fillId="0" borderId="8" xfId="6" applyNumberFormat="1" applyFont="1" applyFill="1" applyBorder="1"/>
    <xf numFmtId="3" fontId="13" fillId="0" borderId="8" xfId="6" applyNumberFormat="1" applyFont="1" applyFill="1" applyBorder="1" applyAlignment="1"/>
    <xf numFmtId="1" fontId="4" fillId="0" borderId="0" xfId="5" applyNumberFormat="1" applyFill="1" applyBorder="1" applyAlignment="1">
      <alignment horizontal="center"/>
    </xf>
    <xf numFmtId="164" fontId="4" fillId="0" borderId="7" xfId="6" applyFont="1" applyFill="1" applyBorder="1" applyAlignment="1"/>
    <xf numFmtId="0" fontId="4" fillId="0" borderId="0" xfId="6" applyNumberFormat="1" applyFont="1" applyFill="1" applyBorder="1" applyAlignment="1">
      <alignment horizontal="left" vertical="top" wrapText="1"/>
    </xf>
    <xf numFmtId="0" fontId="4" fillId="0" borderId="0" xfId="6" applyNumberFormat="1" applyFont="1" applyFill="1" applyBorder="1" applyAlignment="1">
      <alignment horizontal="center" vertical="top" wrapText="1"/>
    </xf>
    <xf numFmtId="176" fontId="13" fillId="2" borderId="0" xfId="10" applyNumberFormat="1" applyFont="1" applyFill="1" applyBorder="1" applyAlignment="1">
      <alignment vertical="top"/>
    </xf>
    <xf numFmtId="176" fontId="13" fillId="0" borderId="0" xfId="10" applyNumberFormat="1" applyFont="1" applyFill="1" applyBorder="1" applyAlignment="1"/>
    <xf numFmtId="176" fontId="13" fillId="0" borderId="8" xfId="10" applyNumberFormat="1" applyFont="1" applyFill="1" applyBorder="1" applyAlignment="1"/>
    <xf numFmtId="176" fontId="13" fillId="2" borderId="0" xfId="10" applyNumberFormat="1" applyFont="1" applyFill="1" applyBorder="1" applyAlignment="1"/>
    <xf numFmtId="164" fontId="4" fillId="0" borderId="9" xfId="6" applyFill="1" applyBorder="1" applyAlignment="1"/>
    <xf numFmtId="164" fontId="4" fillId="0" borderId="10" xfId="6" applyFill="1" applyBorder="1" applyAlignment="1"/>
    <xf numFmtId="164" fontId="18" fillId="0" borderId="10" xfId="6" applyFont="1" applyFill="1" applyBorder="1" applyAlignment="1"/>
    <xf numFmtId="164" fontId="18" fillId="0" borderId="11" xfId="6" applyFont="1" applyFill="1" applyBorder="1" applyAlignment="1"/>
    <xf numFmtId="174" fontId="13" fillId="0" borderId="0" xfId="6" applyNumberFormat="1" applyFont="1" applyFill="1" applyBorder="1" applyAlignment="1"/>
    <xf numFmtId="164" fontId="2" fillId="0" borderId="0" xfId="6" applyFont="1" applyFill="1" applyBorder="1" applyAlignment="1"/>
    <xf numFmtId="164" fontId="13" fillId="0" borderId="1" xfId="6" applyFont="1" applyFill="1" applyBorder="1" applyAlignment="1"/>
    <xf numFmtId="164" fontId="4" fillId="0" borderId="0" xfId="6" applyFill="1" applyBorder="1" applyAlignment="1">
      <alignment horizontal="left" vertical="top" indent="1"/>
    </xf>
    <xf numFmtId="164" fontId="4" fillId="0" borderId="0" xfId="6" applyFill="1" applyBorder="1" applyAlignment="1">
      <alignment horizontal="left" vertical="top" wrapText="1"/>
    </xf>
    <xf numFmtId="164" fontId="4" fillId="0" borderId="0" xfId="6" applyFont="1" applyFill="1" applyBorder="1" applyAlignment="1">
      <alignment horizontal="left" vertical="top" wrapText="1"/>
    </xf>
    <xf numFmtId="164" fontId="4" fillId="0" borderId="0" xfId="6" applyFont="1" applyFill="1" applyBorder="1" applyAlignment="1">
      <alignment horizontal="left" indent="1"/>
    </xf>
    <xf numFmtId="164" fontId="4" fillId="0" borderId="0" xfId="6" applyFont="1" applyFill="1" applyBorder="1" applyAlignment="1">
      <alignment horizontal="left" wrapText="1"/>
    </xf>
    <xf numFmtId="164" fontId="4" fillId="0" borderId="0" xfId="6" applyFont="1" applyFill="1" applyBorder="1" applyAlignment="1">
      <alignment horizontal="center"/>
    </xf>
    <xf numFmtId="164" fontId="18" fillId="0" borderId="0" xfId="6" applyFont="1" applyFill="1" applyBorder="1" applyAlignment="1">
      <alignment horizontal="center"/>
    </xf>
    <xf numFmtId="164" fontId="3" fillId="0" borderId="0" xfId="6" applyFont="1" applyFill="1" applyBorder="1" applyAlignment="1"/>
    <xf numFmtId="49" fontId="3" fillId="0" borderId="0" xfId="6" applyNumberFormat="1" applyFont="1" applyFill="1" applyBorder="1" applyAlignment="1">
      <alignment horizontal="left"/>
    </xf>
    <xf numFmtId="49" fontId="3" fillId="0" borderId="0" xfId="6" applyNumberFormat="1" applyFont="1" applyFill="1" applyBorder="1" applyAlignment="1">
      <alignment horizontal="center"/>
    </xf>
    <xf numFmtId="164" fontId="14" fillId="0" borderId="0" xfId="6" applyFont="1" applyAlignment="1"/>
    <xf numFmtId="164" fontId="13" fillId="0" borderId="0" xfId="6" applyFont="1" applyAlignment="1"/>
    <xf numFmtId="164" fontId="14" fillId="0" borderId="0" xfId="6" quotePrefix="1" applyFont="1" applyAlignment="1">
      <alignment horizontal="left"/>
    </xf>
    <xf numFmtId="164" fontId="13" fillId="0" borderId="0" xfId="6" quotePrefix="1" applyFont="1" applyAlignment="1">
      <alignment horizontal="left"/>
    </xf>
    <xf numFmtId="176" fontId="13" fillId="0" borderId="0" xfId="152" applyNumberFormat="1" applyFont="1" applyAlignment="1"/>
    <xf numFmtId="164" fontId="13" fillId="0" borderId="0" xfId="6" quotePrefix="1" applyFont="1" applyFill="1" applyAlignment="1">
      <alignment horizontal="left"/>
    </xf>
    <xf numFmtId="164" fontId="13" fillId="0" borderId="0" xfId="6" applyFont="1" applyFill="1" applyAlignment="1"/>
    <xf numFmtId="0" fontId="106" fillId="0" borderId="0" xfId="486"/>
    <xf numFmtId="0" fontId="106" fillId="0" borderId="0" xfId="486" applyBorder="1"/>
    <xf numFmtId="0" fontId="107" fillId="0" borderId="0" xfId="486" applyFont="1" applyBorder="1"/>
    <xf numFmtId="0" fontId="106" fillId="0" borderId="24" xfId="486" applyBorder="1"/>
    <xf numFmtId="0" fontId="106" fillId="0" borderId="0" xfId="486" applyAlignment="1">
      <alignment horizontal="center"/>
    </xf>
    <xf numFmtId="0" fontId="106" fillId="0" borderId="0" xfId="486" applyFill="1"/>
    <xf numFmtId="10" fontId="2" fillId="0" borderId="0" xfId="2" applyNumberFormat="1"/>
    <xf numFmtId="170" fontId="2" fillId="0" borderId="0" xfId="1" applyNumberFormat="1"/>
    <xf numFmtId="170" fontId="106" fillId="0" borderId="0" xfId="486" applyNumberFormat="1"/>
    <xf numFmtId="0" fontId="106" fillId="0" borderId="0" xfId="486" applyAlignment="1">
      <alignment horizontal="left"/>
    </xf>
    <xf numFmtId="171" fontId="2" fillId="0" borderId="0" xfId="2" applyNumberFormat="1"/>
    <xf numFmtId="275" fontId="2" fillId="0" borderId="0" xfId="2" applyNumberFormat="1"/>
    <xf numFmtId="0" fontId="106" fillId="0" borderId="0" xfId="486" quotePrefix="1" applyAlignment="1">
      <alignment horizontal="left"/>
    </xf>
    <xf numFmtId="0" fontId="106" fillId="51" borderId="0" xfId="486" applyFill="1"/>
    <xf numFmtId="0" fontId="2" fillId="0" borderId="0" xfId="486" applyFont="1"/>
    <xf numFmtId="171" fontId="2" fillId="0" borderId="0" xfId="2" quotePrefix="1" applyNumberFormat="1" applyFont="1" applyBorder="1"/>
    <xf numFmtId="171" fontId="2" fillId="0" borderId="0" xfId="2" quotePrefix="1" applyNumberFormat="1" applyFont="1"/>
    <xf numFmtId="0" fontId="111" fillId="0" borderId="0" xfId="486" applyFont="1"/>
    <xf numFmtId="274" fontId="2" fillId="0" borderId="0" xfId="2" applyNumberFormat="1" applyBorder="1"/>
    <xf numFmtId="9" fontId="2" fillId="0" borderId="2" xfId="2" applyBorder="1"/>
    <xf numFmtId="275" fontId="2" fillId="0" borderId="0" xfId="2" applyNumberFormat="1" applyBorder="1"/>
    <xf numFmtId="274" fontId="2" fillId="0" borderId="29" xfId="2" applyNumberFormat="1" applyBorder="1"/>
    <xf numFmtId="41" fontId="2" fillId="0" borderId="0" xfId="103"/>
    <xf numFmtId="37" fontId="106" fillId="0" borderId="0" xfId="486" applyNumberFormat="1" applyFill="1"/>
    <xf numFmtId="37" fontId="106" fillId="0" borderId="0" xfId="486" applyNumberFormat="1"/>
    <xf numFmtId="5" fontId="106" fillId="0" borderId="0" xfId="486" applyNumberFormat="1" applyFill="1"/>
    <xf numFmtId="37" fontId="106" fillId="0" borderId="3" xfId="486" applyNumberFormat="1" applyBorder="1"/>
    <xf numFmtId="165" fontId="106" fillId="0" borderId="0" xfId="486" applyNumberFormat="1"/>
    <xf numFmtId="37" fontId="106" fillId="29" borderId="0" xfId="486" applyNumberFormat="1" applyFill="1"/>
    <xf numFmtId="0" fontId="64" fillId="0" borderId="0" xfId="486" applyFont="1"/>
    <xf numFmtId="171" fontId="106" fillId="0" borderId="0" xfId="486" applyNumberFormat="1"/>
    <xf numFmtId="0" fontId="64" fillId="0" borderId="0" xfId="486" applyFont="1" applyAlignment="1">
      <alignment horizontal="left"/>
    </xf>
    <xf numFmtId="0" fontId="112" fillId="0" borderId="0" xfId="486" applyFont="1"/>
    <xf numFmtId="0" fontId="112" fillId="0" borderId="0" xfId="486" quotePrefix="1" applyFont="1" applyAlignment="1">
      <alignment horizontal="center" wrapText="1"/>
    </xf>
    <xf numFmtId="0" fontId="112" fillId="0" borderId="0" xfId="486" applyFont="1" applyAlignment="1">
      <alignment horizontal="center" wrapText="1"/>
    </xf>
    <xf numFmtId="171" fontId="112" fillId="0" borderId="0" xfId="486" applyNumberFormat="1" applyFont="1" applyAlignment="1">
      <alignment horizontal="center" wrapText="1"/>
    </xf>
    <xf numFmtId="170" fontId="0" fillId="0" borderId="0" xfId="1" applyNumberFormat="1" applyFont="1"/>
    <xf numFmtId="260" fontId="0" fillId="0" borderId="0" xfId="2" applyNumberFormat="1" applyFont="1"/>
    <xf numFmtId="171" fontId="0" fillId="0" borderId="0" xfId="2" applyNumberFormat="1" applyFont="1"/>
    <xf numFmtId="10" fontId="0" fillId="0" borderId="0" xfId="2" applyNumberFormat="1" applyFont="1"/>
    <xf numFmtId="0" fontId="108" fillId="0" borderId="0" xfId="486" applyFont="1"/>
    <xf numFmtId="170" fontId="0" fillId="0" borderId="0" xfId="1" applyNumberFormat="1" applyFont="1" applyBorder="1"/>
    <xf numFmtId="10" fontId="0" fillId="0" borderId="0" xfId="2" applyNumberFormat="1" applyFont="1" applyBorder="1"/>
    <xf numFmtId="171" fontId="0" fillId="0" borderId="0" xfId="2" applyNumberFormat="1" applyFont="1" applyFill="1" applyBorder="1"/>
    <xf numFmtId="10" fontId="0" fillId="0" borderId="0" xfId="2" applyNumberFormat="1" applyFont="1" applyFill="1" applyBorder="1"/>
    <xf numFmtId="171" fontId="2" fillId="0" borderId="0" xfId="2" applyNumberFormat="1" applyFont="1" applyFill="1" applyBorder="1"/>
    <xf numFmtId="170" fontId="0" fillId="0" borderId="0" xfId="1" applyNumberFormat="1" applyFont="1" applyFill="1" applyBorder="1"/>
    <xf numFmtId="0" fontId="2" fillId="0" borderId="0" xfId="483" applyFont="1" applyAlignment="1">
      <alignment horizontal="left"/>
    </xf>
    <xf numFmtId="0" fontId="2" fillId="0" borderId="0" xfId="483" quotePrefix="1" applyFont="1" applyAlignment="1">
      <alignment horizontal="left"/>
    </xf>
    <xf numFmtId="170" fontId="0" fillId="0" borderId="10" xfId="1" applyNumberFormat="1" applyFont="1" applyBorder="1"/>
    <xf numFmtId="10" fontId="0" fillId="0" borderId="10" xfId="2" applyNumberFormat="1" applyFont="1" applyBorder="1"/>
    <xf numFmtId="170" fontId="106" fillId="0" borderId="0" xfId="486" applyNumberFormat="1" applyBorder="1"/>
    <xf numFmtId="171" fontId="106" fillId="0" borderId="0" xfId="486" applyNumberFormat="1" applyFill="1" applyBorder="1"/>
    <xf numFmtId="10" fontId="0" fillId="29" borderId="29" xfId="2" applyNumberFormat="1" applyFont="1" applyFill="1" applyBorder="1"/>
    <xf numFmtId="171" fontId="106" fillId="0" borderId="0" xfId="486" applyNumberFormat="1" applyFill="1"/>
    <xf numFmtId="0" fontId="2" fillId="0" borderId="0" xfId="486" applyFont="1" applyBorder="1" applyAlignment="1">
      <alignment horizontal="center"/>
    </xf>
    <xf numFmtId="0" fontId="64" fillId="0" borderId="0" xfId="430" applyFont="1"/>
    <xf numFmtId="0" fontId="2" fillId="0" borderId="0" xfId="430" applyFont="1"/>
    <xf numFmtId="0" fontId="64" fillId="0" borderId="0" xfId="430" quotePrefix="1" applyFont="1" applyAlignment="1">
      <alignment horizontal="left"/>
    </xf>
    <xf numFmtId="0" fontId="2" fillId="0" borderId="10" xfId="430" applyFont="1" applyBorder="1" applyAlignment="1">
      <alignment horizontal="center" wrapText="1"/>
    </xf>
    <xf numFmtId="0" fontId="2" fillId="0" borderId="10" xfId="430" applyFont="1" applyBorder="1" applyAlignment="1">
      <alignment horizontal="center"/>
    </xf>
    <xf numFmtId="37" fontId="2" fillId="0" borderId="0" xfId="430" applyNumberFormat="1" applyFont="1"/>
    <xf numFmtId="170" fontId="2" fillId="0" borderId="0" xfId="430" applyNumberFormat="1" applyFont="1"/>
    <xf numFmtId="37" fontId="2" fillId="0" borderId="29" xfId="430" applyNumberFormat="1" applyFont="1" applyBorder="1"/>
    <xf numFmtId="170" fontId="2" fillId="0" borderId="29" xfId="430" applyNumberFormat="1" applyFont="1" applyBorder="1"/>
    <xf numFmtId="164" fontId="18" fillId="0" borderId="0" xfId="7" applyFont="1" applyFill="1" applyBorder="1" applyAlignment="1"/>
    <xf numFmtId="0" fontId="2" fillId="0" borderId="0" xfId="7" applyNumberFormat="1" applyFont="1" applyFill="1" applyBorder="1" applyAlignment="1"/>
    <xf numFmtId="4" fontId="2" fillId="0" borderId="0" xfId="7" applyNumberFormat="1" applyFont="1" applyFill="1" applyBorder="1" applyAlignment="1"/>
    <xf numFmtId="0" fontId="18" fillId="0" borderId="0" xfId="7" applyNumberFormat="1" applyFont="1" applyFill="1" applyBorder="1" applyAlignment="1"/>
    <xf numFmtId="0" fontId="18" fillId="0" borderId="0" xfId="7" applyNumberFormat="1" applyFont="1" applyFill="1" applyBorder="1"/>
    <xf numFmtId="176" fontId="18" fillId="0" borderId="0" xfId="10" applyNumberFormat="1" applyFont="1" applyFill="1" applyBorder="1" applyAlignment="1"/>
    <xf numFmtId="3" fontId="18" fillId="0" borderId="0" xfId="7" applyNumberFormat="1" applyFont="1" applyFill="1" applyBorder="1" applyAlignment="1">
      <alignment horizontal="centerContinuous"/>
    </xf>
    <xf numFmtId="164" fontId="64" fillId="0" borderId="5" xfId="7" applyFont="1" applyFill="1" applyBorder="1" applyAlignment="1">
      <alignment horizontal="center"/>
    </xf>
    <xf numFmtId="164" fontId="64" fillId="0" borderId="0" xfId="7" applyFont="1" applyFill="1" applyBorder="1" applyAlignment="1">
      <alignment horizontal="center"/>
    </xf>
    <xf numFmtId="176" fontId="18" fillId="50" borderId="0" xfId="10" applyNumberFormat="1" applyFont="1" applyFill="1" applyBorder="1" applyAlignment="1"/>
    <xf numFmtId="3" fontId="18" fillId="0" borderId="0" xfId="7" applyNumberFormat="1" applyFont="1" applyFill="1" applyBorder="1" applyAlignment="1"/>
    <xf numFmtId="164" fontId="113" fillId="0" borderId="0" xfId="7" applyFont="1" applyFill="1" applyBorder="1" applyAlignment="1">
      <alignment horizontal="center"/>
    </xf>
    <xf numFmtId="3" fontId="113" fillId="0" borderId="0" xfId="7" applyNumberFormat="1" applyFont="1" applyFill="1" applyBorder="1" applyAlignment="1">
      <alignment horizontal="center"/>
    </xf>
    <xf numFmtId="170" fontId="18" fillId="0" borderId="0" xfId="1" applyNumberFormat="1" applyFont="1" applyFill="1" applyBorder="1" applyAlignment="1"/>
    <xf numFmtId="10" fontId="18" fillId="50" borderId="0" xfId="2" applyNumberFormat="1" applyFont="1" applyFill="1" applyBorder="1" applyAlignment="1"/>
    <xf numFmtId="0" fontId="18" fillId="50" borderId="0" xfId="10" applyNumberFormat="1" applyFont="1" applyFill="1" applyBorder="1" applyAlignment="1">
      <alignment horizontal="center"/>
    </xf>
    <xf numFmtId="164" fontId="2" fillId="0" borderId="0" xfId="7" applyFont="1" applyFill="1" applyBorder="1" applyAlignment="1">
      <alignment horizontal="right"/>
    </xf>
    <xf numFmtId="4" fontId="18" fillId="0" borderId="0" xfId="7" applyNumberFormat="1" applyFont="1" applyFill="1" applyBorder="1" applyAlignment="1"/>
    <xf numFmtId="0" fontId="2" fillId="0" borderId="0" xfId="7" applyNumberFormat="1" applyFont="1" applyFill="1" applyBorder="1"/>
    <xf numFmtId="3" fontId="2" fillId="0" borderId="0" xfId="7" applyNumberFormat="1" applyFont="1" applyFill="1" applyBorder="1" applyAlignment="1"/>
    <xf numFmtId="164" fontId="18" fillId="0" borderId="0" xfId="7" applyFont="1" applyFill="1" applyBorder="1" applyAlignment="1">
      <alignment horizontal="right"/>
    </xf>
    <xf numFmtId="176" fontId="18" fillId="0" borderId="3" xfId="10" applyNumberFormat="1" applyFont="1" applyFill="1" applyBorder="1" applyAlignment="1"/>
    <xf numFmtId="175" fontId="2" fillId="0" borderId="0" xfId="7" applyNumberFormat="1" applyFont="1" applyFill="1" applyBorder="1" applyAlignment="1">
      <alignment horizontal="center"/>
    </xf>
    <xf numFmtId="0" fontId="2" fillId="0" borderId="0" xfId="7" quotePrefix="1" applyNumberFormat="1" applyFont="1" applyFill="1" applyBorder="1" applyAlignment="1">
      <alignment horizontal="center"/>
    </xf>
    <xf numFmtId="3" fontId="18" fillId="0" borderId="0" xfId="7" applyNumberFormat="1" applyFont="1" applyFill="1" applyBorder="1" applyAlignment="1">
      <alignment horizontal="center"/>
    </xf>
    <xf numFmtId="0" fontId="18" fillId="0" borderId="0" xfId="7" applyNumberFormat="1" applyFont="1" applyFill="1" applyBorder="1" applyAlignment="1">
      <alignment horizontal="center"/>
    </xf>
    <xf numFmtId="164" fontId="18" fillId="0" borderId="5" xfId="7" applyFont="1" applyFill="1" applyBorder="1" applyAlignment="1">
      <alignment horizontal="center" vertical="top" wrapText="1"/>
    </xf>
    <xf numFmtId="164" fontId="18" fillId="0" borderId="5" xfId="7" applyFont="1" applyFill="1" applyBorder="1" applyAlignment="1">
      <alignment horizontal="center" vertical="top"/>
    </xf>
    <xf numFmtId="0" fontId="2" fillId="0" borderId="5" xfId="7" applyNumberFormat="1" applyFont="1" applyFill="1" applyBorder="1" applyAlignment="1">
      <alignment horizontal="center" vertical="top" wrapText="1"/>
    </xf>
    <xf numFmtId="4" fontId="18" fillId="0" borderId="6" xfId="7" applyNumberFormat="1" applyFont="1" applyFill="1" applyBorder="1" applyAlignment="1">
      <alignment horizontal="center" vertical="top" wrapText="1"/>
    </xf>
    <xf numFmtId="164" fontId="18" fillId="0" borderId="6" xfId="7" applyFont="1" applyFill="1" applyBorder="1" applyAlignment="1">
      <alignment horizontal="center" vertical="top" wrapText="1"/>
    </xf>
    <xf numFmtId="3" fontId="2" fillId="0" borderId="6" xfId="7" applyNumberFormat="1" applyFont="1" applyFill="1" applyBorder="1" applyAlignment="1">
      <alignment horizontal="center" vertical="top" wrapText="1"/>
    </xf>
    <xf numFmtId="3" fontId="2" fillId="0" borderId="5" xfId="7" applyNumberFormat="1" applyFont="1" applyFill="1" applyBorder="1" applyAlignment="1">
      <alignment horizontal="center" vertical="top" wrapText="1"/>
    </xf>
    <xf numFmtId="0" fontId="18" fillId="0" borderId="0" xfId="7" applyNumberFormat="1" applyFont="1" applyFill="1" applyBorder="1" applyAlignment="1">
      <alignment vertical="top"/>
    </xf>
    <xf numFmtId="164" fontId="18" fillId="0" borderId="0" xfId="7" applyFont="1" applyFill="1" applyBorder="1" applyAlignment="1">
      <alignment vertical="top"/>
    </xf>
    <xf numFmtId="0" fontId="2" fillId="0" borderId="4" xfId="7" applyNumberFormat="1" applyFont="1" applyFill="1" applyBorder="1" applyAlignment="1">
      <alignment horizontal="center" vertical="top" wrapText="1"/>
    </xf>
    <xf numFmtId="0" fontId="2" fillId="0" borderId="5" xfId="7" applyNumberFormat="1" applyFont="1" applyFill="1" applyBorder="1"/>
    <xf numFmtId="0" fontId="2" fillId="0" borderId="5" xfId="7" applyNumberFormat="1" applyFont="1" applyFill="1" applyBorder="1" applyAlignment="1">
      <alignment horizontal="center"/>
    </xf>
    <xf numFmtId="4" fontId="2" fillId="0" borderId="6" xfId="7" applyNumberFormat="1" applyFont="1" applyFill="1" applyBorder="1" applyAlignment="1">
      <alignment horizontal="center"/>
    </xf>
    <xf numFmtId="0" fontId="2" fillId="0" borderId="6" xfId="7" applyNumberFormat="1" applyFont="1" applyFill="1" applyBorder="1" applyAlignment="1">
      <alignment horizontal="center"/>
    </xf>
    <xf numFmtId="3" fontId="2" fillId="0" borderId="5" xfId="7" applyNumberFormat="1" applyFont="1" applyFill="1" applyBorder="1" applyAlignment="1">
      <alignment horizontal="center"/>
    </xf>
    <xf numFmtId="3" fontId="2" fillId="0" borderId="6" xfId="7" applyNumberFormat="1" applyFont="1" applyFill="1" applyBorder="1" applyAlignment="1">
      <alignment horizontal="center" wrapText="1"/>
    </xf>
    <xf numFmtId="0" fontId="2" fillId="0" borderId="4" xfId="7" applyNumberFormat="1" applyFont="1" applyFill="1" applyBorder="1" applyAlignment="1">
      <alignment horizontal="center"/>
    </xf>
    <xf numFmtId="0" fontId="2" fillId="0" borderId="30" xfId="7" applyNumberFormat="1" applyFont="1" applyFill="1" applyBorder="1"/>
    <xf numFmtId="4" fontId="2" fillId="0" borderId="8" xfId="7" applyNumberFormat="1" applyFont="1" applyFill="1" applyBorder="1"/>
    <xf numFmtId="0" fontId="2" fillId="0" borderId="8" xfId="7" applyNumberFormat="1" applyFont="1" applyFill="1" applyBorder="1"/>
    <xf numFmtId="3" fontId="2" fillId="0" borderId="8" xfId="7" applyNumberFormat="1" applyFont="1" applyFill="1" applyBorder="1" applyAlignment="1"/>
    <xf numFmtId="0" fontId="2" fillId="0" borderId="7" xfId="7" applyNumberFormat="1" applyFont="1" applyFill="1" applyBorder="1"/>
    <xf numFmtId="0" fontId="18" fillId="0" borderId="7" xfId="1" applyNumberFormat="1" applyFont="1" applyFill="1" applyBorder="1" applyAlignment="1">
      <alignment horizontal="center"/>
    </xf>
    <xf numFmtId="10" fontId="18" fillId="0" borderId="0" xfId="2" applyNumberFormat="1" applyFont="1" applyFill="1" applyBorder="1" applyAlignment="1"/>
    <xf numFmtId="4" fontId="18" fillId="0" borderId="8" xfId="7" applyNumberFormat="1" applyFont="1" applyFill="1" applyBorder="1" applyAlignment="1"/>
    <xf numFmtId="174" fontId="18" fillId="0" borderId="8" xfId="7" applyNumberFormat="1" applyFont="1" applyFill="1" applyBorder="1" applyAlignment="1"/>
    <xf numFmtId="176" fontId="2" fillId="0" borderId="8" xfId="10" applyNumberFormat="1" applyFont="1" applyFill="1" applyBorder="1" applyAlignment="1"/>
    <xf numFmtId="10" fontId="18" fillId="0" borderId="8" xfId="2" applyNumberFormat="1" applyFont="1" applyFill="1" applyBorder="1" applyAlignment="1"/>
    <xf numFmtId="176" fontId="18" fillId="50" borderId="7" xfId="10" applyNumberFormat="1" applyFont="1" applyFill="1" applyBorder="1" applyAlignment="1"/>
    <xf numFmtId="164" fontId="18" fillId="0" borderId="7" xfId="7" applyFont="1" applyFill="1" applyBorder="1" applyAlignment="1">
      <alignment horizontal="center"/>
    </xf>
    <xf numFmtId="164" fontId="18" fillId="0" borderId="8" xfId="7" applyFont="1" applyFill="1" applyBorder="1" applyAlignment="1"/>
    <xf numFmtId="164" fontId="18" fillId="0" borderId="7" xfId="7" applyFont="1" applyFill="1" applyBorder="1" applyAlignment="1"/>
    <xf numFmtId="164" fontId="18" fillId="0" borderId="9" xfId="7" applyFont="1" applyFill="1" applyBorder="1" applyAlignment="1">
      <alignment horizontal="center"/>
    </xf>
    <xf numFmtId="164" fontId="18" fillId="0" borderId="10" xfId="7" applyFont="1" applyFill="1" applyBorder="1" applyAlignment="1"/>
    <xf numFmtId="4" fontId="18" fillId="0" borderId="11" xfId="7" applyNumberFormat="1" applyFont="1" applyFill="1" applyBorder="1" applyAlignment="1"/>
    <xf numFmtId="164" fontId="18" fillId="0" borderId="11" xfId="7" applyFont="1" applyFill="1" applyBorder="1" applyAlignment="1"/>
    <xf numFmtId="164" fontId="18" fillId="0" borderId="9" xfId="7" applyFont="1" applyFill="1" applyBorder="1" applyAlignment="1"/>
    <xf numFmtId="164" fontId="2" fillId="0" borderId="0" xfId="7" applyFont="1" applyFill="1" applyBorder="1" applyAlignment="1">
      <alignment horizontal="center"/>
    </xf>
    <xf numFmtId="10" fontId="2" fillId="0" borderId="0" xfId="2" applyNumberFormat="1" applyFont="1" applyFill="1" applyBorder="1" applyAlignment="1"/>
    <xf numFmtId="164" fontId="114" fillId="0" borderId="0" xfId="7" applyFont="1" applyFill="1" applyBorder="1" applyAlignment="1"/>
    <xf numFmtId="0" fontId="115" fillId="0" borderId="0" xfId="261" applyFont="1" applyAlignment="1"/>
    <xf numFmtId="164" fontId="2" fillId="0" borderId="0" xfId="7" applyFont="1" applyFill="1" applyBorder="1" applyAlignment="1"/>
    <xf numFmtId="174" fontId="2" fillId="0" borderId="0" xfId="7" applyNumberFormat="1" applyFont="1" applyFill="1" applyBorder="1" applyAlignment="1"/>
    <xf numFmtId="0" fontId="116" fillId="0" borderId="0" xfId="261" applyFont="1" applyAlignment="1"/>
    <xf numFmtId="0" fontId="117" fillId="0" borderId="0" xfId="487" applyAlignment="1">
      <alignment vertical="center"/>
    </xf>
    <xf numFmtId="164" fontId="18" fillId="0" borderId="0" xfId="7" applyFont="1" applyFill="1" applyBorder="1" applyAlignment="1">
      <alignment vertical="top" wrapText="1"/>
    </xf>
    <xf numFmtId="164" fontId="18" fillId="0" borderId="24" xfId="7" applyFont="1" applyFill="1" applyBorder="1" applyAlignment="1"/>
    <xf numFmtId="164" fontId="18" fillId="0" borderId="24" xfId="7" applyFont="1" applyFill="1" applyBorder="1" applyAlignment="1">
      <alignment wrapText="1"/>
    </xf>
    <xf numFmtId="170" fontId="2" fillId="0" borderId="0" xfId="0" applyNumberFormat="1" applyFont="1" applyFill="1"/>
    <xf numFmtId="170" fontId="2" fillId="0" borderId="0" xfId="0" applyNumberFormat="1" applyFont="1"/>
    <xf numFmtId="0" fontId="118" fillId="0" borderId="0" xfId="429" applyNumberFormat="1" applyFont="1" applyFill="1" applyBorder="1" applyAlignment="1"/>
    <xf numFmtId="37" fontId="2" fillId="0" borderId="10" xfId="1" applyNumberFormat="1" applyFont="1" applyFill="1" applyBorder="1"/>
    <xf numFmtId="0" fontId="64" fillId="0" borderId="0" xfId="0" applyFont="1" applyFill="1" applyAlignment="1">
      <alignment vertical="center"/>
    </xf>
    <xf numFmtId="0" fontId="64" fillId="0" borderId="0" xfId="0" applyFont="1" applyFill="1" applyBorder="1" applyAlignment="1">
      <alignment horizontal="left" vertical="center" wrapText="1"/>
    </xf>
    <xf numFmtId="37" fontId="2" fillId="53" borderId="0" xfId="1" applyNumberFormat="1" applyFont="1" applyFill="1"/>
    <xf numFmtId="0" fontId="27" fillId="0" borderId="0" xfId="0" applyFont="1" applyFill="1" applyAlignment="1">
      <alignment wrapText="1"/>
    </xf>
    <xf numFmtId="0" fontId="2" fillId="0" borderId="0" xfId="0" applyFont="1" applyFill="1" applyAlignment="1">
      <alignment vertical="center"/>
    </xf>
    <xf numFmtId="0" fontId="0" fillId="0" borderId="0" xfId="0"/>
    <xf numFmtId="3" fontId="3" fillId="2" borderId="0" xfId="4" applyNumberFormat="1" applyFont="1" applyFill="1" applyAlignment="1"/>
    <xf numFmtId="3" fontId="3" fillId="2" borderId="24" xfId="4" applyNumberFormat="1" applyFont="1" applyFill="1" applyBorder="1" applyAlignment="1"/>
    <xf numFmtId="3" fontId="3" fillId="2" borderId="0" xfId="1" applyNumberFormat="1" applyFont="1" applyFill="1" applyAlignment="1"/>
    <xf numFmtId="164" fontId="4" fillId="0" borderId="0" xfId="6" applyFill="1" applyBorder="1" applyAlignment="1"/>
    <xf numFmtId="164" fontId="18" fillId="0" borderId="0" xfId="6" applyFont="1" applyFill="1" applyBorder="1" applyAlignment="1"/>
    <xf numFmtId="164" fontId="13" fillId="0" borderId="0" xfId="6" applyFont="1" applyAlignment="1"/>
    <xf numFmtId="164" fontId="13" fillId="0" borderId="0" xfId="6" quotePrefix="1" applyFont="1" applyAlignment="1">
      <alignment horizontal="left"/>
    </xf>
    <xf numFmtId="176" fontId="13" fillId="0" borderId="29" xfId="152" applyNumberFormat="1" applyFont="1" applyBorder="1" applyAlignment="1"/>
    <xf numFmtId="176" fontId="13" fillId="0" borderId="0" xfId="152" applyNumberFormat="1" applyFont="1" applyBorder="1" applyAlignment="1"/>
    <xf numFmtId="164" fontId="20" fillId="0" borderId="0" xfId="6" quotePrefix="1" applyFont="1" applyAlignment="1">
      <alignment horizontal="left"/>
    </xf>
    <xf numFmtId="10" fontId="13" fillId="0" borderId="0" xfId="350" applyNumberFormat="1" applyFont="1" applyAlignment="1"/>
    <xf numFmtId="164" fontId="13" fillId="0" borderId="10" xfId="6" applyFont="1" applyBorder="1" applyAlignment="1"/>
    <xf numFmtId="10" fontId="13" fillId="0" borderId="0" xfId="350" applyNumberFormat="1" applyFont="1" applyBorder="1" applyAlignment="1"/>
    <xf numFmtId="164" fontId="13" fillId="0" borderId="0" xfId="6" quotePrefix="1" applyFont="1" applyBorder="1" applyAlignment="1">
      <alignment horizontal="left"/>
    </xf>
    <xf numFmtId="164" fontId="13" fillId="0" borderId="0" xfId="6" applyFont="1" applyBorder="1" applyAlignment="1"/>
    <xf numFmtId="10" fontId="13" fillId="0" borderId="10" xfId="350" applyNumberFormat="1" applyFont="1" applyBorder="1" applyAlignment="1"/>
    <xf numFmtId="174" fontId="13" fillId="0" borderId="0" xfId="6" applyNumberFormat="1" applyFont="1" applyBorder="1" applyAlignment="1"/>
    <xf numFmtId="6" fontId="13" fillId="0" borderId="0" xfId="152" applyNumberFormat="1" applyFont="1" applyBorder="1" applyAlignment="1"/>
    <xf numFmtId="0" fontId="13" fillId="0" borderId="0" xfId="6" quotePrefix="1" applyNumberFormat="1" applyFont="1" applyBorder="1" applyAlignment="1"/>
    <xf numFmtId="0" fontId="13" fillId="0" borderId="0" xfId="6" applyNumberFormat="1" applyFont="1" applyAlignment="1"/>
    <xf numFmtId="164" fontId="13" fillId="0" borderId="10" xfId="6" quotePrefix="1" applyFont="1" applyBorder="1" applyAlignment="1">
      <alignment horizontal="right"/>
    </xf>
    <xf numFmtId="6" fontId="13" fillId="0" borderId="5" xfId="152" applyNumberFormat="1" applyFont="1" applyBorder="1" applyAlignment="1"/>
    <xf numFmtId="0" fontId="15" fillId="0" borderId="0" xfId="429" applyNumberFormat="1" applyFont="1" applyFill="1" applyBorder="1" applyAlignment="1">
      <alignment horizontal="center" wrapText="1"/>
    </xf>
    <xf numFmtId="0" fontId="2" fillId="0" borderId="5" xfId="0" applyFont="1" applyBorder="1" applyAlignment="1">
      <alignment wrapText="1"/>
    </xf>
    <xf numFmtId="278" fontId="2" fillId="0" borderId="5" xfId="0" applyNumberFormat="1" applyFont="1" applyFill="1" applyBorder="1" applyAlignment="1">
      <alignment horizontal="center" wrapText="1"/>
    </xf>
    <xf numFmtId="278" fontId="2" fillId="0" borderId="5" xfId="0" quotePrefix="1" applyNumberFormat="1" applyFont="1" applyFill="1" applyBorder="1" applyAlignment="1">
      <alignment horizontal="center" wrapText="1"/>
    </xf>
    <xf numFmtId="164" fontId="4" fillId="0" borderId="0" xfId="429" applyFill="1" applyBorder="1" applyAlignment="1">
      <alignment wrapText="1"/>
    </xf>
    <xf numFmtId="0" fontId="15" fillId="0" borderId="0" xfId="429" applyNumberFormat="1" applyFont="1" applyFill="1" applyBorder="1" applyAlignment="1"/>
    <xf numFmtId="0" fontId="2" fillId="0" borderId="0" xfId="0" applyFont="1" applyBorder="1"/>
    <xf numFmtId="0" fontId="2" fillId="0" borderId="0" xfId="0" applyFont="1"/>
    <xf numFmtId="0" fontId="2" fillId="0" borderId="0" xfId="0" applyFont="1" applyFill="1"/>
    <xf numFmtId="164" fontId="4" fillId="0" borderId="0" xfId="429" applyFill="1" applyBorder="1" applyAlignment="1"/>
    <xf numFmtId="0" fontId="64" fillId="0" borderId="0" xfId="0" applyFont="1" applyBorder="1" applyAlignment="1">
      <alignment vertical="center" wrapText="1"/>
    </xf>
    <xf numFmtId="37" fontId="2" fillId="0" borderId="0" xfId="0" applyNumberFormat="1" applyFont="1" applyFill="1"/>
    <xf numFmtId="9" fontId="2" fillId="0" borderId="0" xfId="2" applyFont="1" applyFill="1" applyBorder="1" applyAlignment="1"/>
    <xf numFmtId="37" fontId="2" fillId="0" borderId="0" xfId="0" applyNumberFormat="1" applyFont="1"/>
    <xf numFmtId="37" fontId="2" fillId="0" borderId="0" xfId="0" applyNumberFormat="1" applyFont="1" applyFill="1" applyBorder="1"/>
    <xf numFmtId="0" fontId="2" fillId="0" borderId="10" xfId="0" applyFont="1" applyFill="1" applyBorder="1"/>
    <xf numFmtId="37" fontId="2" fillId="0" borderId="10" xfId="0" applyNumberFormat="1" applyFont="1" applyBorder="1"/>
    <xf numFmtId="37" fontId="2" fillId="0" borderId="10" xfId="0" applyNumberFormat="1" applyFont="1" applyFill="1" applyBorder="1"/>
    <xf numFmtId="37" fontId="2" fillId="0" borderId="0" xfId="1" applyNumberFormat="1" applyFont="1"/>
    <xf numFmtId="37" fontId="2" fillId="0" borderId="0" xfId="1" applyNumberFormat="1" applyFont="1" applyFill="1"/>
    <xf numFmtId="0" fontId="2" fillId="52" borderId="0" xfId="0" applyFont="1" applyFill="1" applyAlignment="1">
      <alignment vertical="center"/>
    </xf>
    <xf numFmtId="0" fontId="2" fillId="52" borderId="0" xfId="0" applyFont="1" applyFill="1"/>
    <xf numFmtId="37" fontId="2" fillId="52" borderId="0" xfId="1" applyNumberFormat="1" applyFont="1" applyFill="1"/>
    <xf numFmtId="37" fontId="2" fillId="52" borderId="0" xfId="0" applyNumberFormat="1" applyFont="1" applyFill="1"/>
    <xf numFmtId="0" fontId="64" fillId="0" borderId="0" xfId="0" applyFont="1" applyBorder="1" applyAlignment="1">
      <alignment horizontal="left" vertical="center" wrapText="1"/>
    </xf>
    <xf numFmtId="43" fontId="4" fillId="0" borderId="0" xfId="1" applyFont="1" applyFill="1" applyBorder="1" applyAlignment="1"/>
    <xf numFmtId="0" fontId="2" fillId="0" borderId="0" xfId="0" applyFont="1" applyAlignment="1">
      <alignment vertical="center" wrapText="1"/>
    </xf>
    <xf numFmtId="0" fontId="4" fillId="0" borderId="0" xfId="429" applyNumberFormat="1" applyFont="1" applyFill="1" applyBorder="1" applyAlignment="1"/>
    <xf numFmtId="37" fontId="2" fillId="0" borderId="0" xfId="1" applyNumberFormat="1" applyFont="1" applyFill="1" applyBorder="1"/>
    <xf numFmtId="164" fontId="4" fillId="0" borderId="0" xfId="429" applyFont="1" applyFill="1" applyBorder="1" applyAlignment="1"/>
    <xf numFmtId="10" fontId="13" fillId="0" borderId="0" xfId="350" applyNumberFormat="1" applyFont="1" applyFill="1" applyAlignment="1"/>
    <xf numFmtId="275" fontId="0" fillId="0" borderId="0" xfId="0" applyNumberFormat="1"/>
    <xf numFmtId="0" fontId="111" fillId="0" borderId="0" xfId="0" applyFont="1"/>
    <xf numFmtId="176" fontId="13" fillId="0" borderId="0" xfId="152" applyNumberFormat="1" applyFont="1" applyFill="1" applyBorder="1" applyAlignment="1"/>
    <xf numFmtId="0" fontId="119" fillId="0" borderId="0" xfId="493"/>
    <xf numFmtId="0" fontId="122" fillId="0" borderId="0" xfId="493" applyFont="1"/>
    <xf numFmtId="0" fontId="119" fillId="0" borderId="0" xfId="493" applyAlignment="1">
      <alignment horizontal="center"/>
    </xf>
    <xf numFmtId="0" fontId="119" fillId="0" borderId="0" xfId="493" applyAlignment="1">
      <alignment horizontal="center" vertical="top"/>
    </xf>
    <xf numFmtId="0" fontId="119" fillId="0" borderId="10" xfId="493" applyBorder="1" applyAlignment="1">
      <alignment horizontal="center"/>
    </xf>
    <xf numFmtId="0" fontId="119" fillId="0" borderId="0" xfId="493" applyBorder="1" applyAlignment="1">
      <alignment horizontal="center"/>
    </xf>
    <xf numFmtId="41" fontId="119" fillId="0" borderId="0" xfId="493" applyNumberFormat="1"/>
    <xf numFmtId="41" fontId="119" fillId="0" borderId="3" xfId="493" applyNumberFormat="1" applyBorder="1"/>
    <xf numFmtId="41" fontId="119" fillId="3" borderId="0" xfId="493" applyNumberFormat="1" applyFill="1"/>
    <xf numFmtId="0" fontId="119" fillId="0" borderId="0" xfId="493" applyFill="1"/>
    <xf numFmtId="41" fontId="119" fillId="0" borderId="3" xfId="493" applyNumberFormat="1" applyFill="1" applyBorder="1"/>
    <xf numFmtId="0" fontId="120" fillId="0" borderId="0" xfId="493" applyFont="1" applyAlignment="1">
      <alignment horizontal="center"/>
    </xf>
    <xf numFmtId="0" fontId="119" fillId="3" borderId="0" xfId="493" applyFill="1" applyAlignment="1">
      <alignment horizontal="center"/>
    </xf>
    <xf numFmtId="0" fontId="119" fillId="3" borderId="0" xfId="493" applyFill="1" applyAlignment="1"/>
    <xf numFmtId="0" fontId="121" fillId="0" borderId="0" xfId="493" applyFont="1"/>
    <xf numFmtId="0" fontId="119" fillId="0" borderId="0" xfId="493" applyBorder="1"/>
    <xf numFmtId="41" fontId="119" fillId="0" borderId="0" xfId="493" applyNumberFormat="1" applyBorder="1"/>
    <xf numFmtId="0" fontId="119" fillId="0" borderId="0" xfId="493" quotePrefix="1" applyAlignment="1">
      <alignment horizontal="center"/>
    </xf>
    <xf numFmtId="43" fontId="13" fillId="0" borderId="0" xfId="1" applyFont="1" applyAlignment="1"/>
    <xf numFmtId="0" fontId="2" fillId="0" borderId="0" xfId="495"/>
    <xf numFmtId="0" fontId="2" fillId="0" borderId="0" xfId="254"/>
    <xf numFmtId="0" fontId="2" fillId="0" borderId="31" xfId="254" applyBorder="1"/>
    <xf numFmtId="0" fontId="2" fillId="0" borderId="10" xfId="254" applyBorder="1"/>
    <xf numFmtId="0" fontId="2" fillId="0" borderId="9" xfId="254" applyBorder="1"/>
    <xf numFmtId="0" fontId="2" fillId="0" borderId="25" xfId="254" applyBorder="1"/>
    <xf numFmtId="0" fontId="2" fillId="0" borderId="0" xfId="254" applyBorder="1"/>
    <xf numFmtId="0" fontId="2" fillId="0" borderId="0" xfId="254" quotePrefix="1" applyBorder="1" applyAlignment="1">
      <alignment horizontal="left"/>
    </xf>
    <xf numFmtId="0" fontId="2" fillId="0" borderId="7" xfId="254" applyBorder="1"/>
    <xf numFmtId="170" fontId="2" fillId="0" borderId="0" xfId="254" applyNumberFormat="1" applyBorder="1"/>
    <xf numFmtId="0" fontId="2" fillId="0" borderId="0" xfId="254" quotePrefix="1" applyBorder="1" applyAlignment="1">
      <alignment horizontal="left" indent="1"/>
    </xf>
    <xf numFmtId="0" fontId="112" fillId="0" borderId="0" xfId="254" applyFont="1" applyBorder="1"/>
    <xf numFmtId="0" fontId="2" fillId="0" borderId="32" xfId="254" applyBorder="1"/>
    <xf numFmtId="0" fontId="2" fillId="0" borderId="3" xfId="254" applyBorder="1"/>
    <xf numFmtId="0" fontId="2" fillId="0" borderId="30" xfId="254" applyBorder="1"/>
    <xf numFmtId="0" fontId="2" fillId="0" borderId="10" xfId="254" applyFont="1" applyBorder="1"/>
    <xf numFmtId="0" fontId="2" fillId="0" borderId="0" xfId="254" quotePrefix="1" applyFont="1" applyBorder="1" applyAlignment="1">
      <alignment horizontal="left"/>
    </xf>
    <xf numFmtId="0" fontId="2" fillId="0" borderId="0" xfId="254" applyFont="1" applyBorder="1"/>
    <xf numFmtId="0" fontId="64" fillId="0" borderId="0" xfId="254" applyFont="1" applyBorder="1"/>
    <xf numFmtId="0" fontId="2" fillId="0" borderId="0" xfId="495" applyFill="1"/>
    <xf numFmtId="0" fontId="2" fillId="0" borderId="25" xfId="254" applyFill="1" applyBorder="1"/>
    <xf numFmtId="0" fontId="2" fillId="0" borderId="0" xfId="254" applyFill="1" applyBorder="1"/>
    <xf numFmtId="0" fontId="64" fillId="0" borderId="0" xfId="254" quotePrefix="1" applyFont="1" applyFill="1" applyBorder="1" applyAlignment="1">
      <alignment horizontal="left"/>
    </xf>
    <xf numFmtId="0" fontId="2" fillId="0" borderId="0" xfId="254" quotePrefix="1" applyFill="1" applyBorder="1" applyAlignment="1">
      <alignment horizontal="left"/>
    </xf>
    <xf numFmtId="0" fontId="64" fillId="0" borderId="0" xfId="254" quotePrefix="1" applyFont="1" applyBorder="1" applyAlignment="1">
      <alignment horizontal="left"/>
    </xf>
    <xf numFmtId="0" fontId="64" fillId="0" borderId="30" xfId="254" applyFont="1" applyBorder="1"/>
    <xf numFmtId="0" fontId="64" fillId="0" borderId="0" xfId="254" applyFont="1"/>
    <xf numFmtId="0" fontId="64" fillId="0" borderId="0" xfId="254" quotePrefix="1" applyFont="1" applyAlignment="1">
      <alignment horizontal="left"/>
    </xf>
    <xf numFmtId="170" fontId="0" fillId="0" borderId="10" xfId="1" applyNumberFormat="1" applyFont="1" applyFill="1" applyBorder="1"/>
    <xf numFmtId="176" fontId="2" fillId="0" borderId="0" xfId="494" applyNumberFormat="1" applyFont="1" applyBorder="1"/>
    <xf numFmtId="176" fontId="2" fillId="0" borderId="29" xfId="494" applyNumberFormat="1" applyFont="1" applyBorder="1"/>
    <xf numFmtId="175" fontId="2" fillId="0" borderId="7" xfId="1" quotePrefix="1" applyNumberFormat="1" applyBorder="1" applyAlignment="1">
      <alignment horizontal="center"/>
    </xf>
    <xf numFmtId="176" fontId="0" fillId="0" borderId="0" xfId="494" applyNumberFormat="1" applyFont="1" applyFill="1" applyBorder="1"/>
    <xf numFmtId="176" fontId="0" fillId="0" borderId="29" xfId="494" applyNumberFormat="1" applyFont="1" applyFill="1" applyBorder="1"/>
    <xf numFmtId="0" fontId="112" fillId="0" borderId="7" xfId="254" quotePrefix="1" applyFont="1" applyBorder="1" applyAlignment="1">
      <alignment horizontal="left"/>
    </xf>
    <xf numFmtId="175" fontId="2" fillId="0" borderId="0" xfId="475" applyNumberFormat="1"/>
    <xf numFmtId="37" fontId="2" fillId="0" borderId="0" xfId="475" applyNumberFormat="1"/>
    <xf numFmtId="37" fontId="2" fillId="0" borderId="0" xfId="475" applyNumberFormat="1" applyAlignment="1">
      <alignment horizontal="center"/>
    </xf>
    <xf numFmtId="190" fontId="2" fillId="0" borderId="0" xfId="475" applyNumberFormat="1"/>
    <xf numFmtId="37" fontId="2" fillId="0" borderId="0" xfId="475" applyNumberFormat="1" applyFont="1" applyAlignment="1">
      <alignment vertical="center" wrapText="1"/>
    </xf>
    <xf numFmtId="37" fontId="2" fillId="50" borderId="0" xfId="475" applyNumberFormat="1" applyFill="1"/>
    <xf numFmtId="37" fontId="2" fillId="0" borderId="0" xfId="475" applyNumberFormat="1" applyFill="1"/>
    <xf numFmtId="0" fontId="64" fillId="0" borderId="0" xfId="496" applyFont="1"/>
    <xf numFmtId="0" fontId="2" fillId="0" borderId="0" xfId="496"/>
    <xf numFmtId="0" fontId="64" fillId="0" borderId="0" xfId="496" quotePrefix="1" applyFont="1" applyAlignment="1">
      <alignment horizontal="left"/>
    </xf>
    <xf numFmtId="0" fontId="2" fillId="0" borderId="0" xfId="496" quotePrefix="1" applyFont="1" applyAlignment="1">
      <alignment horizontal="left"/>
    </xf>
    <xf numFmtId="0" fontId="2" fillId="0" borderId="0" xfId="496" applyFont="1"/>
    <xf numFmtId="176" fontId="2" fillId="0" borderId="0" xfId="10" applyNumberFormat="1"/>
    <xf numFmtId="10" fontId="2" fillId="0" borderId="10" xfId="2" applyNumberFormat="1" applyBorder="1"/>
    <xf numFmtId="176" fontId="2" fillId="0" borderId="10" xfId="10" applyNumberFormat="1" applyBorder="1"/>
    <xf numFmtId="176" fontId="2" fillId="0" borderId="0" xfId="10" applyNumberFormat="1" applyFont="1"/>
    <xf numFmtId="176" fontId="2" fillId="0" borderId="0" xfId="496" applyNumberFormat="1"/>
    <xf numFmtId="274" fontId="2" fillId="0" borderId="0" xfId="496" applyNumberFormat="1"/>
    <xf numFmtId="0" fontId="2" fillId="0" borderId="0" xfId="497"/>
    <xf numFmtId="0" fontId="2" fillId="0" borderId="0" xfId="497" applyAlignment="1">
      <alignment horizontal="center"/>
    </xf>
    <xf numFmtId="0" fontId="2" fillId="0" borderId="0" xfId="497" applyBorder="1" applyAlignment="1">
      <alignment horizontal="center"/>
    </xf>
    <xf numFmtId="0" fontId="2" fillId="0" borderId="0" xfId="497" applyBorder="1"/>
    <xf numFmtId="0" fontId="111" fillId="0" borderId="0" xfId="497" applyFont="1"/>
    <xf numFmtId="0" fontId="112" fillId="0" borderId="0" xfId="497" applyFont="1" applyBorder="1" applyAlignment="1">
      <alignment horizontal="center"/>
    </xf>
    <xf numFmtId="275" fontId="2" fillId="0" borderId="0" xfId="497" applyNumberFormat="1" applyBorder="1"/>
    <xf numFmtId="274" fontId="2" fillId="0" borderId="0" xfId="497" applyNumberFormat="1" applyBorder="1"/>
    <xf numFmtId="0" fontId="2" fillId="0" borderId="0" xfId="497" applyBorder="1" applyAlignment="1">
      <alignment horizontal="center" wrapText="1"/>
    </xf>
    <xf numFmtId="171" fontId="2" fillId="0" borderId="0" xfId="497" applyNumberFormat="1" applyBorder="1"/>
    <xf numFmtId="10" fontId="2" fillId="0" borderId="0" xfId="497" applyNumberFormat="1" applyBorder="1"/>
    <xf numFmtId="0" fontId="2" fillId="0" borderId="0" xfId="497" applyFill="1" applyBorder="1"/>
    <xf numFmtId="10" fontId="2" fillId="0" borderId="0" xfId="497" applyNumberFormat="1" applyFill="1" applyBorder="1"/>
    <xf numFmtId="0" fontId="2" fillId="0" borderId="0" xfId="497" applyFont="1" applyFill="1" applyBorder="1"/>
    <xf numFmtId="0" fontId="2" fillId="0" borderId="0" xfId="497" applyBorder="1" applyAlignment="1">
      <alignment horizontal="right"/>
    </xf>
    <xf numFmtId="0" fontId="108" fillId="0" borderId="0" xfId="497" applyFont="1" applyBorder="1"/>
    <xf numFmtId="0" fontId="64" fillId="0" borderId="0" xfId="497" applyFont="1"/>
    <xf numFmtId="0" fontId="64" fillId="0" borderId="0" xfId="497" quotePrefix="1" applyFont="1" applyAlignment="1">
      <alignment horizontal="left"/>
    </xf>
    <xf numFmtId="276" fontId="2" fillId="0" borderId="29" xfId="2" applyNumberFormat="1" applyBorder="1"/>
    <xf numFmtId="171" fontId="2" fillId="0" borderId="0" xfId="497" quotePrefix="1" applyNumberFormat="1" applyBorder="1" applyAlignment="1">
      <alignment horizontal="center" wrapText="1"/>
    </xf>
    <xf numFmtId="15" fontId="64" fillId="0" borderId="0" xfId="486" quotePrefix="1" applyNumberFormat="1" applyFont="1" applyAlignment="1">
      <alignment horizontal="left"/>
    </xf>
    <xf numFmtId="0" fontId="119" fillId="3" borderId="0" xfId="493" quotePrefix="1" applyFill="1" applyAlignment="1">
      <alignment horizontal="left"/>
    </xf>
    <xf numFmtId="0" fontId="2" fillId="0" borderId="0" xfId="496" quotePrefix="1" applyAlignment="1">
      <alignment horizontal="left"/>
    </xf>
    <xf numFmtId="0" fontId="0" fillId="0" borderId="0" xfId="0" applyAlignment="1"/>
    <xf numFmtId="0" fontId="116" fillId="0" borderId="0" xfId="261" quotePrefix="1" applyFont="1" applyBorder="1" applyAlignment="1">
      <alignment horizontal="left"/>
    </xf>
    <xf numFmtId="37" fontId="2" fillId="0" borderId="0" xfId="430" applyNumberFormat="1" applyFont="1" applyBorder="1"/>
    <xf numFmtId="277" fontId="2" fillId="0" borderId="0" xfId="430" applyNumberFormat="1" applyFont="1" applyAlignment="1">
      <alignment horizontal="left"/>
    </xf>
    <xf numFmtId="0" fontId="2" fillId="0" borderId="0" xfId="430" applyFont="1" applyAlignment="1">
      <alignment horizontal="left"/>
    </xf>
    <xf numFmtId="0" fontId="2" fillId="0" borderId="0" xfId="430" applyFont="1" applyAlignment="1">
      <alignment horizontal="left" indent="1"/>
    </xf>
    <xf numFmtId="0" fontId="2" fillId="0" borderId="0" xfId="430" quotePrefix="1" applyFont="1" applyAlignment="1">
      <alignment horizontal="left" indent="1"/>
    </xf>
    <xf numFmtId="49" fontId="3" fillId="0" borderId="0" xfId="4" applyNumberFormat="1" applyFont="1" applyAlignment="1" applyProtection="1">
      <alignment horizontal="center"/>
      <protection locked="0"/>
    </xf>
    <xf numFmtId="49" fontId="3" fillId="0" borderId="0" xfId="4" applyNumberFormat="1" applyFont="1" applyAlignment="1">
      <alignment horizontal="center"/>
    </xf>
    <xf numFmtId="164" fontId="3" fillId="0" borderId="0" xfId="4" applyFont="1" applyAlignment="1">
      <alignment horizontal="center"/>
    </xf>
    <xf numFmtId="0" fontId="3" fillId="0" borderId="0" xfId="3" applyNumberFormat="1" applyFont="1" applyAlignment="1">
      <alignment horizontal="left" wrapText="1"/>
    </xf>
    <xf numFmtId="0" fontId="3" fillId="0" borderId="0" xfId="4" applyNumberFormat="1" applyFont="1" applyFill="1" applyAlignment="1" applyProtection="1">
      <alignment vertical="top" wrapText="1"/>
      <protection locked="0"/>
    </xf>
    <xf numFmtId="0" fontId="12" fillId="0" borderId="0" xfId="4" applyNumberFormat="1" applyFont="1" applyFill="1" applyAlignment="1" applyProtection="1">
      <alignment vertical="top" wrapText="1"/>
      <protection locked="0"/>
    </xf>
    <xf numFmtId="0" fontId="3" fillId="0" borderId="0" xfId="3" quotePrefix="1" applyNumberFormat="1" applyFont="1" applyFill="1" applyAlignment="1">
      <alignment horizontal="left" vertical="top" wrapText="1"/>
    </xf>
    <xf numFmtId="0" fontId="3" fillId="0" borderId="0" xfId="3" applyNumberFormat="1" applyFont="1" applyFill="1" applyAlignment="1">
      <alignment vertical="top" wrapText="1"/>
    </xf>
    <xf numFmtId="0" fontId="3" fillId="0" borderId="0" xfId="4" quotePrefix="1" applyNumberFormat="1" applyFont="1" applyFill="1" applyAlignment="1" applyProtection="1">
      <alignment horizontal="left" vertical="top" wrapText="1"/>
      <protection locked="0"/>
    </xf>
    <xf numFmtId="0" fontId="3" fillId="0" borderId="0" xfId="4" quotePrefix="1" applyNumberFormat="1" applyFont="1" applyFill="1" applyAlignment="1">
      <alignment horizontal="left" vertical="top" wrapText="1"/>
    </xf>
    <xf numFmtId="0" fontId="3" fillId="0" borderId="0" xfId="4" applyNumberFormat="1" applyFont="1" applyFill="1" applyAlignment="1">
      <alignment vertical="top" wrapText="1"/>
    </xf>
    <xf numFmtId="0" fontId="64" fillId="0" borderId="0" xfId="0" applyFont="1" applyFill="1" applyBorder="1" applyAlignment="1">
      <alignment vertical="center" wrapText="1"/>
    </xf>
    <xf numFmtId="0" fontId="64" fillId="0" borderId="0" xfId="0" applyFont="1" applyBorder="1" applyAlignment="1">
      <alignment vertical="center" wrapText="1"/>
    </xf>
    <xf numFmtId="0" fontId="2" fillId="0" borderId="0" xfId="0" applyFont="1" applyAlignment="1">
      <alignment vertical="center" wrapText="1"/>
    </xf>
    <xf numFmtId="164" fontId="4" fillId="0" borderId="0" xfId="5" applyFont="1" applyFill="1" applyBorder="1" applyAlignment="1">
      <alignment horizontal="left"/>
    </xf>
    <xf numFmtId="164" fontId="4" fillId="0" borderId="0" xfId="6" applyFont="1" applyFill="1" applyBorder="1" applyAlignment="1">
      <alignment horizontal="left" vertical="top" wrapText="1"/>
    </xf>
    <xf numFmtId="164" fontId="4" fillId="0" borderId="0" xfId="5" applyFont="1" applyFill="1" applyBorder="1" applyAlignment="1">
      <alignment horizontal="left" vertical="top" wrapText="1"/>
    </xf>
    <xf numFmtId="164" fontId="4" fillId="0" borderId="0" xfId="5" applyFont="1" applyFill="1" applyBorder="1" applyAlignment="1">
      <alignment horizontal="left" wrapText="1"/>
    </xf>
    <xf numFmtId="164" fontId="4" fillId="0" borderId="0" xfId="6" applyFont="1" applyFill="1" applyBorder="1" applyAlignment="1">
      <alignment horizontal="left"/>
    </xf>
    <xf numFmtId="3" fontId="13" fillId="0" borderId="0" xfId="6" applyNumberFormat="1" applyFont="1" applyFill="1" applyBorder="1" applyAlignment="1">
      <alignment horizontal="center" wrapText="1"/>
    </xf>
    <xf numFmtId="164" fontId="4" fillId="0" borderId="0" xfId="6" applyFont="1" applyFill="1" applyBorder="1" applyAlignment="1">
      <alignment horizontal="left" wrapText="1"/>
    </xf>
    <xf numFmtId="164" fontId="4" fillId="0" borderId="0" xfId="6" applyFill="1" applyBorder="1" applyAlignment="1">
      <alignment horizontal="left"/>
    </xf>
    <xf numFmtId="0" fontId="119" fillId="0" borderId="0" xfId="493" applyAlignment="1">
      <alignment horizontal="left" vertical="top" wrapText="1"/>
    </xf>
    <xf numFmtId="0" fontId="119" fillId="0" borderId="0" xfId="493" quotePrefix="1" applyAlignment="1">
      <alignment horizontal="left" vertical="top" wrapText="1"/>
    </xf>
    <xf numFmtId="164" fontId="64" fillId="0" borderId="5" xfId="7" applyFont="1" applyFill="1" applyBorder="1" applyAlignment="1">
      <alignment horizontal="center"/>
    </xf>
    <xf numFmtId="3" fontId="113" fillId="0" borderId="5" xfId="7" applyNumberFormat="1" applyFont="1" applyFill="1" applyBorder="1" applyAlignment="1">
      <alignment horizontal="center"/>
    </xf>
    <xf numFmtId="164" fontId="113" fillId="0" borderId="5" xfId="7" applyFont="1" applyFill="1" applyBorder="1" applyAlignment="1">
      <alignment horizontal="center"/>
    </xf>
    <xf numFmtId="0" fontId="0" fillId="0" borderId="0" xfId="0" quotePrefix="1" applyAlignment="1">
      <alignment horizontal="left" vertical="top" wrapText="1"/>
    </xf>
  </cellXfs>
  <cellStyles count="498">
    <cellStyle name="¢ Currency [1]" xfId="11"/>
    <cellStyle name="¢ Currency [2]" xfId="12"/>
    <cellStyle name="¢ Currency [3]" xfId="13"/>
    <cellStyle name="£ Currency [0]" xfId="14"/>
    <cellStyle name="£ Currency [1]" xfId="15"/>
    <cellStyle name="£ Currency [2]" xfId="16"/>
    <cellStyle name="=C:\WINNT35\SYSTEM32\COMMAND.COM" xfId="17"/>
    <cellStyle name="20% - Accent1 2" xfId="18"/>
    <cellStyle name="20% - Accent1 3" xfId="431"/>
    <cellStyle name="20% - Accent2 2" xfId="19"/>
    <cellStyle name="20% - Accent2 3" xfId="432"/>
    <cellStyle name="20% - Accent3 2" xfId="20"/>
    <cellStyle name="20% - Accent3 3" xfId="433"/>
    <cellStyle name="20% - Accent4 2" xfId="21"/>
    <cellStyle name="20% - Accent4 3" xfId="434"/>
    <cellStyle name="20% - Accent5 2" xfId="22"/>
    <cellStyle name="20% - Accent5 3" xfId="435"/>
    <cellStyle name="20% - Accent6 2" xfId="23"/>
    <cellStyle name="20% - Accent6 3" xfId="436"/>
    <cellStyle name="40% - Accent1 2" xfId="24"/>
    <cellStyle name="40% - Accent1 3" xfId="437"/>
    <cellStyle name="40% - Accent2 2" xfId="25"/>
    <cellStyle name="40% - Accent2 3" xfId="438"/>
    <cellStyle name="40% - Accent3 2" xfId="26"/>
    <cellStyle name="40% - Accent3 3" xfId="439"/>
    <cellStyle name="40% - Accent4 2" xfId="27"/>
    <cellStyle name="40% - Accent4 3" xfId="440"/>
    <cellStyle name="40% - Accent5 2" xfId="28"/>
    <cellStyle name="40% - Accent5 3" xfId="441"/>
    <cellStyle name="40% - Accent6 2" xfId="29"/>
    <cellStyle name="40% - Accent6 3" xfId="442"/>
    <cellStyle name="60% - Accent1 2" xfId="30"/>
    <cellStyle name="60% - Accent2 2" xfId="31"/>
    <cellStyle name="60% - Accent3 2" xfId="32"/>
    <cellStyle name="60% - Accent4 2" xfId="33"/>
    <cellStyle name="60% - Accent5 2" xfId="34"/>
    <cellStyle name="60% - Accent6 2" xfId="35"/>
    <cellStyle name="Accent1 2" xfId="36"/>
    <cellStyle name="Accent2 2" xfId="37"/>
    <cellStyle name="Accent3 2" xfId="38"/>
    <cellStyle name="Accent4 2" xfId="39"/>
    <cellStyle name="Accent5 2" xfId="40"/>
    <cellStyle name="Accent6 2" xfId="41"/>
    <cellStyle name="Bad 2" xfId="42"/>
    <cellStyle name="Basic" xfId="43"/>
    <cellStyle name="black" xfId="44"/>
    <cellStyle name="blu" xfId="45"/>
    <cellStyle name="bot" xfId="46"/>
    <cellStyle name="Bullet" xfId="47"/>
    <cellStyle name="Bullet [0]" xfId="48"/>
    <cellStyle name="Bullet [2]" xfId="49"/>
    <cellStyle name="Bullet [4]" xfId="50"/>
    <cellStyle name="c" xfId="51"/>
    <cellStyle name="c," xfId="52"/>
    <cellStyle name="c_HardInc " xfId="53"/>
    <cellStyle name="c_HardInc _ITC Great Plains Formula 1-12-09a" xfId="54"/>
    <cellStyle name="C00A" xfId="55"/>
    <cellStyle name="C00B" xfId="56"/>
    <cellStyle name="C00L" xfId="57"/>
    <cellStyle name="C01A" xfId="58"/>
    <cellStyle name="C01B" xfId="59"/>
    <cellStyle name="C01H" xfId="60"/>
    <cellStyle name="C01L" xfId="61"/>
    <cellStyle name="C02A" xfId="62"/>
    <cellStyle name="C02B" xfId="63"/>
    <cellStyle name="C02H" xfId="64"/>
    <cellStyle name="C02L" xfId="65"/>
    <cellStyle name="C03A" xfId="66"/>
    <cellStyle name="C03B" xfId="67"/>
    <cellStyle name="C03H" xfId="68"/>
    <cellStyle name="C03L" xfId="69"/>
    <cellStyle name="C04A" xfId="70"/>
    <cellStyle name="C04B" xfId="71"/>
    <cellStyle name="C04H" xfId="72"/>
    <cellStyle name="C04L" xfId="73"/>
    <cellStyle name="C05A" xfId="74"/>
    <cellStyle name="C05B" xfId="75"/>
    <cellStyle name="C05H" xfId="76"/>
    <cellStyle name="C05L" xfId="77"/>
    <cellStyle name="C06A" xfId="78"/>
    <cellStyle name="C06B" xfId="79"/>
    <cellStyle name="C06H" xfId="80"/>
    <cellStyle name="C06L" xfId="81"/>
    <cellStyle name="C07A" xfId="82"/>
    <cellStyle name="C07B" xfId="83"/>
    <cellStyle name="C07H" xfId="84"/>
    <cellStyle name="C07L" xfId="85"/>
    <cellStyle name="c1" xfId="86"/>
    <cellStyle name="c1," xfId="87"/>
    <cellStyle name="c2" xfId="88"/>
    <cellStyle name="c2," xfId="89"/>
    <cellStyle name="c3" xfId="90"/>
    <cellStyle name="Calculation 2" xfId="91"/>
    <cellStyle name="cas" xfId="92"/>
    <cellStyle name="Centered Heading" xfId="93"/>
    <cellStyle name="Check Cell 2" xfId="94"/>
    <cellStyle name="Comma" xfId="1" builtinId="3"/>
    <cellStyle name="Comma  - Style1" xfId="95"/>
    <cellStyle name="Comma  - Style2" xfId="96"/>
    <cellStyle name="Comma  - Style3" xfId="97"/>
    <cellStyle name="Comma  - Style4" xfId="98"/>
    <cellStyle name="Comma  - Style5" xfId="99"/>
    <cellStyle name="Comma  - Style6" xfId="100"/>
    <cellStyle name="Comma  - Style7" xfId="101"/>
    <cellStyle name="Comma  - Style8" xfId="102"/>
    <cellStyle name="Comma [0] 2" xfId="103"/>
    <cellStyle name="Comma [1]" xfId="104"/>
    <cellStyle name="Comma [2]" xfId="105"/>
    <cellStyle name="Comma [3]" xfId="106"/>
    <cellStyle name="Comma 0.0" xfId="107"/>
    <cellStyle name="Comma 0.00" xfId="108"/>
    <cellStyle name="Comma 0.000" xfId="109"/>
    <cellStyle name="Comma 0.0000" xfId="110"/>
    <cellStyle name="Comma 10" xfId="111"/>
    <cellStyle name="Comma 10 2" xfId="443"/>
    <cellStyle name="Comma 11" xfId="112"/>
    <cellStyle name="Comma 11 2" xfId="444"/>
    <cellStyle name="Comma 12" xfId="113"/>
    <cellStyle name="Comma 12 2" xfId="445"/>
    <cellStyle name="Comma 13" xfId="114"/>
    <cellStyle name="Comma 13 2" xfId="446"/>
    <cellStyle name="Comma 14" xfId="115"/>
    <cellStyle name="Comma 15" xfId="116"/>
    <cellStyle name="Comma 15 2" xfId="447"/>
    <cellStyle name="Comma 16" xfId="117"/>
    <cellStyle name="Comma 16 2" xfId="448"/>
    <cellStyle name="Comma 17" xfId="118"/>
    <cellStyle name="Comma 18" xfId="119"/>
    <cellStyle name="Comma 19" xfId="449"/>
    <cellStyle name="Comma 2" xfId="120"/>
    <cellStyle name="Comma 2 2" xfId="121"/>
    <cellStyle name="Comma 2 2 2" xfId="450"/>
    <cellStyle name="Comma 2 3" xfId="122"/>
    <cellStyle name="Comma 20" xfId="451"/>
    <cellStyle name="Comma 21" xfId="452"/>
    <cellStyle name="Comma 22" xfId="453"/>
    <cellStyle name="Comma 23" xfId="454"/>
    <cellStyle name="Comma 24" xfId="455"/>
    <cellStyle name="Comma 25" xfId="456"/>
    <cellStyle name="Comma 26" xfId="457"/>
    <cellStyle name="Comma 3" xfId="123"/>
    <cellStyle name="Comma 3 2" xfId="124"/>
    <cellStyle name="Comma 3 3" xfId="458"/>
    <cellStyle name="Comma 4" xfId="125"/>
    <cellStyle name="Comma 5" xfId="126"/>
    <cellStyle name="Comma 5 2" xfId="459"/>
    <cellStyle name="Comma 6" xfId="127"/>
    <cellStyle name="Comma 6 2" xfId="460"/>
    <cellStyle name="Comma 7" xfId="128"/>
    <cellStyle name="Comma 7 2" xfId="461"/>
    <cellStyle name="Comma 8" xfId="129"/>
    <cellStyle name="Comma 8 2" xfId="462"/>
    <cellStyle name="Comma 9" xfId="130"/>
    <cellStyle name="Comma 9 2" xfId="463"/>
    <cellStyle name="Comma Input" xfId="131"/>
    <cellStyle name="Comma0" xfId="132"/>
    <cellStyle name="Company Name" xfId="133"/>
    <cellStyle name="Currency" xfId="494" builtinId="4"/>
    <cellStyle name="Currency [1]" xfId="134"/>
    <cellStyle name="Currency [2]" xfId="135"/>
    <cellStyle name="Currency [3]" xfId="136"/>
    <cellStyle name="Currency 0.0" xfId="137"/>
    <cellStyle name="Currency 0.00" xfId="138"/>
    <cellStyle name="Currency 0.000" xfId="139"/>
    <cellStyle name="Currency 0.0000" xfId="140"/>
    <cellStyle name="Currency 10" xfId="10"/>
    <cellStyle name="Currency 11" xfId="141"/>
    <cellStyle name="Currency 12" xfId="142"/>
    <cellStyle name="Currency 13" xfId="143"/>
    <cellStyle name="Currency 14" xfId="144"/>
    <cellStyle name="Currency 15" xfId="145"/>
    <cellStyle name="Currency 16" xfId="146"/>
    <cellStyle name="Currency 17" xfId="147"/>
    <cellStyle name="Currency 18" xfId="488"/>
    <cellStyle name="Currency 2" xfId="8"/>
    <cellStyle name="Currency 2 2" xfId="148"/>
    <cellStyle name="Currency 2 2 2" xfId="464"/>
    <cellStyle name="Currency 2 3" xfId="149"/>
    <cellStyle name="Currency 3" xfId="150"/>
    <cellStyle name="Currency 3 2" xfId="151"/>
    <cellStyle name="Currency 3 3" xfId="465"/>
    <cellStyle name="Currency 4" xfId="152"/>
    <cellStyle name="Currency 5" xfId="153"/>
    <cellStyle name="Currency 6" xfId="154"/>
    <cellStyle name="Currency 7" xfId="155"/>
    <cellStyle name="Currency 8" xfId="156"/>
    <cellStyle name="Currency 9" xfId="157"/>
    <cellStyle name="Currency Input" xfId="158"/>
    <cellStyle name="Currency0" xfId="159"/>
    <cellStyle name="d" xfId="160"/>
    <cellStyle name="d," xfId="161"/>
    <cellStyle name="d1" xfId="162"/>
    <cellStyle name="d1," xfId="163"/>
    <cellStyle name="d2" xfId="164"/>
    <cellStyle name="d2," xfId="165"/>
    <cellStyle name="d3" xfId="166"/>
    <cellStyle name="Dash" xfId="167"/>
    <cellStyle name="Date" xfId="168"/>
    <cellStyle name="Date [Abbreviated]" xfId="169"/>
    <cellStyle name="Date [Long Europe]" xfId="170"/>
    <cellStyle name="Date [Long U.S.]" xfId="171"/>
    <cellStyle name="Date [Short Europe]" xfId="172"/>
    <cellStyle name="Date [Short U.S.]" xfId="173"/>
    <cellStyle name="Date_ITCM 2010 Template" xfId="174"/>
    <cellStyle name="Define$0" xfId="175"/>
    <cellStyle name="Define$1" xfId="176"/>
    <cellStyle name="Define$2" xfId="177"/>
    <cellStyle name="Define0" xfId="178"/>
    <cellStyle name="Define1" xfId="179"/>
    <cellStyle name="Define1x" xfId="180"/>
    <cellStyle name="Define2" xfId="181"/>
    <cellStyle name="Define2x" xfId="182"/>
    <cellStyle name="Dollar" xfId="183"/>
    <cellStyle name="e" xfId="184"/>
    <cellStyle name="e1" xfId="185"/>
    <cellStyle name="e2" xfId="186"/>
    <cellStyle name="Euro" xfId="187"/>
    <cellStyle name="Euro 2" xfId="489"/>
    <cellStyle name="Explanatory Text 2" xfId="188"/>
    <cellStyle name="Fixed" xfId="189"/>
    <cellStyle name="FOOTER - Style1" xfId="190"/>
    <cellStyle name="g" xfId="191"/>
    <cellStyle name="general" xfId="192"/>
    <cellStyle name="General [C]" xfId="193"/>
    <cellStyle name="General [R]" xfId="194"/>
    <cellStyle name="Good 2" xfId="195"/>
    <cellStyle name="Green" xfId="196"/>
    <cellStyle name="grey" xfId="197"/>
    <cellStyle name="Header1" xfId="198"/>
    <cellStyle name="Header2" xfId="199"/>
    <cellStyle name="Heading" xfId="200"/>
    <cellStyle name="Heading 1 2" xfId="201"/>
    <cellStyle name="Heading 2 2" xfId="202"/>
    <cellStyle name="Heading 3 2" xfId="203"/>
    <cellStyle name="Heading 4 2" xfId="204"/>
    <cellStyle name="Heading 5" xfId="490"/>
    <cellStyle name="Heading No Underline" xfId="205"/>
    <cellStyle name="Heading With Underline" xfId="206"/>
    <cellStyle name="Heading1" xfId="207"/>
    <cellStyle name="Heading1 2" xfId="491"/>
    <cellStyle name="Heading2" xfId="208"/>
    <cellStyle name="Headline" xfId="209"/>
    <cellStyle name="Highlight" xfId="210"/>
    <cellStyle name="Hyperlink" xfId="487" builtinId="8"/>
    <cellStyle name="Hyperlink 2" xfId="211"/>
    <cellStyle name="Hyperlink 3" xfId="466"/>
    <cellStyle name="in" xfId="212"/>
    <cellStyle name="Indented [0]" xfId="213"/>
    <cellStyle name="Indented [2]" xfId="214"/>
    <cellStyle name="Indented [4]" xfId="215"/>
    <cellStyle name="Indented [6]" xfId="216"/>
    <cellStyle name="Input [yellow]" xfId="217"/>
    <cellStyle name="Input 10" xfId="467"/>
    <cellStyle name="Input 2" xfId="218"/>
    <cellStyle name="Input 3" xfId="468"/>
    <cellStyle name="Input 4" xfId="469"/>
    <cellStyle name="Input 5" xfId="470"/>
    <cellStyle name="Input 6" xfId="471"/>
    <cellStyle name="Input 7" xfId="472"/>
    <cellStyle name="Input 8" xfId="473"/>
    <cellStyle name="Input 9" xfId="474"/>
    <cellStyle name="Input$0" xfId="219"/>
    <cellStyle name="Input$1" xfId="220"/>
    <cellStyle name="Input$2" xfId="221"/>
    <cellStyle name="Input0" xfId="222"/>
    <cellStyle name="Input1" xfId="223"/>
    <cellStyle name="Input1x" xfId="224"/>
    <cellStyle name="Input2" xfId="225"/>
    <cellStyle name="Input2x" xfId="226"/>
    <cellStyle name="lborder" xfId="227"/>
    <cellStyle name="LeftSubtitle" xfId="228"/>
    <cellStyle name="Linked Cell 2" xfId="229"/>
    <cellStyle name="m" xfId="230"/>
    <cellStyle name="m1" xfId="231"/>
    <cellStyle name="m2" xfId="232"/>
    <cellStyle name="m3" xfId="233"/>
    <cellStyle name="Multiple" xfId="234"/>
    <cellStyle name="Negative" xfId="235"/>
    <cellStyle name="Neutral 2" xfId="236"/>
    <cellStyle name="no dec" xfId="237"/>
    <cellStyle name="Normal" xfId="0" builtinId="0"/>
    <cellStyle name="Normal - Style1" xfId="238"/>
    <cellStyle name="Normal 10" xfId="239"/>
    <cellStyle name="Normal 11" xfId="240"/>
    <cellStyle name="Normal 12" xfId="241"/>
    <cellStyle name="Normal 13" xfId="242"/>
    <cellStyle name="Normal 14" xfId="243"/>
    <cellStyle name="Normal 15" xfId="244"/>
    <cellStyle name="Normal 16" xfId="245"/>
    <cellStyle name="Normal 17" xfId="246"/>
    <cellStyle name="Normal 18" xfId="247"/>
    <cellStyle name="Normal 19" xfId="248"/>
    <cellStyle name="Normal 2" xfId="249"/>
    <cellStyle name="Normal 2 2" xfId="250"/>
    <cellStyle name="Normal 2 3" xfId="475"/>
    <cellStyle name="Normal 2 4" xfId="493"/>
    <cellStyle name="Normal 2_Rate Calc" xfId="476"/>
    <cellStyle name="Normal 20" xfId="5"/>
    <cellStyle name="Normal 21" xfId="251"/>
    <cellStyle name="Normal 22" xfId="9"/>
    <cellStyle name="Normal 23" xfId="252"/>
    <cellStyle name="Normal 24" xfId="253"/>
    <cellStyle name="Normal 25" xfId="477"/>
    <cellStyle name="Normal 26" xfId="478"/>
    <cellStyle name="Normal 27" xfId="479"/>
    <cellStyle name="Normal 28" xfId="486"/>
    <cellStyle name="Normal 28 2" xfId="497"/>
    <cellStyle name="Normal 29" xfId="492"/>
    <cellStyle name="Normal 3" xfId="254"/>
    <cellStyle name="Normal 3 2" xfId="255"/>
    <cellStyle name="Normal 3 3" xfId="480"/>
    <cellStyle name="Normal 3_Adj. to Rate Base" xfId="481"/>
    <cellStyle name="Normal 3_Attach O, GG, Support -New Method 2-14-11" xfId="3"/>
    <cellStyle name="Normal 4" xfId="256"/>
    <cellStyle name="Normal 4 2" xfId="257"/>
    <cellStyle name="Normal 4 3" xfId="482"/>
    <cellStyle name="Normal 4_Attach O, GG, Support -New Method 2-14-11" xfId="258"/>
    <cellStyle name="Normal 5" xfId="259"/>
    <cellStyle name="Normal 6" xfId="260"/>
    <cellStyle name="Normal 6 2" xfId="261"/>
    <cellStyle name="Normal 6 3" xfId="262"/>
    <cellStyle name="Normal 7" xfId="6"/>
    <cellStyle name="Normal 8" xfId="263"/>
    <cellStyle name="Normal 9" xfId="264"/>
    <cellStyle name="Normal_01_2011 - Revenue True up" xfId="483"/>
    <cellStyle name="Normal_Attachment GG Template ER09-1657" xfId="429"/>
    <cellStyle name="Normal_Attachment GG Template ER11-28 11-18-10" xfId="7"/>
    <cellStyle name="Normal_Attachment O Support - 2004 True-up" xfId="430"/>
    <cellStyle name="Normal_Attachment Os for 2002 True-up" xfId="4"/>
    <cellStyle name="Normal_Solomon Queries - wo Proj. &amp; Task 2" xfId="495"/>
    <cellStyle name="Normal_TE Ownership % - 2008" xfId="496"/>
    <cellStyle name="Note 2" xfId="265"/>
    <cellStyle name="Output 2" xfId="266"/>
    <cellStyle name="Output1_Back" xfId="267"/>
    <cellStyle name="p" xfId="268"/>
    <cellStyle name="p_2010 Attachment O  GG_082709" xfId="269"/>
    <cellStyle name="p_2010 Attachment O Template Supporting Work Papers_ITC Midwest" xfId="270"/>
    <cellStyle name="p_2010 Attachment O Template Supporting Work Papers_ITCTransmission" xfId="271"/>
    <cellStyle name="p_2010 Attachment O Template Supporting Work Papers_METC" xfId="272"/>
    <cellStyle name="p_2Mod11" xfId="273"/>
    <cellStyle name="p_aavidmod11.xls Chart 1" xfId="274"/>
    <cellStyle name="p_aavidmod11.xls Chart 2" xfId="275"/>
    <cellStyle name="p_Attachment O &amp; GG" xfId="276"/>
    <cellStyle name="p_charts for capm" xfId="277"/>
    <cellStyle name="p_DCF" xfId="278"/>
    <cellStyle name="p_DCF_2Mod11" xfId="279"/>
    <cellStyle name="p_DCF_aavidmod11.xls Chart 1" xfId="280"/>
    <cellStyle name="p_DCF_aavidmod11.xls Chart 2" xfId="281"/>
    <cellStyle name="p_DCF_charts for capm" xfId="282"/>
    <cellStyle name="p_DCF_DCF5" xfId="283"/>
    <cellStyle name="p_DCF_Template2" xfId="284"/>
    <cellStyle name="p_DCF_Template2_1" xfId="285"/>
    <cellStyle name="p_DCF_VERA" xfId="286"/>
    <cellStyle name="p_DCF_VERA_1" xfId="287"/>
    <cellStyle name="p_DCF_VERA_1_Template2" xfId="288"/>
    <cellStyle name="p_DCF_VERA_aavidmod11.xls Chart 2" xfId="289"/>
    <cellStyle name="p_DCF_VERA_Model02" xfId="290"/>
    <cellStyle name="p_DCF_VERA_Template2" xfId="291"/>
    <cellStyle name="p_DCF_VERA_VERA" xfId="292"/>
    <cellStyle name="p_DCF_VERA_VERA_1" xfId="293"/>
    <cellStyle name="p_DCF_VERA_VERA_2" xfId="294"/>
    <cellStyle name="p_DCF_VERA_VERA_Template2" xfId="295"/>
    <cellStyle name="p_DCF5" xfId="296"/>
    <cellStyle name="p_ITC Great Plains Formula 1-12-09a" xfId="297"/>
    <cellStyle name="p_ITCM 2010 Template" xfId="298"/>
    <cellStyle name="p_ITCMW 2009 Rate" xfId="299"/>
    <cellStyle name="p_ITCMW 2010 Rate_083109" xfId="300"/>
    <cellStyle name="p_ITCOP 2010 Rate_083109" xfId="301"/>
    <cellStyle name="p_ITCT 2009 Rate" xfId="302"/>
    <cellStyle name="p_ITCT New 2010 Attachment O &amp; GG_111209NL" xfId="303"/>
    <cellStyle name="p_METC 2010 Rate_083109" xfId="304"/>
    <cellStyle name="p_Template2" xfId="305"/>
    <cellStyle name="p_Template2_1" xfId="306"/>
    <cellStyle name="p_VERA" xfId="307"/>
    <cellStyle name="p_VERA_1" xfId="308"/>
    <cellStyle name="p_VERA_1_Template2" xfId="309"/>
    <cellStyle name="p_VERA_aavidmod11.xls Chart 2" xfId="310"/>
    <cellStyle name="p_VERA_Model02" xfId="311"/>
    <cellStyle name="p_VERA_Template2" xfId="312"/>
    <cellStyle name="p_VERA_VERA" xfId="313"/>
    <cellStyle name="p_VERA_VERA_1" xfId="314"/>
    <cellStyle name="p_VERA_VERA_2" xfId="315"/>
    <cellStyle name="p_VERA_VERA_Template2" xfId="316"/>
    <cellStyle name="p1" xfId="317"/>
    <cellStyle name="p2" xfId="318"/>
    <cellStyle name="p3" xfId="319"/>
    <cellStyle name="Percent" xfId="2" builtinId="5"/>
    <cellStyle name="Percent %" xfId="320"/>
    <cellStyle name="Percent % Long Underline" xfId="321"/>
    <cellStyle name="Percent (0)" xfId="322"/>
    <cellStyle name="Percent [0]" xfId="323"/>
    <cellStyle name="Percent [1]" xfId="324"/>
    <cellStyle name="Percent [2]" xfId="325"/>
    <cellStyle name="Percent [3]" xfId="326"/>
    <cellStyle name="Percent 0.0%" xfId="327"/>
    <cellStyle name="Percent 0.0% Long Underline" xfId="328"/>
    <cellStyle name="Percent 0.00%" xfId="329"/>
    <cellStyle name="Percent 0.00% Long Underline" xfId="330"/>
    <cellStyle name="Percent 0.000%" xfId="331"/>
    <cellStyle name="Percent 0.000% Long Underline" xfId="332"/>
    <cellStyle name="Percent 0.0000%" xfId="333"/>
    <cellStyle name="Percent 0.0000% Long Underline" xfId="334"/>
    <cellStyle name="Percent 10" xfId="335"/>
    <cellStyle name="Percent 11" xfId="336"/>
    <cellStyle name="Percent 12" xfId="337"/>
    <cellStyle name="Percent 13" xfId="338"/>
    <cellStyle name="Percent 14" xfId="339"/>
    <cellStyle name="Percent 15" xfId="340"/>
    <cellStyle name="Percent 16" xfId="341"/>
    <cellStyle name="Percent 17" xfId="342"/>
    <cellStyle name="Percent 18" xfId="343"/>
    <cellStyle name="Percent 2" xfId="344"/>
    <cellStyle name="Percent 2 2" xfId="345"/>
    <cellStyle name="Percent 2 2 2" xfId="484"/>
    <cellStyle name="Percent 2 3" xfId="346"/>
    <cellStyle name="Percent 3" xfId="347"/>
    <cellStyle name="Percent 3 2" xfId="348"/>
    <cellStyle name="Percent 3 3" xfId="485"/>
    <cellStyle name="Percent 4" xfId="349"/>
    <cellStyle name="Percent 5" xfId="350"/>
    <cellStyle name="Percent 6" xfId="351"/>
    <cellStyle name="Percent 7" xfId="352"/>
    <cellStyle name="Percent 8" xfId="353"/>
    <cellStyle name="Percent 9" xfId="354"/>
    <cellStyle name="Percent Input" xfId="355"/>
    <cellStyle name="Percent0" xfId="356"/>
    <cellStyle name="Percent1" xfId="357"/>
    <cellStyle name="Percent2" xfId="358"/>
    <cellStyle name="PSChar" xfId="359"/>
    <cellStyle name="PSDate" xfId="360"/>
    <cellStyle name="PSDec" xfId="361"/>
    <cellStyle name="PSdesc" xfId="362"/>
    <cellStyle name="PSHeading" xfId="363"/>
    <cellStyle name="PSInt" xfId="364"/>
    <cellStyle name="PSSpacer" xfId="365"/>
    <cellStyle name="PStest" xfId="366"/>
    <cellStyle name="R00A" xfId="367"/>
    <cellStyle name="R00B" xfId="368"/>
    <cellStyle name="R00L" xfId="369"/>
    <cellStyle name="R01A" xfId="370"/>
    <cellStyle name="R01B" xfId="371"/>
    <cellStyle name="R01H" xfId="372"/>
    <cellStyle name="R01L" xfId="373"/>
    <cellStyle name="R02A" xfId="374"/>
    <cellStyle name="R02B" xfId="375"/>
    <cellStyle name="R02H" xfId="376"/>
    <cellStyle name="R02L" xfId="377"/>
    <cellStyle name="R03A" xfId="378"/>
    <cellStyle name="R03B" xfId="379"/>
    <cellStyle name="R03H" xfId="380"/>
    <cellStyle name="R03L" xfId="381"/>
    <cellStyle name="R04A" xfId="382"/>
    <cellStyle name="R04B" xfId="383"/>
    <cellStyle name="R04H" xfId="384"/>
    <cellStyle name="R04L" xfId="385"/>
    <cellStyle name="R05A" xfId="386"/>
    <cellStyle name="R05B" xfId="387"/>
    <cellStyle name="R05H" xfId="388"/>
    <cellStyle name="R05L" xfId="389"/>
    <cellStyle name="R06A" xfId="390"/>
    <cellStyle name="R06B" xfId="391"/>
    <cellStyle name="R06H" xfId="392"/>
    <cellStyle name="R06L" xfId="393"/>
    <cellStyle name="R07A" xfId="394"/>
    <cellStyle name="R07B" xfId="395"/>
    <cellStyle name="R07H" xfId="396"/>
    <cellStyle name="R07L" xfId="397"/>
    <cellStyle name="rborder" xfId="398"/>
    <cellStyle name="red" xfId="399"/>
    <cellStyle name="s_HardInc " xfId="400"/>
    <cellStyle name="s_HardInc _ITC Great Plains Formula 1-12-09a" xfId="401"/>
    <cellStyle name="scenario" xfId="402"/>
    <cellStyle name="Sheetmult" xfId="403"/>
    <cellStyle name="Shtmultx" xfId="404"/>
    <cellStyle name="Style 1" xfId="405"/>
    <cellStyle name="STYLE1" xfId="406"/>
    <cellStyle name="STYLE2" xfId="407"/>
    <cellStyle name="TableHeading" xfId="408"/>
    <cellStyle name="tb" xfId="409"/>
    <cellStyle name="Tickmark" xfId="410"/>
    <cellStyle name="Title 2" xfId="411"/>
    <cellStyle name="Title1" xfId="412"/>
    <cellStyle name="top" xfId="413"/>
    <cellStyle name="Total 2" xfId="414"/>
    <cellStyle name="w" xfId="415"/>
    <cellStyle name="Warning Text 2" xfId="416"/>
    <cellStyle name="XComma" xfId="417"/>
    <cellStyle name="XComma 0.0" xfId="418"/>
    <cellStyle name="XComma 0.00" xfId="419"/>
    <cellStyle name="XComma 0.000" xfId="420"/>
    <cellStyle name="XCurrency" xfId="421"/>
    <cellStyle name="XCurrency 0.0" xfId="422"/>
    <cellStyle name="XCurrency 0.00" xfId="423"/>
    <cellStyle name="XCurrency 0.000" xfId="424"/>
    <cellStyle name="yra" xfId="425"/>
    <cellStyle name="yrActual" xfId="426"/>
    <cellStyle name="yre" xfId="427"/>
    <cellStyle name="yrExpect" xfId="428"/>
  </cellStyles>
  <dxfs count="4">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s>
  <tableStyles count="0" defaultTableStyle="TableStyleMedium2" defaultPivotStyle="PivotStyleLight16"/>
  <colors>
    <mruColors>
      <color rgb="FF00FFFF"/>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ax\Accruals\2010\2010&#173;_Tax%20Accrua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c.llc\atcdata\Taxes\Accruals\2007\Tax%20Accruals_20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3)"/>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file:///C:\Users\tfigliuzzi\AppData\Financial%20Planning%20and%20Capital%20Allocation\2013%20Budget%20Planning\OASIS%20Posting\Attach%20O,%20GG,%20MM%20-%202013%20OASIS%2001.03.13.xlsx"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showGridLines="0" tabSelected="1" zoomScale="75" zoomScaleNormal="75" workbookViewId="0"/>
  </sheetViews>
  <sheetFormatPr defaultRowHeight="15"/>
  <cols>
    <col min="1" max="1" width="11.28515625" style="406" customWidth="1"/>
    <col min="2" max="2" width="11.7109375" style="406" bestFit="1" customWidth="1"/>
    <col min="3" max="5" width="9.140625" style="406"/>
    <col min="6" max="6" width="9.140625" style="566"/>
    <col min="7" max="7" width="12" style="406" bestFit="1" customWidth="1"/>
    <col min="8" max="8" width="18.28515625" style="406" bestFit="1" customWidth="1"/>
    <col min="9" max="9" width="9.140625" style="406"/>
    <col min="10" max="10" width="26.28515625" style="406" bestFit="1" customWidth="1"/>
    <col min="11" max="11" width="9.140625" style="406"/>
    <col min="12" max="12" width="18.5703125" style="406" bestFit="1" customWidth="1"/>
    <col min="13" max="248" width="9.140625" style="406"/>
    <col min="249" max="249" width="11.28515625" style="406" customWidth="1"/>
    <col min="250" max="250" width="11.7109375" style="406" bestFit="1" customWidth="1"/>
    <col min="251" max="253" width="9.140625" style="406"/>
    <col min="254" max="254" width="12" style="406" bestFit="1" customWidth="1"/>
    <col min="255" max="255" width="18.28515625" style="406" bestFit="1" customWidth="1"/>
    <col min="256" max="256" width="9.140625" style="406"/>
    <col min="257" max="257" width="26.28515625" style="406" bestFit="1" customWidth="1"/>
    <col min="258" max="504" width="9.140625" style="406"/>
    <col min="505" max="505" width="11.28515625" style="406" customWidth="1"/>
    <col min="506" max="506" width="11.7109375" style="406" bestFit="1" customWidth="1"/>
    <col min="507" max="509" width="9.140625" style="406"/>
    <col min="510" max="510" width="12" style="406" bestFit="1" customWidth="1"/>
    <col min="511" max="511" width="18.28515625" style="406" bestFit="1" customWidth="1"/>
    <col min="512" max="512" width="9.140625" style="406"/>
    <col min="513" max="513" width="26.28515625" style="406" bestFit="1" customWidth="1"/>
    <col min="514" max="760" width="9.140625" style="406"/>
    <col min="761" max="761" width="11.28515625" style="406" customWidth="1"/>
    <col min="762" max="762" width="11.7109375" style="406" bestFit="1" customWidth="1"/>
    <col min="763" max="765" width="9.140625" style="406"/>
    <col min="766" max="766" width="12" style="406" bestFit="1" customWidth="1"/>
    <col min="767" max="767" width="18.28515625" style="406" bestFit="1" customWidth="1"/>
    <col min="768" max="768" width="9.140625" style="406"/>
    <col min="769" max="769" width="26.28515625" style="406" bestFit="1" customWidth="1"/>
    <col min="770" max="1016" width="9.140625" style="406"/>
    <col min="1017" max="1017" width="11.28515625" style="406" customWidth="1"/>
    <col min="1018" max="1018" width="11.7109375" style="406" bestFit="1" customWidth="1"/>
    <col min="1019" max="1021" width="9.140625" style="406"/>
    <col min="1022" max="1022" width="12" style="406" bestFit="1" customWidth="1"/>
    <col min="1023" max="1023" width="18.28515625" style="406" bestFit="1" customWidth="1"/>
    <col min="1024" max="1024" width="9.140625" style="406"/>
    <col min="1025" max="1025" width="26.28515625" style="406" bestFit="1" customWidth="1"/>
    <col min="1026" max="1272" width="9.140625" style="406"/>
    <col min="1273" max="1273" width="11.28515625" style="406" customWidth="1"/>
    <col min="1274" max="1274" width="11.7109375" style="406" bestFit="1" customWidth="1"/>
    <col min="1275" max="1277" width="9.140625" style="406"/>
    <col min="1278" max="1278" width="12" style="406" bestFit="1" customWidth="1"/>
    <col min="1279" max="1279" width="18.28515625" style="406" bestFit="1" customWidth="1"/>
    <col min="1280" max="1280" width="9.140625" style="406"/>
    <col min="1281" max="1281" width="26.28515625" style="406" bestFit="1" customWidth="1"/>
    <col min="1282" max="1528" width="9.140625" style="406"/>
    <col min="1529" max="1529" width="11.28515625" style="406" customWidth="1"/>
    <col min="1530" max="1530" width="11.7109375" style="406" bestFit="1" customWidth="1"/>
    <col min="1531" max="1533" width="9.140625" style="406"/>
    <col min="1534" max="1534" width="12" style="406" bestFit="1" customWidth="1"/>
    <col min="1535" max="1535" width="18.28515625" style="406" bestFit="1" customWidth="1"/>
    <col min="1536" max="1536" width="9.140625" style="406"/>
    <col min="1537" max="1537" width="26.28515625" style="406" bestFit="1" customWidth="1"/>
    <col min="1538" max="1784" width="9.140625" style="406"/>
    <col min="1785" max="1785" width="11.28515625" style="406" customWidth="1"/>
    <col min="1786" max="1786" width="11.7109375" style="406" bestFit="1" customWidth="1"/>
    <col min="1787" max="1789" width="9.140625" style="406"/>
    <col min="1790" max="1790" width="12" style="406" bestFit="1" customWidth="1"/>
    <col min="1791" max="1791" width="18.28515625" style="406" bestFit="1" customWidth="1"/>
    <col min="1792" max="1792" width="9.140625" style="406"/>
    <col min="1793" max="1793" width="26.28515625" style="406" bestFit="1" customWidth="1"/>
    <col min="1794" max="2040" width="9.140625" style="406"/>
    <col min="2041" max="2041" width="11.28515625" style="406" customWidth="1"/>
    <col min="2042" max="2042" width="11.7109375" style="406" bestFit="1" customWidth="1"/>
    <col min="2043" max="2045" width="9.140625" style="406"/>
    <col min="2046" max="2046" width="12" style="406" bestFit="1" customWidth="1"/>
    <col min="2047" max="2047" width="18.28515625" style="406" bestFit="1" customWidth="1"/>
    <col min="2048" max="2048" width="9.140625" style="406"/>
    <col min="2049" max="2049" width="26.28515625" style="406" bestFit="1" customWidth="1"/>
    <col min="2050" max="2296" width="9.140625" style="406"/>
    <col min="2297" max="2297" width="11.28515625" style="406" customWidth="1"/>
    <col min="2298" max="2298" width="11.7109375" style="406" bestFit="1" customWidth="1"/>
    <col min="2299" max="2301" width="9.140625" style="406"/>
    <col min="2302" max="2302" width="12" style="406" bestFit="1" customWidth="1"/>
    <col min="2303" max="2303" width="18.28515625" style="406" bestFit="1" customWidth="1"/>
    <col min="2304" max="2304" width="9.140625" style="406"/>
    <col min="2305" max="2305" width="26.28515625" style="406" bestFit="1" customWidth="1"/>
    <col min="2306" max="2552" width="9.140625" style="406"/>
    <col min="2553" max="2553" width="11.28515625" style="406" customWidth="1"/>
    <col min="2554" max="2554" width="11.7109375" style="406" bestFit="1" customWidth="1"/>
    <col min="2555" max="2557" width="9.140625" style="406"/>
    <col min="2558" max="2558" width="12" style="406" bestFit="1" customWidth="1"/>
    <col min="2559" max="2559" width="18.28515625" style="406" bestFit="1" customWidth="1"/>
    <col min="2560" max="2560" width="9.140625" style="406"/>
    <col min="2561" max="2561" width="26.28515625" style="406" bestFit="1" customWidth="1"/>
    <col min="2562" max="2808" width="9.140625" style="406"/>
    <col min="2809" max="2809" width="11.28515625" style="406" customWidth="1"/>
    <col min="2810" max="2810" width="11.7109375" style="406" bestFit="1" customWidth="1"/>
    <col min="2811" max="2813" width="9.140625" style="406"/>
    <col min="2814" max="2814" width="12" style="406" bestFit="1" customWidth="1"/>
    <col min="2815" max="2815" width="18.28515625" style="406" bestFit="1" customWidth="1"/>
    <col min="2816" max="2816" width="9.140625" style="406"/>
    <col min="2817" max="2817" width="26.28515625" style="406" bestFit="1" customWidth="1"/>
    <col min="2818" max="3064" width="9.140625" style="406"/>
    <col min="3065" max="3065" width="11.28515625" style="406" customWidth="1"/>
    <col min="3066" max="3066" width="11.7109375" style="406" bestFit="1" customWidth="1"/>
    <col min="3067" max="3069" width="9.140625" style="406"/>
    <col min="3070" max="3070" width="12" style="406" bestFit="1" customWidth="1"/>
    <col min="3071" max="3071" width="18.28515625" style="406" bestFit="1" customWidth="1"/>
    <col min="3072" max="3072" width="9.140625" style="406"/>
    <col min="3073" max="3073" width="26.28515625" style="406" bestFit="1" customWidth="1"/>
    <col min="3074" max="3320" width="9.140625" style="406"/>
    <col min="3321" max="3321" width="11.28515625" style="406" customWidth="1"/>
    <col min="3322" max="3322" width="11.7109375" style="406" bestFit="1" customWidth="1"/>
    <col min="3323" max="3325" width="9.140625" style="406"/>
    <col min="3326" max="3326" width="12" style="406" bestFit="1" customWidth="1"/>
    <col min="3327" max="3327" width="18.28515625" style="406" bestFit="1" customWidth="1"/>
    <col min="3328" max="3328" width="9.140625" style="406"/>
    <col min="3329" max="3329" width="26.28515625" style="406" bestFit="1" customWidth="1"/>
    <col min="3330" max="3576" width="9.140625" style="406"/>
    <col min="3577" max="3577" width="11.28515625" style="406" customWidth="1"/>
    <col min="3578" max="3578" width="11.7109375" style="406" bestFit="1" customWidth="1"/>
    <col min="3579" max="3581" width="9.140625" style="406"/>
    <col min="3582" max="3582" width="12" style="406" bestFit="1" customWidth="1"/>
    <col min="3583" max="3583" width="18.28515625" style="406" bestFit="1" customWidth="1"/>
    <col min="3584" max="3584" width="9.140625" style="406"/>
    <col min="3585" max="3585" width="26.28515625" style="406" bestFit="1" customWidth="1"/>
    <col min="3586" max="3832" width="9.140625" style="406"/>
    <col min="3833" max="3833" width="11.28515625" style="406" customWidth="1"/>
    <col min="3834" max="3834" width="11.7109375" style="406" bestFit="1" customWidth="1"/>
    <col min="3835" max="3837" width="9.140625" style="406"/>
    <col min="3838" max="3838" width="12" style="406" bestFit="1" customWidth="1"/>
    <col min="3839" max="3839" width="18.28515625" style="406" bestFit="1" customWidth="1"/>
    <col min="3840" max="3840" width="9.140625" style="406"/>
    <col min="3841" max="3841" width="26.28515625" style="406" bestFit="1" customWidth="1"/>
    <col min="3842" max="4088" width="9.140625" style="406"/>
    <col min="4089" max="4089" width="11.28515625" style="406" customWidth="1"/>
    <col min="4090" max="4090" width="11.7109375" style="406" bestFit="1" customWidth="1"/>
    <col min="4091" max="4093" width="9.140625" style="406"/>
    <col min="4094" max="4094" width="12" style="406" bestFit="1" customWidth="1"/>
    <col min="4095" max="4095" width="18.28515625" style="406" bestFit="1" customWidth="1"/>
    <col min="4096" max="4096" width="9.140625" style="406"/>
    <col min="4097" max="4097" width="26.28515625" style="406" bestFit="1" customWidth="1"/>
    <col min="4098" max="4344" width="9.140625" style="406"/>
    <col min="4345" max="4345" width="11.28515625" style="406" customWidth="1"/>
    <col min="4346" max="4346" width="11.7109375" style="406" bestFit="1" customWidth="1"/>
    <col min="4347" max="4349" width="9.140625" style="406"/>
    <col min="4350" max="4350" width="12" style="406" bestFit="1" customWidth="1"/>
    <col min="4351" max="4351" width="18.28515625" style="406" bestFit="1" customWidth="1"/>
    <col min="4352" max="4352" width="9.140625" style="406"/>
    <col min="4353" max="4353" width="26.28515625" style="406" bestFit="1" customWidth="1"/>
    <col min="4354" max="4600" width="9.140625" style="406"/>
    <col min="4601" max="4601" width="11.28515625" style="406" customWidth="1"/>
    <col min="4602" max="4602" width="11.7109375" style="406" bestFit="1" customWidth="1"/>
    <col min="4603" max="4605" width="9.140625" style="406"/>
    <col min="4606" max="4606" width="12" style="406" bestFit="1" customWidth="1"/>
    <col min="4607" max="4607" width="18.28515625" style="406" bestFit="1" customWidth="1"/>
    <col min="4608" max="4608" width="9.140625" style="406"/>
    <col min="4609" max="4609" width="26.28515625" style="406" bestFit="1" customWidth="1"/>
    <col min="4610" max="4856" width="9.140625" style="406"/>
    <col min="4857" max="4857" width="11.28515625" style="406" customWidth="1"/>
    <col min="4858" max="4858" width="11.7109375" style="406" bestFit="1" customWidth="1"/>
    <col min="4859" max="4861" width="9.140625" style="406"/>
    <col min="4862" max="4862" width="12" style="406" bestFit="1" customWidth="1"/>
    <col min="4863" max="4863" width="18.28515625" style="406" bestFit="1" customWidth="1"/>
    <col min="4864" max="4864" width="9.140625" style="406"/>
    <col min="4865" max="4865" width="26.28515625" style="406" bestFit="1" customWidth="1"/>
    <col min="4866" max="5112" width="9.140625" style="406"/>
    <col min="5113" max="5113" width="11.28515625" style="406" customWidth="1"/>
    <col min="5114" max="5114" width="11.7109375" style="406" bestFit="1" customWidth="1"/>
    <col min="5115" max="5117" width="9.140625" style="406"/>
    <col min="5118" max="5118" width="12" style="406" bestFit="1" customWidth="1"/>
    <col min="5119" max="5119" width="18.28515625" style="406" bestFit="1" customWidth="1"/>
    <col min="5120" max="5120" width="9.140625" style="406"/>
    <col min="5121" max="5121" width="26.28515625" style="406" bestFit="1" customWidth="1"/>
    <col min="5122" max="5368" width="9.140625" style="406"/>
    <col min="5369" max="5369" width="11.28515625" style="406" customWidth="1"/>
    <col min="5370" max="5370" width="11.7109375" style="406" bestFit="1" customWidth="1"/>
    <col min="5371" max="5373" width="9.140625" style="406"/>
    <col min="5374" max="5374" width="12" style="406" bestFit="1" customWidth="1"/>
    <col min="5375" max="5375" width="18.28515625" style="406" bestFit="1" customWidth="1"/>
    <col min="5376" max="5376" width="9.140625" style="406"/>
    <col min="5377" max="5377" width="26.28515625" style="406" bestFit="1" customWidth="1"/>
    <col min="5378" max="5624" width="9.140625" style="406"/>
    <col min="5625" max="5625" width="11.28515625" style="406" customWidth="1"/>
    <col min="5626" max="5626" width="11.7109375" style="406" bestFit="1" customWidth="1"/>
    <col min="5627" max="5629" width="9.140625" style="406"/>
    <col min="5630" max="5630" width="12" style="406" bestFit="1" customWidth="1"/>
    <col min="5631" max="5631" width="18.28515625" style="406" bestFit="1" customWidth="1"/>
    <col min="5632" max="5632" width="9.140625" style="406"/>
    <col min="5633" max="5633" width="26.28515625" style="406" bestFit="1" customWidth="1"/>
    <col min="5634" max="5880" width="9.140625" style="406"/>
    <col min="5881" max="5881" width="11.28515625" style="406" customWidth="1"/>
    <col min="5882" max="5882" width="11.7109375" style="406" bestFit="1" customWidth="1"/>
    <col min="5883" max="5885" width="9.140625" style="406"/>
    <col min="5886" max="5886" width="12" style="406" bestFit="1" customWidth="1"/>
    <col min="5887" max="5887" width="18.28515625" style="406" bestFit="1" customWidth="1"/>
    <col min="5888" max="5888" width="9.140625" style="406"/>
    <col min="5889" max="5889" width="26.28515625" style="406" bestFit="1" customWidth="1"/>
    <col min="5890" max="6136" width="9.140625" style="406"/>
    <col min="6137" max="6137" width="11.28515625" style="406" customWidth="1"/>
    <col min="6138" max="6138" width="11.7109375" style="406" bestFit="1" customWidth="1"/>
    <col min="6139" max="6141" width="9.140625" style="406"/>
    <col min="6142" max="6142" width="12" style="406" bestFit="1" customWidth="1"/>
    <col min="6143" max="6143" width="18.28515625" style="406" bestFit="1" customWidth="1"/>
    <col min="6144" max="6144" width="9.140625" style="406"/>
    <col min="6145" max="6145" width="26.28515625" style="406" bestFit="1" customWidth="1"/>
    <col min="6146" max="6392" width="9.140625" style="406"/>
    <col min="6393" max="6393" width="11.28515625" style="406" customWidth="1"/>
    <col min="6394" max="6394" width="11.7109375" style="406" bestFit="1" customWidth="1"/>
    <col min="6395" max="6397" width="9.140625" style="406"/>
    <col min="6398" max="6398" width="12" style="406" bestFit="1" customWidth="1"/>
    <col min="6399" max="6399" width="18.28515625" style="406" bestFit="1" customWidth="1"/>
    <col min="6400" max="6400" width="9.140625" style="406"/>
    <col min="6401" max="6401" width="26.28515625" style="406" bestFit="1" customWidth="1"/>
    <col min="6402" max="6648" width="9.140625" style="406"/>
    <col min="6649" max="6649" width="11.28515625" style="406" customWidth="1"/>
    <col min="6650" max="6650" width="11.7109375" style="406" bestFit="1" customWidth="1"/>
    <col min="6651" max="6653" width="9.140625" style="406"/>
    <col min="6654" max="6654" width="12" style="406" bestFit="1" customWidth="1"/>
    <col min="6655" max="6655" width="18.28515625" style="406" bestFit="1" customWidth="1"/>
    <col min="6656" max="6656" width="9.140625" style="406"/>
    <col min="6657" max="6657" width="26.28515625" style="406" bestFit="1" customWidth="1"/>
    <col min="6658" max="6904" width="9.140625" style="406"/>
    <col min="6905" max="6905" width="11.28515625" style="406" customWidth="1"/>
    <col min="6906" max="6906" width="11.7109375" style="406" bestFit="1" customWidth="1"/>
    <col min="6907" max="6909" width="9.140625" style="406"/>
    <col min="6910" max="6910" width="12" style="406" bestFit="1" customWidth="1"/>
    <col min="6911" max="6911" width="18.28515625" style="406" bestFit="1" customWidth="1"/>
    <col min="6912" max="6912" width="9.140625" style="406"/>
    <col min="6913" max="6913" width="26.28515625" style="406" bestFit="1" customWidth="1"/>
    <col min="6914" max="7160" width="9.140625" style="406"/>
    <col min="7161" max="7161" width="11.28515625" style="406" customWidth="1"/>
    <col min="7162" max="7162" width="11.7109375" style="406" bestFit="1" customWidth="1"/>
    <col min="7163" max="7165" width="9.140625" style="406"/>
    <col min="7166" max="7166" width="12" style="406" bestFit="1" customWidth="1"/>
    <col min="7167" max="7167" width="18.28515625" style="406" bestFit="1" customWidth="1"/>
    <col min="7168" max="7168" width="9.140625" style="406"/>
    <col min="7169" max="7169" width="26.28515625" style="406" bestFit="1" customWidth="1"/>
    <col min="7170" max="7416" width="9.140625" style="406"/>
    <col min="7417" max="7417" width="11.28515625" style="406" customWidth="1"/>
    <col min="7418" max="7418" width="11.7109375" style="406" bestFit="1" customWidth="1"/>
    <col min="7419" max="7421" width="9.140625" style="406"/>
    <col min="7422" max="7422" width="12" style="406" bestFit="1" customWidth="1"/>
    <col min="7423" max="7423" width="18.28515625" style="406" bestFit="1" customWidth="1"/>
    <col min="7424" max="7424" width="9.140625" style="406"/>
    <col min="7425" max="7425" width="26.28515625" style="406" bestFit="1" customWidth="1"/>
    <col min="7426" max="7672" width="9.140625" style="406"/>
    <col min="7673" max="7673" width="11.28515625" style="406" customWidth="1"/>
    <col min="7674" max="7674" width="11.7109375" style="406" bestFit="1" customWidth="1"/>
    <col min="7675" max="7677" width="9.140625" style="406"/>
    <col min="7678" max="7678" width="12" style="406" bestFit="1" customWidth="1"/>
    <col min="7679" max="7679" width="18.28515625" style="406" bestFit="1" customWidth="1"/>
    <col min="7680" max="7680" width="9.140625" style="406"/>
    <col min="7681" max="7681" width="26.28515625" style="406" bestFit="1" customWidth="1"/>
    <col min="7682" max="7928" width="9.140625" style="406"/>
    <col min="7929" max="7929" width="11.28515625" style="406" customWidth="1"/>
    <col min="7930" max="7930" width="11.7109375" style="406" bestFit="1" customWidth="1"/>
    <col min="7931" max="7933" width="9.140625" style="406"/>
    <col min="7934" max="7934" width="12" style="406" bestFit="1" customWidth="1"/>
    <col min="7935" max="7935" width="18.28515625" style="406" bestFit="1" customWidth="1"/>
    <col min="7936" max="7936" width="9.140625" style="406"/>
    <col min="7937" max="7937" width="26.28515625" style="406" bestFit="1" customWidth="1"/>
    <col min="7938" max="8184" width="9.140625" style="406"/>
    <col min="8185" max="8185" width="11.28515625" style="406" customWidth="1"/>
    <col min="8186" max="8186" width="11.7109375" style="406" bestFit="1" customWidth="1"/>
    <col min="8187" max="8189" width="9.140625" style="406"/>
    <col min="8190" max="8190" width="12" style="406" bestFit="1" customWidth="1"/>
    <col min="8191" max="8191" width="18.28515625" style="406" bestFit="1" customWidth="1"/>
    <col min="8192" max="8192" width="9.140625" style="406"/>
    <col min="8193" max="8193" width="26.28515625" style="406" bestFit="1" customWidth="1"/>
    <col min="8194" max="8440" width="9.140625" style="406"/>
    <col min="8441" max="8441" width="11.28515625" style="406" customWidth="1"/>
    <col min="8442" max="8442" width="11.7109375" style="406" bestFit="1" customWidth="1"/>
    <col min="8443" max="8445" width="9.140625" style="406"/>
    <col min="8446" max="8446" width="12" style="406" bestFit="1" customWidth="1"/>
    <col min="8447" max="8447" width="18.28515625" style="406" bestFit="1" customWidth="1"/>
    <col min="8448" max="8448" width="9.140625" style="406"/>
    <col min="8449" max="8449" width="26.28515625" style="406" bestFit="1" customWidth="1"/>
    <col min="8450" max="8696" width="9.140625" style="406"/>
    <col min="8697" max="8697" width="11.28515625" style="406" customWidth="1"/>
    <col min="8698" max="8698" width="11.7109375" style="406" bestFit="1" customWidth="1"/>
    <col min="8699" max="8701" width="9.140625" style="406"/>
    <col min="8702" max="8702" width="12" style="406" bestFit="1" customWidth="1"/>
    <col min="8703" max="8703" width="18.28515625" style="406" bestFit="1" customWidth="1"/>
    <col min="8704" max="8704" width="9.140625" style="406"/>
    <col min="8705" max="8705" width="26.28515625" style="406" bestFit="1" customWidth="1"/>
    <col min="8706" max="8952" width="9.140625" style="406"/>
    <col min="8953" max="8953" width="11.28515625" style="406" customWidth="1"/>
    <col min="8954" max="8954" width="11.7109375" style="406" bestFit="1" customWidth="1"/>
    <col min="8955" max="8957" width="9.140625" style="406"/>
    <col min="8958" max="8958" width="12" style="406" bestFit="1" customWidth="1"/>
    <col min="8959" max="8959" width="18.28515625" style="406" bestFit="1" customWidth="1"/>
    <col min="8960" max="8960" width="9.140625" style="406"/>
    <col min="8961" max="8961" width="26.28515625" style="406" bestFit="1" customWidth="1"/>
    <col min="8962" max="9208" width="9.140625" style="406"/>
    <col min="9209" max="9209" width="11.28515625" style="406" customWidth="1"/>
    <col min="9210" max="9210" width="11.7109375" style="406" bestFit="1" customWidth="1"/>
    <col min="9211" max="9213" width="9.140625" style="406"/>
    <col min="9214" max="9214" width="12" style="406" bestFit="1" customWidth="1"/>
    <col min="9215" max="9215" width="18.28515625" style="406" bestFit="1" customWidth="1"/>
    <col min="9216" max="9216" width="9.140625" style="406"/>
    <col min="9217" max="9217" width="26.28515625" style="406" bestFit="1" customWidth="1"/>
    <col min="9218" max="9464" width="9.140625" style="406"/>
    <col min="9465" max="9465" width="11.28515625" style="406" customWidth="1"/>
    <col min="9466" max="9466" width="11.7109375" style="406" bestFit="1" customWidth="1"/>
    <col min="9467" max="9469" width="9.140625" style="406"/>
    <col min="9470" max="9470" width="12" style="406" bestFit="1" customWidth="1"/>
    <col min="9471" max="9471" width="18.28515625" style="406" bestFit="1" customWidth="1"/>
    <col min="9472" max="9472" width="9.140625" style="406"/>
    <col min="9473" max="9473" width="26.28515625" style="406" bestFit="1" customWidth="1"/>
    <col min="9474" max="9720" width="9.140625" style="406"/>
    <col min="9721" max="9721" width="11.28515625" style="406" customWidth="1"/>
    <col min="9722" max="9722" width="11.7109375" style="406" bestFit="1" customWidth="1"/>
    <col min="9723" max="9725" width="9.140625" style="406"/>
    <col min="9726" max="9726" width="12" style="406" bestFit="1" customWidth="1"/>
    <col min="9727" max="9727" width="18.28515625" style="406" bestFit="1" customWidth="1"/>
    <col min="9728" max="9728" width="9.140625" style="406"/>
    <col min="9729" max="9729" width="26.28515625" style="406" bestFit="1" customWidth="1"/>
    <col min="9730" max="9976" width="9.140625" style="406"/>
    <col min="9977" max="9977" width="11.28515625" style="406" customWidth="1"/>
    <col min="9978" max="9978" width="11.7109375" style="406" bestFit="1" customWidth="1"/>
    <col min="9979" max="9981" width="9.140625" style="406"/>
    <col min="9982" max="9982" width="12" style="406" bestFit="1" customWidth="1"/>
    <col min="9983" max="9983" width="18.28515625" style="406" bestFit="1" customWidth="1"/>
    <col min="9984" max="9984" width="9.140625" style="406"/>
    <col min="9985" max="9985" width="26.28515625" style="406" bestFit="1" customWidth="1"/>
    <col min="9986" max="10232" width="9.140625" style="406"/>
    <col min="10233" max="10233" width="11.28515625" style="406" customWidth="1"/>
    <col min="10234" max="10234" width="11.7109375" style="406" bestFit="1" customWidth="1"/>
    <col min="10235" max="10237" width="9.140625" style="406"/>
    <col min="10238" max="10238" width="12" style="406" bestFit="1" customWidth="1"/>
    <col min="10239" max="10239" width="18.28515625" style="406" bestFit="1" customWidth="1"/>
    <col min="10240" max="10240" width="9.140625" style="406"/>
    <col min="10241" max="10241" width="26.28515625" style="406" bestFit="1" customWidth="1"/>
    <col min="10242" max="10488" width="9.140625" style="406"/>
    <col min="10489" max="10489" width="11.28515625" style="406" customWidth="1"/>
    <col min="10490" max="10490" width="11.7109375" style="406" bestFit="1" customWidth="1"/>
    <col min="10491" max="10493" width="9.140625" style="406"/>
    <col min="10494" max="10494" width="12" style="406" bestFit="1" customWidth="1"/>
    <col min="10495" max="10495" width="18.28515625" style="406" bestFit="1" customWidth="1"/>
    <col min="10496" max="10496" width="9.140625" style="406"/>
    <col min="10497" max="10497" width="26.28515625" style="406" bestFit="1" customWidth="1"/>
    <col min="10498" max="10744" width="9.140625" style="406"/>
    <col min="10745" max="10745" width="11.28515625" style="406" customWidth="1"/>
    <col min="10746" max="10746" width="11.7109375" style="406" bestFit="1" customWidth="1"/>
    <col min="10747" max="10749" width="9.140625" style="406"/>
    <col min="10750" max="10750" width="12" style="406" bestFit="1" customWidth="1"/>
    <col min="10751" max="10751" width="18.28515625" style="406" bestFit="1" customWidth="1"/>
    <col min="10752" max="10752" width="9.140625" style="406"/>
    <col min="10753" max="10753" width="26.28515625" style="406" bestFit="1" customWidth="1"/>
    <col min="10754" max="11000" width="9.140625" style="406"/>
    <col min="11001" max="11001" width="11.28515625" style="406" customWidth="1"/>
    <col min="11002" max="11002" width="11.7109375" style="406" bestFit="1" customWidth="1"/>
    <col min="11003" max="11005" width="9.140625" style="406"/>
    <col min="11006" max="11006" width="12" style="406" bestFit="1" customWidth="1"/>
    <col min="11007" max="11007" width="18.28515625" style="406" bestFit="1" customWidth="1"/>
    <col min="11008" max="11008" width="9.140625" style="406"/>
    <col min="11009" max="11009" width="26.28515625" style="406" bestFit="1" customWidth="1"/>
    <col min="11010" max="11256" width="9.140625" style="406"/>
    <col min="11257" max="11257" width="11.28515625" style="406" customWidth="1"/>
    <col min="11258" max="11258" width="11.7109375" style="406" bestFit="1" customWidth="1"/>
    <col min="11259" max="11261" width="9.140625" style="406"/>
    <col min="11262" max="11262" width="12" style="406" bestFit="1" customWidth="1"/>
    <col min="11263" max="11263" width="18.28515625" style="406" bestFit="1" customWidth="1"/>
    <col min="11264" max="11264" width="9.140625" style="406"/>
    <col min="11265" max="11265" width="26.28515625" style="406" bestFit="1" customWidth="1"/>
    <col min="11266" max="11512" width="9.140625" style="406"/>
    <col min="11513" max="11513" width="11.28515625" style="406" customWidth="1"/>
    <col min="11514" max="11514" width="11.7109375" style="406" bestFit="1" customWidth="1"/>
    <col min="11515" max="11517" width="9.140625" style="406"/>
    <col min="11518" max="11518" width="12" style="406" bestFit="1" customWidth="1"/>
    <col min="11519" max="11519" width="18.28515625" style="406" bestFit="1" customWidth="1"/>
    <col min="11520" max="11520" width="9.140625" style="406"/>
    <col min="11521" max="11521" width="26.28515625" style="406" bestFit="1" customWidth="1"/>
    <col min="11522" max="11768" width="9.140625" style="406"/>
    <col min="11769" max="11769" width="11.28515625" style="406" customWidth="1"/>
    <col min="11770" max="11770" width="11.7109375" style="406" bestFit="1" customWidth="1"/>
    <col min="11771" max="11773" width="9.140625" style="406"/>
    <col min="11774" max="11774" width="12" style="406" bestFit="1" customWidth="1"/>
    <col min="11775" max="11775" width="18.28515625" style="406" bestFit="1" customWidth="1"/>
    <col min="11776" max="11776" width="9.140625" style="406"/>
    <col min="11777" max="11777" width="26.28515625" style="406" bestFit="1" customWidth="1"/>
    <col min="11778" max="12024" width="9.140625" style="406"/>
    <col min="12025" max="12025" width="11.28515625" style="406" customWidth="1"/>
    <col min="12026" max="12026" width="11.7109375" style="406" bestFit="1" customWidth="1"/>
    <col min="12027" max="12029" width="9.140625" style="406"/>
    <col min="12030" max="12030" width="12" style="406" bestFit="1" customWidth="1"/>
    <col min="12031" max="12031" width="18.28515625" style="406" bestFit="1" customWidth="1"/>
    <col min="12032" max="12032" width="9.140625" style="406"/>
    <col min="12033" max="12033" width="26.28515625" style="406" bestFit="1" customWidth="1"/>
    <col min="12034" max="12280" width="9.140625" style="406"/>
    <col min="12281" max="12281" width="11.28515625" style="406" customWidth="1"/>
    <col min="12282" max="12282" width="11.7109375" style="406" bestFit="1" customWidth="1"/>
    <col min="12283" max="12285" width="9.140625" style="406"/>
    <col min="12286" max="12286" width="12" style="406" bestFit="1" customWidth="1"/>
    <col min="12287" max="12287" width="18.28515625" style="406" bestFit="1" customWidth="1"/>
    <col min="12288" max="12288" width="9.140625" style="406"/>
    <col min="12289" max="12289" width="26.28515625" style="406" bestFit="1" customWidth="1"/>
    <col min="12290" max="12536" width="9.140625" style="406"/>
    <col min="12537" max="12537" width="11.28515625" style="406" customWidth="1"/>
    <col min="12538" max="12538" width="11.7109375" style="406" bestFit="1" customWidth="1"/>
    <col min="12539" max="12541" width="9.140625" style="406"/>
    <col min="12542" max="12542" width="12" style="406" bestFit="1" customWidth="1"/>
    <col min="12543" max="12543" width="18.28515625" style="406" bestFit="1" customWidth="1"/>
    <col min="12544" max="12544" width="9.140625" style="406"/>
    <col min="12545" max="12545" width="26.28515625" style="406" bestFit="1" customWidth="1"/>
    <col min="12546" max="12792" width="9.140625" style="406"/>
    <col min="12793" max="12793" width="11.28515625" style="406" customWidth="1"/>
    <col min="12794" max="12794" width="11.7109375" style="406" bestFit="1" customWidth="1"/>
    <col min="12795" max="12797" width="9.140625" style="406"/>
    <col min="12798" max="12798" width="12" style="406" bestFit="1" customWidth="1"/>
    <col min="12799" max="12799" width="18.28515625" style="406" bestFit="1" customWidth="1"/>
    <col min="12800" max="12800" width="9.140625" style="406"/>
    <col min="12801" max="12801" width="26.28515625" style="406" bestFit="1" customWidth="1"/>
    <col min="12802" max="13048" width="9.140625" style="406"/>
    <col min="13049" max="13049" width="11.28515625" style="406" customWidth="1"/>
    <col min="13050" max="13050" width="11.7109375" style="406" bestFit="1" customWidth="1"/>
    <col min="13051" max="13053" width="9.140625" style="406"/>
    <col min="13054" max="13054" width="12" style="406" bestFit="1" customWidth="1"/>
    <col min="13055" max="13055" width="18.28515625" style="406" bestFit="1" customWidth="1"/>
    <col min="13056" max="13056" width="9.140625" style="406"/>
    <col min="13057" max="13057" width="26.28515625" style="406" bestFit="1" customWidth="1"/>
    <col min="13058" max="13304" width="9.140625" style="406"/>
    <col min="13305" max="13305" width="11.28515625" style="406" customWidth="1"/>
    <col min="13306" max="13306" width="11.7109375" style="406" bestFit="1" customWidth="1"/>
    <col min="13307" max="13309" width="9.140625" style="406"/>
    <col min="13310" max="13310" width="12" style="406" bestFit="1" customWidth="1"/>
    <col min="13311" max="13311" width="18.28515625" style="406" bestFit="1" customWidth="1"/>
    <col min="13312" max="13312" width="9.140625" style="406"/>
    <col min="13313" max="13313" width="26.28515625" style="406" bestFit="1" customWidth="1"/>
    <col min="13314" max="13560" width="9.140625" style="406"/>
    <col min="13561" max="13561" width="11.28515625" style="406" customWidth="1"/>
    <col min="13562" max="13562" width="11.7109375" style="406" bestFit="1" customWidth="1"/>
    <col min="13563" max="13565" width="9.140625" style="406"/>
    <col min="13566" max="13566" width="12" style="406" bestFit="1" customWidth="1"/>
    <col min="13567" max="13567" width="18.28515625" style="406" bestFit="1" customWidth="1"/>
    <col min="13568" max="13568" width="9.140625" style="406"/>
    <col min="13569" max="13569" width="26.28515625" style="406" bestFit="1" customWidth="1"/>
    <col min="13570" max="13816" width="9.140625" style="406"/>
    <col min="13817" max="13817" width="11.28515625" style="406" customWidth="1"/>
    <col min="13818" max="13818" width="11.7109375" style="406" bestFit="1" customWidth="1"/>
    <col min="13819" max="13821" width="9.140625" style="406"/>
    <col min="13822" max="13822" width="12" style="406" bestFit="1" customWidth="1"/>
    <col min="13823" max="13823" width="18.28515625" style="406" bestFit="1" customWidth="1"/>
    <col min="13824" max="13824" width="9.140625" style="406"/>
    <col min="13825" max="13825" width="26.28515625" style="406" bestFit="1" customWidth="1"/>
    <col min="13826" max="14072" width="9.140625" style="406"/>
    <col min="14073" max="14073" width="11.28515625" style="406" customWidth="1"/>
    <col min="14074" max="14074" width="11.7109375" style="406" bestFit="1" customWidth="1"/>
    <col min="14075" max="14077" width="9.140625" style="406"/>
    <col min="14078" max="14078" width="12" style="406" bestFit="1" customWidth="1"/>
    <col min="14079" max="14079" width="18.28515625" style="406" bestFit="1" customWidth="1"/>
    <col min="14080" max="14080" width="9.140625" style="406"/>
    <col min="14081" max="14081" width="26.28515625" style="406" bestFit="1" customWidth="1"/>
    <col min="14082" max="14328" width="9.140625" style="406"/>
    <col min="14329" max="14329" width="11.28515625" style="406" customWidth="1"/>
    <col min="14330" max="14330" width="11.7109375" style="406" bestFit="1" customWidth="1"/>
    <col min="14331" max="14333" width="9.140625" style="406"/>
    <col min="14334" max="14334" width="12" style="406" bestFit="1" customWidth="1"/>
    <col min="14335" max="14335" width="18.28515625" style="406" bestFit="1" customWidth="1"/>
    <col min="14336" max="14336" width="9.140625" style="406"/>
    <col min="14337" max="14337" width="26.28515625" style="406" bestFit="1" customWidth="1"/>
    <col min="14338" max="14584" width="9.140625" style="406"/>
    <col min="14585" max="14585" width="11.28515625" style="406" customWidth="1"/>
    <col min="14586" max="14586" width="11.7109375" style="406" bestFit="1" customWidth="1"/>
    <col min="14587" max="14589" width="9.140625" style="406"/>
    <col min="14590" max="14590" width="12" style="406" bestFit="1" customWidth="1"/>
    <col min="14591" max="14591" width="18.28515625" style="406" bestFit="1" customWidth="1"/>
    <col min="14592" max="14592" width="9.140625" style="406"/>
    <col min="14593" max="14593" width="26.28515625" style="406" bestFit="1" customWidth="1"/>
    <col min="14594" max="14840" width="9.140625" style="406"/>
    <col min="14841" max="14841" width="11.28515625" style="406" customWidth="1"/>
    <col min="14842" max="14842" width="11.7109375" style="406" bestFit="1" customWidth="1"/>
    <col min="14843" max="14845" width="9.140625" style="406"/>
    <col min="14846" max="14846" width="12" style="406" bestFit="1" customWidth="1"/>
    <col min="14847" max="14847" width="18.28515625" style="406" bestFit="1" customWidth="1"/>
    <col min="14848" max="14848" width="9.140625" style="406"/>
    <col min="14849" max="14849" width="26.28515625" style="406" bestFit="1" customWidth="1"/>
    <col min="14850" max="15096" width="9.140625" style="406"/>
    <col min="15097" max="15097" width="11.28515625" style="406" customWidth="1"/>
    <col min="15098" max="15098" width="11.7109375" style="406" bestFit="1" customWidth="1"/>
    <col min="15099" max="15101" width="9.140625" style="406"/>
    <col min="15102" max="15102" width="12" style="406" bestFit="1" customWidth="1"/>
    <col min="15103" max="15103" width="18.28515625" style="406" bestFit="1" customWidth="1"/>
    <col min="15104" max="15104" width="9.140625" style="406"/>
    <col min="15105" max="15105" width="26.28515625" style="406" bestFit="1" customWidth="1"/>
    <col min="15106" max="15352" width="9.140625" style="406"/>
    <col min="15353" max="15353" width="11.28515625" style="406" customWidth="1"/>
    <col min="15354" max="15354" width="11.7109375" style="406" bestFit="1" customWidth="1"/>
    <col min="15355" max="15357" width="9.140625" style="406"/>
    <col min="15358" max="15358" width="12" style="406" bestFit="1" customWidth="1"/>
    <col min="15359" max="15359" width="18.28515625" style="406" bestFit="1" customWidth="1"/>
    <col min="15360" max="15360" width="9.140625" style="406"/>
    <col min="15361" max="15361" width="26.28515625" style="406" bestFit="1" customWidth="1"/>
    <col min="15362" max="15608" width="9.140625" style="406"/>
    <col min="15609" max="15609" width="11.28515625" style="406" customWidth="1"/>
    <col min="15610" max="15610" width="11.7109375" style="406" bestFit="1" customWidth="1"/>
    <col min="15611" max="15613" width="9.140625" style="406"/>
    <col min="15614" max="15614" width="12" style="406" bestFit="1" customWidth="1"/>
    <col min="15615" max="15615" width="18.28515625" style="406" bestFit="1" customWidth="1"/>
    <col min="15616" max="15616" width="9.140625" style="406"/>
    <col min="15617" max="15617" width="26.28515625" style="406" bestFit="1" customWidth="1"/>
    <col min="15618" max="15864" width="9.140625" style="406"/>
    <col min="15865" max="15865" width="11.28515625" style="406" customWidth="1"/>
    <col min="15866" max="15866" width="11.7109375" style="406" bestFit="1" customWidth="1"/>
    <col min="15867" max="15869" width="9.140625" style="406"/>
    <col min="15870" max="15870" width="12" style="406" bestFit="1" customWidth="1"/>
    <col min="15871" max="15871" width="18.28515625" style="406" bestFit="1" customWidth="1"/>
    <col min="15872" max="15872" width="9.140625" style="406"/>
    <col min="15873" max="15873" width="26.28515625" style="406" bestFit="1" customWidth="1"/>
    <col min="15874" max="16120" width="9.140625" style="406"/>
    <col min="16121" max="16121" width="11.28515625" style="406" customWidth="1"/>
    <col min="16122" max="16122" width="11.7109375" style="406" bestFit="1" customWidth="1"/>
    <col min="16123" max="16125" width="9.140625" style="406"/>
    <col min="16126" max="16126" width="12" style="406" bestFit="1" customWidth="1"/>
    <col min="16127" max="16127" width="18.28515625" style="406" bestFit="1" customWidth="1"/>
    <col min="16128" max="16128" width="9.140625" style="406"/>
    <col min="16129" max="16129" width="26.28515625" style="406" bestFit="1" customWidth="1"/>
    <col min="16130" max="16384" width="9.140625" style="406"/>
  </cols>
  <sheetData>
    <row r="1" spans="1:13" ht="15.75">
      <c r="A1" s="405" t="s">
        <v>5</v>
      </c>
    </row>
    <row r="2" spans="1:13" ht="15.75">
      <c r="A2" s="405" t="s">
        <v>544</v>
      </c>
    </row>
    <row r="3" spans="1:13" ht="15.75">
      <c r="A3" s="407" t="s">
        <v>546</v>
      </c>
    </row>
    <row r="6" spans="1:13">
      <c r="A6" s="567" t="s">
        <v>805</v>
      </c>
      <c r="H6" s="409">
        <f>ROUND('ATC Attach O ER13-1181'!I20,2)</f>
        <v>514462419.01999998</v>
      </c>
      <c r="I6" s="411"/>
    </row>
    <row r="7" spans="1:13">
      <c r="H7" s="409"/>
      <c r="I7" s="411"/>
    </row>
    <row r="8" spans="1:13">
      <c r="A8" s="408" t="s">
        <v>545</v>
      </c>
      <c r="H8" s="409">
        <f>'Revenue Breakout'!C12</f>
        <v>531152392.24000001</v>
      </c>
      <c r="I8" s="411"/>
    </row>
    <row r="9" spans="1:13">
      <c r="H9" s="409"/>
    </row>
    <row r="10" spans="1:13">
      <c r="A10" s="410" t="s">
        <v>809</v>
      </c>
      <c r="B10" s="411"/>
      <c r="C10" s="411"/>
      <c r="D10" s="411"/>
      <c r="H10" s="569">
        <f>H8-H6</f>
        <v>16689973.220000029</v>
      </c>
    </row>
    <row r="11" spans="1:13">
      <c r="H11" s="409"/>
    </row>
    <row r="12" spans="1:13">
      <c r="A12" s="567" t="s">
        <v>806</v>
      </c>
      <c r="H12" s="616">
        <f>4641361-H14</f>
        <v>4519205.88</v>
      </c>
    </row>
    <row r="13" spans="1:13" s="566" customFormat="1">
      <c r="H13" s="616"/>
    </row>
    <row r="14" spans="1:13" s="566" customFormat="1">
      <c r="A14" s="567" t="s">
        <v>807</v>
      </c>
      <c r="H14" s="616">
        <f>-ROUND('Sch 1 True-Up Adjustment'!G24,2)</f>
        <v>122155.12</v>
      </c>
    </row>
    <row r="16" spans="1:13" ht="15.75" thickBot="1">
      <c r="A16" s="567" t="s">
        <v>808</v>
      </c>
      <c r="H16" s="568">
        <f>H10-H12-H14</f>
        <v>12048612.22000003</v>
      </c>
      <c r="M16" s="635"/>
    </row>
    <row r="17" spans="1:9" ht="15.75" thickTop="1"/>
    <row r="18" spans="1:9" ht="15.75">
      <c r="A18" s="570" t="s">
        <v>668</v>
      </c>
      <c r="B18" s="560"/>
      <c r="C18" s="560"/>
      <c r="D18" s="560"/>
      <c r="E18" s="560"/>
      <c r="F18" s="560"/>
      <c r="G18" s="560"/>
      <c r="H18" s="560"/>
      <c r="I18" s="566"/>
    </row>
    <row r="19" spans="1:9" ht="15.75">
      <c r="A19" s="560"/>
      <c r="B19" s="567" t="s">
        <v>810</v>
      </c>
      <c r="C19" s="560"/>
      <c r="D19" s="613">
        <v>2.7000000000000001E-3</v>
      </c>
      <c r="E19" s="560"/>
      <c r="F19" s="560"/>
      <c r="G19" s="560"/>
      <c r="H19" s="560"/>
      <c r="I19" s="560"/>
    </row>
    <row r="20" spans="1:9" ht="15.75">
      <c r="A20" s="560"/>
      <c r="B20" s="567" t="s">
        <v>811</v>
      </c>
      <c r="C20" s="560"/>
      <c r="D20" s="613">
        <v>2.7000000000000001E-3</v>
      </c>
      <c r="E20" s="560"/>
      <c r="F20" s="560"/>
      <c r="G20" s="560"/>
      <c r="H20" s="560"/>
      <c r="I20" s="560"/>
    </row>
    <row r="21" spans="1:9" ht="15.75">
      <c r="A21" s="560"/>
      <c r="B21" s="567" t="s">
        <v>812</v>
      </c>
      <c r="C21" s="560"/>
      <c r="D21" s="613">
        <v>2.7000000000000001E-3</v>
      </c>
      <c r="E21" s="560"/>
      <c r="F21" s="560"/>
      <c r="G21" s="560"/>
      <c r="H21" s="560"/>
      <c r="I21" s="560"/>
    </row>
    <row r="22" spans="1:9" ht="15.75">
      <c r="A22" s="560"/>
      <c r="B22" s="560"/>
      <c r="C22" s="560"/>
      <c r="D22" s="572"/>
      <c r="E22" s="560"/>
      <c r="F22" s="560"/>
      <c r="G22" s="560"/>
      <c r="H22" s="560"/>
      <c r="I22" s="560"/>
    </row>
    <row r="23" spans="1:9" ht="15.75">
      <c r="A23" s="560"/>
      <c r="B23" s="560"/>
      <c r="C23" s="560"/>
      <c r="D23" s="573">
        <f>SUM(D19:D22)</f>
        <v>8.0999999999999996E-3</v>
      </c>
      <c r="E23" s="560"/>
      <c r="F23" s="560"/>
      <c r="G23" s="560"/>
      <c r="H23" s="560"/>
      <c r="I23" s="560"/>
    </row>
    <row r="24" spans="1:9" ht="15.75">
      <c r="A24" s="560"/>
      <c r="B24" s="574"/>
      <c r="C24" s="575"/>
      <c r="D24" s="573"/>
      <c r="E24" s="560"/>
      <c r="F24" s="560"/>
      <c r="G24" s="560"/>
      <c r="H24" s="560"/>
      <c r="I24" s="560"/>
    </row>
    <row r="25" spans="1:9" ht="15.75">
      <c r="A25" s="560"/>
      <c r="B25" s="575" t="s">
        <v>669</v>
      </c>
      <c r="C25" s="575"/>
      <c r="D25" s="571">
        <f>D23/3</f>
        <v>2.6999999999999997E-3</v>
      </c>
      <c r="E25" s="560"/>
      <c r="F25" s="560"/>
      <c r="G25" s="560"/>
      <c r="H25" s="576">
        <f>D25</f>
        <v>2.6999999999999997E-3</v>
      </c>
      <c r="I25" s="566" t="s">
        <v>670</v>
      </c>
    </row>
    <row r="26" spans="1:9" ht="15.75">
      <c r="A26" s="560"/>
      <c r="B26" s="575"/>
      <c r="C26" s="575"/>
      <c r="D26" s="577"/>
      <c r="E26" s="560"/>
      <c r="F26" s="560"/>
      <c r="G26" s="560"/>
      <c r="H26" s="560"/>
      <c r="I26" s="560"/>
    </row>
    <row r="27" spans="1:9" ht="15.75">
      <c r="A27" s="560"/>
      <c r="B27" s="575"/>
      <c r="C27" s="575"/>
      <c r="D27" s="577"/>
      <c r="E27" s="560"/>
      <c r="F27" s="560"/>
      <c r="G27" s="560"/>
      <c r="H27" s="578">
        <f>ROUND(H16*H25,0)</f>
        <v>32531</v>
      </c>
      <c r="I27" s="566" t="s">
        <v>671</v>
      </c>
    </row>
    <row r="28" spans="1:9" ht="15.75">
      <c r="A28" s="560"/>
      <c r="B28" s="575"/>
      <c r="C28" s="575"/>
      <c r="D28" s="579"/>
      <c r="E28" s="580"/>
      <c r="F28" s="580"/>
      <c r="G28" s="560"/>
      <c r="H28" s="566"/>
      <c r="I28" s="560"/>
    </row>
    <row r="29" spans="1:9" ht="15.75">
      <c r="A29" s="560"/>
      <c r="B29" s="575"/>
      <c r="C29" s="575"/>
      <c r="D29" s="577"/>
      <c r="E29" s="560"/>
      <c r="F29" s="560"/>
      <c r="G29" s="560"/>
      <c r="H29" s="581" t="s">
        <v>672</v>
      </c>
      <c r="I29" s="560"/>
    </row>
    <row r="30" spans="1:9" ht="15.75">
      <c r="A30" s="560"/>
      <c r="B30" s="560"/>
      <c r="C30" s="560"/>
      <c r="D30" s="560"/>
      <c r="E30" s="560"/>
      <c r="F30" s="560"/>
      <c r="G30" s="560"/>
      <c r="H30" s="582">
        <f>H27*12</f>
        <v>390372</v>
      </c>
      <c r="I30" s="560"/>
    </row>
    <row r="31" spans="1:9">
      <c r="A31" s="566"/>
      <c r="B31" s="566"/>
      <c r="C31" s="566"/>
      <c r="D31" s="566"/>
      <c r="E31" s="566"/>
      <c r="G31" s="566"/>
      <c r="H31" s="566"/>
      <c r="I31" s="566"/>
    </row>
    <row r="32" spans="1:9">
      <c r="A32" s="566"/>
      <c r="B32" s="566"/>
      <c r="C32" s="566"/>
      <c r="D32" s="566"/>
      <c r="E32" s="566"/>
      <c r="G32" s="566"/>
      <c r="H32" s="566"/>
      <c r="I32" s="566"/>
    </row>
    <row r="33" spans="1:9" ht="16.5" thickBot="1">
      <c r="A33" s="567" t="s">
        <v>745</v>
      </c>
      <c r="B33" s="560"/>
      <c r="C33" s="560"/>
      <c r="D33" s="560"/>
      <c r="E33" s="560"/>
      <c r="F33" s="560"/>
      <c r="G33" s="560"/>
      <c r="H33" s="568">
        <f>H16+H30</f>
        <v>12438984.22000003</v>
      </c>
      <c r="I33" s="560"/>
    </row>
    <row r="34" spans="1:9" ht="15.75" thickTop="1">
      <c r="A34" s="566"/>
      <c r="B34" s="566"/>
      <c r="C34" s="566"/>
      <c r="D34" s="566"/>
      <c r="E34" s="566"/>
      <c r="G34" s="566"/>
      <c r="H34" s="566"/>
      <c r="I34" s="566"/>
    </row>
  </sheetData>
  <pageMargins left="0.5" right="0.5" top="1" bottom="1" header="0.5" footer="0.5"/>
  <pageSetup scale="76"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3"/>
  <sheetViews>
    <sheetView zoomScaleNormal="100" workbookViewId="0">
      <selection sqref="A1:G1048576"/>
    </sheetView>
  </sheetViews>
  <sheetFormatPr defaultRowHeight="12.75"/>
  <cols>
    <col min="1" max="1" width="17.140625" style="671" customWidth="1"/>
    <col min="2" max="2" width="19.28515625" style="672" customWidth="1"/>
    <col min="3" max="5" width="13" style="672" customWidth="1"/>
    <col min="6" max="6" width="11.85546875" style="672" customWidth="1"/>
    <col min="7" max="7" width="11.42578125" style="672" customWidth="1"/>
    <col min="8" max="16384" width="9.140625" style="672"/>
  </cols>
  <sheetData>
    <row r="1" spans="1:7">
      <c r="A1" s="671" t="s">
        <v>5</v>
      </c>
    </row>
    <row r="2" spans="1:7">
      <c r="A2" s="671" t="s">
        <v>761</v>
      </c>
    </row>
    <row r="3" spans="1:7">
      <c r="A3" s="671" t="s">
        <v>762</v>
      </c>
    </row>
    <row r="5" spans="1:7">
      <c r="A5" s="671" t="s">
        <v>643</v>
      </c>
      <c r="B5" s="673" t="s">
        <v>15</v>
      </c>
      <c r="C5" s="672" t="s">
        <v>763</v>
      </c>
      <c r="D5" s="672" t="s">
        <v>764</v>
      </c>
      <c r="E5" s="672" t="s">
        <v>765</v>
      </c>
      <c r="F5" s="672" t="s">
        <v>763</v>
      </c>
      <c r="G5" s="672" t="s">
        <v>764</v>
      </c>
    </row>
    <row r="7" spans="1:7">
      <c r="A7" s="671" t="s">
        <v>766</v>
      </c>
      <c r="C7" s="674">
        <v>24</v>
      </c>
    </row>
    <row r="9" spans="1:7">
      <c r="A9" s="672" t="s">
        <v>767</v>
      </c>
      <c r="C9" s="672">
        <v>9910505</v>
      </c>
      <c r="D9" s="672">
        <v>261371</v>
      </c>
      <c r="E9" s="672">
        <f>SUM(C9:D9)</f>
        <v>10171876</v>
      </c>
    </row>
    <row r="10" spans="1:7">
      <c r="A10" s="672" t="s">
        <v>768</v>
      </c>
      <c r="C10" s="672">
        <v>6016074</v>
      </c>
      <c r="D10" s="672">
        <v>-1725916.964746</v>
      </c>
      <c r="E10" s="672">
        <f>SUM(C10:D10)</f>
        <v>4290157.0352539998</v>
      </c>
      <c r="F10" s="672">
        <v>6016074</v>
      </c>
      <c r="G10" s="672">
        <v>-1725916.964746</v>
      </c>
    </row>
    <row r="11" spans="1:7">
      <c r="A11" s="671">
        <v>2006</v>
      </c>
      <c r="B11" s="672">
        <v>-452083</v>
      </c>
      <c r="C11" s="672">
        <v>-440467</v>
      </c>
      <c r="D11" s="672">
        <v>-11616</v>
      </c>
      <c r="E11" s="672">
        <v>3838074.0352539998</v>
      </c>
      <c r="F11" s="672">
        <v>5575607</v>
      </c>
      <c r="G11" s="672">
        <v>-1737532.964746</v>
      </c>
    </row>
    <row r="12" spans="1:7">
      <c r="A12" s="671">
        <v>2007</v>
      </c>
      <c r="B12" s="672">
        <v>-422609</v>
      </c>
      <c r="C12" s="672">
        <v>-411750</v>
      </c>
      <c r="D12" s="672">
        <v>-10859</v>
      </c>
      <c r="E12" s="672">
        <v>3415465.0352539998</v>
      </c>
      <c r="F12" s="672">
        <v>5163857</v>
      </c>
      <c r="G12" s="672">
        <v>-1748391.964746</v>
      </c>
    </row>
    <row r="13" spans="1:7">
      <c r="A13" s="671">
        <v>2008</v>
      </c>
      <c r="B13" s="672">
        <v>-155249</v>
      </c>
      <c r="C13" s="672">
        <v>-234721</v>
      </c>
      <c r="D13" s="672">
        <v>79472</v>
      </c>
      <c r="E13" s="672">
        <v>3260216.0352539998</v>
      </c>
      <c r="F13" s="672">
        <v>4929136</v>
      </c>
      <c r="G13" s="672">
        <v>-1668919.964746</v>
      </c>
    </row>
    <row r="14" spans="1:7">
      <c r="A14" s="671">
        <v>2009</v>
      </c>
      <c r="B14" s="672">
        <v>-155249</v>
      </c>
      <c r="C14" s="672">
        <v>-234721</v>
      </c>
      <c r="D14" s="672">
        <v>79472</v>
      </c>
      <c r="E14" s="672">
        <v>3104967.0352539998</v>
      </c>
      <c r="F14" s="672">
        <v>4694415</v>
      </c>
      <c r="G14" s="672">
        <v>-1589447.964746</v>
      </c>
    </row>
    <row r="15" spans="1:7">
      <c r="A15" s="671">
        <v>2010</v>
      </c>
      <c r="B15" s="672">
        <v>-155249</v>
      </c>
      <c r="C15" s="672">
        <v>-234721</v>
      </c>
      <c r="D15" s="672">
        <v>79472</v>
      </c>
      <c r="E15" s="672">
        <v>2949718.0352539998</v>
      </c>
      <c r="F15" s="672">
        <v>4459694</v>
      </c>
      <c r="G15" s="672">
        <v>-1509975.964746</v>
      </c>
    </row>
    <row r="16" spans="1:7">
      <c r="A16" s="671">
        <v>2011</v>
      </c>
      <c r="B16" s="672">
        <v>-155249</v>
      </c>
      <c r="C16" s="672">
        <v>-234721</v>
      </c>
      <c r="D16" s="672">
        <v>79472</v>
      </c>
      <c r="E16" s="672">
        <v>2794469.0352539998</v>
      </c>
      <c r="F16" s="672">
        <v>4224973</v>
      </c>
      <c r="G16" s="672">
        <v>-1430503.964746</v>
      </c>
    </row>
    <row r="18" spans="1:7" ht="38.25">
      <c r="A18" s="675" t="s">
        <v>769</v>
      </c>
      <c r="C18" s="672">
        <v>210414</v>
      </c>
      <c r="D18" s="672">
        <v>-913504</v>
      </c>
      <c r="E18" s="672">
        <f>SUM(F18:G18)</f>
        <v>-703090</v>
      </c>
      <c r="F18" s="672">
        <v>210414</v>
      </c>
      <c r="G18" s="672">
        <v>-913504</v>
      </c>
    </row>
    <row r="19" spans="1:7">
      <c r="A19" s="671">
        <v>2012</v>
      </c>
      <c r="B19" s="677">
        <f t="shared" ref="B19:B36" si="0">SUM(C19:D19)</f>
        <v>39060</v>
      </c>
      <c r="C19" s="672">
        <f>ROUND(-SUM(C$18:C18)/($C$7+$A$11-$A19),0)</f>
        <v>-11690</v>
      </c>
      <c r="D19" s="672">
        <f>ROUND(-SUM(D$18:D18)/($C$7+$A$11-$A19),0)</f>
        <v>50750</v>
      </c>
      <c r="E19" s="672">
        <f>+E18+SUM(C19:D19)</f>
        <v>-664030</v>
      </c>
      <c r="F19" s="672">
        <f>+F18+C19</f>
        <v>198724</v>
      </c>
      <c r="G19" s="672">
        <f>+G18+D19</f>
        <v>-862754</v>
      </c>
    </row>
    <row r="20" spans="1:7">
      <c r="A20" s="671">
        <v>2013</v>
      </c>
      <c r="B20" s="676">
        <f t="shared" si="0"/>
        <v>39060</v>
      </c>
      <c r="C20" s="672">
        <f>ROUND(-SUM(C$18:C19)/($C$7+$A$11-$A20),0)</f>
        <v>-11690</v>
      </c>
      <c r="D20" s="672">
        <f>ROUND(-SUM(D$18:D19)/($C$7+$A$11-$A20),0)</f>
        <v>50750</v>
      </c>
      <c r="E20" s="672">
        <f t="shared" ref="E20:E36" si="1">+E19+SUM(C20:D20)</f>
        <v>-624970</v>
      </c>
      <c r="F20" s="672">
        <f t="shared" ref="F20:G35" si="2">+F19+C20</f>
        <v>187034</v>
      </c>
      <c r="G20" s="672">
        <f t="shared" si="2"/>
        <v>-812004</v>
      </c>
    </row>
    <row r="21" spans="1:7">
      <c r="A21" s="671">
        <v>2014</v>
      </c>
      <c r="B21" s="672">
        <f t="shared" si="0"/>
        <v>39060</v>
      </c>
      <c r="C21" s="672">
        <f>ROUND(-SUM(C$18:C20)/($C$7+$A$11-$A21),0)</f>
        <v>-11690</v>
      </c>
      <c r="D21" s="672">
        <f>ROUND(-SUM(D$18:D20)/($C$7+$A$11-$A21),0)</f>
        <v>50750</v>
      </c>
      <c r="E21" s="672">
        <f t="shared" si="1"/>
        <v>-585910</v>
      </c>
      <c r="F21" s="672">
        <f t="shared" si="2"/>
        <v>175344</v>
      </c>
      <c r="G21" s="672">
        <f t="shared" si="2"/>
        <v>-761254</v>
      </c>
    </row>
    <row r="22" spans="1:7">
      <c r="A22" s="671">
        <v>2015</v>
      </c>
      <c r="B22" s="672">
        <f t="shared" si="0"/>
        <v>39060</v>
      </c>
      <c r="C22" s="672">
        <f>ROUND(-SUM(C$18:C21)/($C$7+$A$11-$A22),0)</f>
        <v>-11690</v>
      </c>
      <c r="D22" s="672">
        <f>ROUND(-SUM(D$18:D21)/($C$7+$A$11-$A22),0)</f>
        <v>50750</v>
      </c>
      <c r="E22" s="672">
        <f t="shared" si="1"/>
        <v>-546850</v>
      </c>
      <c r="F22" s="672">
        <f t="shared" si="2"/>
        <v>163654</v>
      </c>
      <c r="G22" s="672">
        <f t="shared" si="2"/>
        <v>-710504</v>
      </c>
    </row>
    <row r="23" spans="1:7">
      <c r="A23" s="671">
        <v>2016</v>
      </c>
      <c r="B23" s="672">
        <f t="shared" si="0"/>
        <v>39060</v>
      </c>
      <c r="C23" s="672">
        <f>ROUND(-SUM(C$18:C22)/($C$7+$A$11-$A23),0)</f>
        <v>-11690</v>
      </c>
      <c r="D23" s="672">
        <f>ROUND(-SUM(D$18:D22)/($C$7+$A$11-$A23),0)</f>
        <v>50750</v>
      </c>
      <c r="E23" s="672">
        <f t="shared" si="1"/>
        <v>-507790</v>
      </c>
      <c r="F23" s="672">
        <f t="shared" si="2"/>
        <v>151964</v>
      </c>
      <c r="G23" s="672">
        <f t="shared" si="2"/>
        <v>-659754</v>
      </c>
    </row>
    <row r="24" spans="1:7">
      <c r="A24" s="671">
        <v>2017</v>
      </c>
      <c r="B24" s="672">
        <f t="shared" si="0"/>
        <v>39060</v>
      </c>
      <c r="C24" s="672">
        <f>ROUND(-SUM(C$18:C23)/($C$7+$A$11-$A24),0)</f>
        <v>-11690</v>
      </c>
      <c r="D24" s="672">
        <f>ROUND(-SUM(D$18:D23)/($C$7+$A$11-$A24),0)</f>
        <v>50750</v>
      </c>
      <c r="E24" s="672">
        <f t="shared" si="1"/>
        <v>-468730</v>
      </c>
      <c r="F24" s="672">
        <f t="shared" si="2"/>
        <v>140274</v>
      </c>
      <c r="G24" s="672">
        <f t="shared" si="2"/>
        <v>-609004</v>
      </c>
    </row>
    <row r="25" spans="1:7">
      <c r="A25" s="671">
        <v>2018</v>
      </c>
      <c r="B25" s="672">
        <f t="shared" si="0"/>
        <v>39060</v>
      </c>
      <c r="C25" s="672">
        <f>ROUND(-SUM(C$18:C24)/($C$7+$A$11-$A25),0)</f>
        <v>-11690</v>
      </c>
      <c r="D25" s="672">
        <f>ROUND(-SUM(D$18:D24)/($C$7+$A$11-$A25),0)</f>
        <v>50750</v>
      </c>
      <c r="E25" s="672">
        <f t="shared" si="1"/>
        <v>-429670</v>
      </c>
      <c r="F25" s="672">
        <f t="shared" si="2"/>
        <v>128584</v>
      </c>
      <c r="G25" s="672">
        <f t="shared" si="2"/>
        <v>-558254</v>
      </c>
    </row>
    <row r="26" spans="1:7">
      <c r="A26" s="671">
        <v>2019</v>
      </c>
      <c r="B26" s="672">
        <f t="shared" si="0"/>
        <v>39061</v>
      </c>
      <c r="C26" s="672">
        <f>ROUND(-SUM(C$18:C25)/($C$7+$A$11-$A26),0)</f>
        <v>-11689</v>
      </c>
      <c r="D26" s="672">
        <f>ROUND(-SUM(D$18:D25)/($C$7+$A$11-$A26),0)</f>
        <v>50750</v>
      </c>
      <c r="E26" s="672">
        <f t="shared" si="1"/>
        <v>-390609</v>
      </c>
      <c r="F26" s="672">
        <f t="shared" si="2"/>
        <v>116895</v>
      </c>
      <c r="G26" s="672">
        <f t="shared" si="2"/>
        <v>-507504</v>
      </c>
    </row>
    <row r="27" spans="1:7">
      <c r="A27" s="671">
        <v>2020</v>
      </c>
      <c r="B27" s="672">
        <f t="shared" si="0"/>
        <v>39060</v>
      </c>
      <c r="C27" s="672">
        <f>ROUND(-SUM(C$18:C26)/($C$7+$A$11-$A27),0)</f>
        <v>-11690</v>
      </c>
      <c r="D27" s="672">
        <f>ROUND(-SUM(D$18:D26)/($C$7+$A$11-$A27),0)</f>
        <v>50750</v>
      </c>
      <c r="E27" s="672">
        <f t="shared" si="1"/>
        <v>-351549</v>
      </c>
      <c r="F27" s="672">
        <f t="shared" si="2"/>
        <v>105205</v>
      </c>
      <c r="G27" s="672">
        <f t="shared" si="2"/>
        <v>-456754</v>
      </c>
    </row>
    <row r="28" spans="1:7">
      <c r="A28" s="671">
        <v>2021</v>
      </c>
      <c r="B28" s="672">
        <f t="shared" si="0"/>
        <v>39061</v>
      </c>
      <c r="C28" s="672">
        <f>ROUND(-SUM(C$18:C27)/($C$7+$A$11-$A28),0)</f>
        <v>-11689</v>
      </c>
      <c r="D28" s="672">
        <f>ROUND(-SUM(D$18:D27)/($C$7+$A$11-$A28),0)</f>
        <v>50750</v>
      </c>
      <c r="E28" s="672">
        <f t="shared" si="1"/>
        <v>-312488</v>
      </c>
      <c r="F28" s="672">
        <f t="shared" si="2"/>
        <v>93516</v>
      </c>
      <c r="G28" s="672">
        <f t="shared" si="2"/>
        <v>-406004</v>
      </c>
    </row>
    <row r="29" spans="1:7">
      <c r="A29" s="671">
        <v>2022</v>
      </c>
      <c r="B29" s="672">
        <f t="shared" si="0"/>
        <v>39061</v>
      </c>
      <c r="C29" s="672">
        <f>ROUND(-SUM(C$18:C28)/($C$7+$A$11-$A29),0)</f>
        <v>-11690</v>
      </c>
      <c r="D29" s="672">
        <f>ROUND(-SUM(D$18:D28)/($C$7+$A$11-$A29),0)</f>
        <v>50751</v>
      </c>
      <c r="E29" s="672">
        <f t="shared" si="1"/>
        <v>-273427</v>
      </c>
      <c r="F29" s="672">
        <f t="shared" si="2"/>
        <v>81826</v>
      </c>
      <c r="G29" s="672">
        <f t="shared" si="2"/>
        <v>-355253</v>
      </c>
    </row>
    <row r="30" spans="1:7">
      <c r="A30" s="671">
        <v>2023</v>
      </c>
      <c r="B30" s="672">
        <f t="shared" si="0"/>
        <v>39061</v>
      </c>
      <c r="C30" s="672">
        <f>ROUND(-SUM(C$18:C29)/($C$7+$A$11-$A30),0)</f>
        <v>-11689</v>
      </c>
      <c r="D30" s="672">
        <f>ROUND(-SUM(D$18:D29)/($C$7+$A$11-$A30),0)</f>
        <v>50750</v>
      </c>
      <c r="E30" s="672">
        <f t="shared" si="1"/>
        <v>-234366</v>
      </c>
      <c r="F30" s="672">
        <f t="shared" si="2"/>
        <v>70137</v>
      </c>
      <c r="G30" s="672">
        <f t="shared" si="2"/>
        <v>-304503</v>
      </c>
    </row>
    <row r="31" spans="1:7">
      <c r="A31" s="671">
        <v>2024</v>
      </c>
      <c r="B31" s="672">
        <f t="shared" si="0"/>
        <v>39061</v>
      </c>
      <c r="C31" s="672">
        <f>ROUND(-SUM(C$18:C30)/($C$7+$A$11-$A31),0)</f>
        <v>-11690</v>
      </c>
      <c r="D31" s="672">
        <f>ROUND(-SUM(D$18:D30)/($C$7+$A$11-$A31),0)</f>
        <v>50751</v>
      </c>
      <c r="E31" s="672">
        <f t="shared" si="1"/>
        <v>-195305</v>
      </c>
      <c r="F31" s="672">
        <f t="shared" si="2"/>
        <v>58447</v>
      </c>
      <c r="G31" s="672">
        <f t="shared" si="2"/>
        <v>-253752</v>
      </c>
    </row>
    <row r="32" spans="1:7">
      <c r="A32" s="671">
        <v>2025</v>
      </c>
      <c r="B32" s="672">
        <f t="shared" si="0"/>
        <v>39061</v>
      </c>
      <c r="C32" s="672">
        <f>ROUND(-SUM(C$18:C31)/($C$7+$A$11-$A32),0)</f>
        <v>-11689</v>
      </c>
      <c r="D32" s="672">
        <f>ROUND(-SUM(D$18:D31)/($C$7+$A$11-$A32),0)</f>
        <v>50750</v>
      </c>
      <c r="E32" s="672">
        <f t="shared" si="1"/>
        <v>-156244</v>
      </c>
      <c r="F32" s="672">
        <f t="shared" si="2"/>
        <v>46758</v>
      </c>
      <c r="G32" s="672">
        <f t="shared" si="2"/>
        <v>-203002</v>
      </c>
    </row>
    <row r="33" spans="1:7">
      <c r="A33" s="671">
        <v>2026</v>
      </c>
      <c r="B33" s="672">
        <f t="shared" si="0"/>
        <v>39061</v>
      </c>
      <c r="C33" s="672">
        <f>ROUND(-SUM(C$18:C32)/($C$7+$A$11-$A33),0)</f>
        <v>-11690</v>
      </c>
      <c r="D33" s="672">
        <f>ROUND(-SUM(D$18:D32)/($C$7+$A$11-$A33),0)</f>
        <v>50751</v>
      </c>
      <c r="E33" s="672">
        <f t="shared" si="1"/>
        <v>-117183</v>
      </c>
      <c r="F33" s="672">
        <f t="shared" si="2"/>
        <v>35068</v>
      </c>
      <c r="G33" s="672">
        <f t="shared" si="2"/>
        <v>-152251</v>
      </c>
    </row>
    <row r="34" spans="1:7">
      <c r="A34" s="671">
        <v>2027</v>
      </c>
      <c r="B34" s="672">
        <f t="shared" si="0"/>
        <v>39061</v>
      </c>
      <c r="C34" s="672">
        <f>ROUND(-SUM(C$18:C33)/($C$7+$A$11-$A34),0)</f>
        <v>-11689</v>
      </c>
      <c r="D34" s="672">
        <f>ROUND(-SUM(D$18:D33)/($C$7+$A$11-$A34),0)</f>
        <v>50750</v>
      </c>
      <c r="E34" s="672">
        <f t="shared" si="1"/>
        <v>-78122</v>
      </c>
      <c r="F34" s="672">
        <f t="shared" si="2"/>
        <v>23379</v>
      </c>
      <c r="G34" s="672">
        <f t="shared" si="2"/>
        <v>-101501</v>
      </c>
    </row>
    <row r="35" spans="1:7">
      <c r="A35" s="671">
        <v>2028</v>
      </c>
      <c r="B35" s="672">
        <f t="shared" si="0"/>
        <v>39061</v>
      </c>
      <c r="C35" s="672">
        <f>ROUND(-SUM(C$18:C34)/($C$7+$A$11-$A35),0)</f>
        <v>-11690</v>
      </c>
      <c r="D35" s="672">
        <f>ROUND(-SUM(D$18:D34)/($C$7+$A$11-$A35),0)</f>
        <v>50751</v>
      </c>
      <c r="E35" s="672">
        <f t="shared" si="1"/>
        <v>-39061</v>
      </c>
      <c r="F35" s="672">
        <f t="shared" si="2"/>
        <v>11689</v>
      </c>
      <c r="G35" s="672">
        <f t="shared" si="2"/>
        <v>-50750</v>
      </c>
    </row>
    <row r="36" spans="1:7">
      <c r="A36" s="671">
        <v>2029</v>
      </c>
      <c r="B36" s="672">
        <f t="shared" si="0"/>
        <v>39061</v>
      </c>
      <c r="C36" s="672">
        <f>ROUND(-SUM(C$18:C35)/($C$7+$A$11-$A36),0)</f>
        <v>-11689</v>
      </c>
      <c r="D36" s="672">
        <f>ROUND(-SUM(D$18:D35)/($C$7+$A$11-$A36),0)</f>
        <v>50750</v>
      </c>
      <c r="E36" s="672">
        <f t="shared" si="1"/>
        <v>0</v>
      </c>
      <c r="F36" s="672">
        <f t="shared" ref="F36:G36" si="3">+F35+C36</f>
        <v>0</v>
      </c>
      <c r="G36" s="672">
        <f t="shared" si="3"/>
        <v>0</v>
      </c>
    </row>
    <row r="40" spans="1:7">
      <c r="A40" s="672" t="s">
        <v>770</v>
      </c>
    </row>
    <row r="41" spans="1:7">
      <c r="A41" s="672" t="s">
        <v>771</v>
      </c>
    </row>
    <row r="42" spans="1:7">
      <c r="A42" s="671" t="s">
        <v>772</v>
      </c>
    </row>
    <row r="43" spans="1:7">
      <c r="A43" s="671" t="s">
        <v>773</v>
      </c>
    </row>
  </sheetData>
  <printOptions gridLines="1"/>
  <pageMargins left="1.01" right="0.25" top="1" bottom="1" header="0.5" footer="0.5"/>
  <pageSetup scale="93" orientation="portrait" r:id="rId1"/>
  <headerFooter alignWithMargins="0">
    <oddHeader>&amp;R&amp;D  &amp;T</oddHeader>
    <oddFooter>&amp;L&amp;Z&amp;F</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7"/>
  <sheetViews>
    <sheetView zoomScaleNormal="100" workbookViewId="0">
      <pane xSplit="2" ySplit="2" topLeftCell="C3" activePane="bottomRight" state="frozen"/>
      <selection pane="topRight"/>
      <selection pane="bottomLeft"/>
      <selection pane="bottomRight"/>
    </sheetView>
  </sheetViews>
  <sheetFormatPr defaultRowHeight="12.75"/>
  <cols>
    <col min="1" max="1" width="57.140625" style="689" bestFit="1" customWidth="1"/>
    <col min="2" max="2" width="12.140625" style="689" customWidth="1"/>
    <col min="3" max="3" width="14.140625" style="689" customWidth="1"/>
    <col min="4" max="4" width="12.85546875" style="689" customWidth="1"/>
    <col min="5" max="5" width="11.42578125" style="689" customWidth="1"/>
    <col min="6" max="6" width="2.28515625" style="689" customWidth="1"/>
    <col min="7" max="7" width="12.85546875" style="689" customWidth="1"/>
    <col min="8" max="8" width="11.85546875" style="689" customWidth="1"/>
    <col min="9" max="9" width="1.7109375" style="689" customWidth="1"/>
    <col min="10" max="10" width="8.28515625" style="689" customWidth="1"/>
    <col min="11" max="11" width="13" style="689" customWidth="1"/>
    <col min="12" max="12" width="11.140625" style="689" customWidth="1"/>
    <col min="13" max="13" width="4.42578125" style="689" customWidth="1"/>
    <col min="14" max="14" width="9.140625" style="689"/>
    <col min="15" max="15" width="10.28515625" style="689" customWidth="1"/>
    <col min="16" max="16" width="11" style="689" customWidth="1"/>
    <col min="17" max="17" width="7.5703125" style="689" customWidth="1"/>
    <col min="18" max="18" width="9.140625" style="689"/>
    <col min="19" max="19" width="11.7109375" style="689" customWidth="1"/>
    <col min="20" max="20" width="12.140625" style="689" bestFit="1" customWidth="1"/>
    <col min="21" max="21" width="7.5703125" style="689" customWidth="1"/>
    <col min="22" max="22" width="9.140625" style="689"/>
    <col min="23" max="23" width="11.7109375" style="689" customWidth="1"/>
    <col min="24" max="24" width="12.140625" style="689" bestFit="1" customWidth="1"/>
    <col min="25" max="25" width="7.5703125" style="689" customWidth="1"/>
    <col min="26" max="26" width="9.140625" style="689"/>
    <col min="27" max="27" width="11.42578125" style="689" customWidth="1"/>
    <col min="28" max="28" width="9.140625" style="689"/>
    <col min="29" max="29" width="10.28515625" style="689" bestFit="1" customWidth="1"/>
    <col min="30" max="30" width="12" style="689" customWidth="1"/>
    <col min="31" max="32" width="9.140625" style="689"/>
    <col min="33" max="33" width="12" style="689" customWidth="1"/>
    <col min="34" max="34" width="11" style="689" customWidth="1"/>
    <col min="35" max="35" width="9.140625" style="689"/>
    <col min="36" max="36" width="12.42578125" style="689" customWidth="1"/>
    <col min="37" max="256" width="9.140625" style="689"/>
    <col min="257" max="257" width="57.140625" style="689" bestFit="1" customWidth="1"/>
    <col min="258" max="258" width="12.140625" style="689" customWidth="1"/>
    <col min="259" max="259" width="14.140625" style="689" customWidth="1"/>
    <col min="260" max="260" width="12.85546875" style="689" customWidth="1"/>
    <col min="261" max="261" width="11.42578125" style="689" customWidth="1"/>
    <col min="262" max="262" width="2.28515625" style="689" customWidth="1"/>
    <col min="263" max="263" width="12.85546875" style="689" customWidth="1"/>
    <col min="264" max="264" width="11.85546875" style="689" customWidth="1"/>
    <col min="265" max="265" width="1.7109375" style="689" customWidth="1"/>
    <col min="266" max="266" width="8.28515625" style="689" customWidth="1"/>
    <col min="267" max="267" width="13" style="689" customWidth="1"/>
    <col min="268" max="268" width="11.140625" style="689" customWidth="1"/>
    <col min="269" max="269" width="4.42578125" style="689" customWidth="1"/>
    <col min="270" max="270" width="9.140625" style="689"/>
    <col min="271" max="271" width="10.28515625" style="689" customWidth="1"/>
    <col min="272" max="272" width="11" style="689" customWidth="1"/>
    <col min="273" max="273" width="7.5703125" style="689" customWidth="1"/>
    <col min="274" max="274" width="9.140625" style="689"/>
    <col min="275" max="275" width="11.7109375" style="689" customWidth="1"/>
    <col min="276" max="276" width="12.140625" style="689" bestFit="1" customWidth="1"/>
    <col min="277" max="277" width="7.5703125" style="689" customWidth="1"/>
    <col min="278" max="278" width="9.140625" style="689"/>
    <col min="279" max="279" width="11.7109375" style="689" customWidth="1"/>
    <col min="280" max="280" width="12.140625" style="689" bestFit="1" customWidth="1"/>
    <col min="281" max="281" width="7.5703125" style="689" customWidth="1"/>
    <col min="282" max="282" width="9.140625" style="689"/>
    <col min="283" max="283" width="11.42578125" style="689" customWidth="1"/>
    <col min="284" max="284" width="9.140625" style="689"/>
    <col min="285" max="285" width="10.28515625" style="689" bestFit="1" customWidth="1"/>
    <col min="286" max="286" width="12" style="689" customWidth="1"/>
    <col min="287" max="288" width="9.140625" style="689"/>
    <col min="289" max="289" width="12" style="689" customWidth="1"/>
    <col min="290" max="290" width="11" style="689" customWidth="1"/>
    <col min="291" max="291" width="9.140625" style="689"/>
    <col min="292" max="292" width="12.42578125" style="689" customWidth="1"/>
    <col min="293" max="512" width="9.140625" style="689"/>
    <col min="513" max="513" width="57.140625" style="689" bestFit="1" customWidth="1"/>
    <col min="514" max="514" width="12.140625" style="689" customWidth="1"/>
    <col min="515" max="515" width="14.140625" style="689" customWidth="1"/>
    <col min="516" max="516" width="12.85546875" style="689" customWidth="1"/>
    <col min="517" max="517" width="11.42578125" style="689" customWidth="1"/>
    <col min="518" max="518" width="2.28515625" style="689" customWidth="1"/>
    <col min="519" max="519" width="12.85546875" style="689" customWidth="1"/>
    <col min="520" max="520" width="11.85546875" style="689" customWidth="1"/>
    <col min="521" max="521" width="1.7109375" style="689" customWidth="1"/>
    <col min="522" max="522" width="8.28515625" style="689" customWidth="1"/>
    <col min="523" max="523" width="13" style="689" customWidth="1"/>
    <col min="524" max="524" width="11.140625" style="689" customWidth="1"/>
    <col min="525" max="525" width="4.42578125" style="689" customWidth="1"/>
    <col min="526" max="526" width="9.140625" style="689"/>
    <col min="527" max="527" width="10.28515625" style="689" customWidth="1"/>
    <col min="528" max="528" width="11" style="689" customWidth="1"/>
    <col min="529" max="529" width="7.5703125" style="689" customWidth="1"/>
    <col min="530" max="530" width="9.140625" style="689"/>
    <col min="531" max="531" width="11.7109375" style="689" customWidth="1"/>
    <col min="532" max="532" width="12.140625" style="689" bestFit="1" customWidth="1"/>
    <col min="533" max="533" width="7.5703125" style="689" customWidth="1"/>
    <col min="534" max="534" width="9.140625" style="689"/>
    <col min="535" max="535" width="11.7109375" style="689" customWidth="1"/>
    <col min="536" max="536" width="12.140625" style="689" bestFit="1" customWidth="1"/>
    <col min="537" max="537" width="7.5703125" style="689" customWidth="1"/>
    <col min="538" max="538" width="9.140625" style="689"/>
    <col min="539" max="539" width="11.42578125" style="689" customWidth="1"/>
    <col min="540" max="540" width="9.140625" style="689"/>
    <col min="541" max="541" width="10.28515625" style="689" bestFit="1" customWidth="1"/>
    <col min="542" max="542" width="12" style="689" customWidth="1"/>
    <col min="543" max="544" width="9.140625" style="689"/>
    <col min="545" max="545" width="12" style="689" customWidth="1"/>
    <col min="546" max="546" width="11" style="689" customWidth="1"/>
    <col min="547" max="547" width="9.140625" style="689"/>
    <col min="548" max="548" width="12.42578125" style="689" customWidth="1"/>
    <col min="549" max="768" width="9.140625" style="689"/>
    <col min="769" max="769" width="57.140625" style="689" bestFit="1" customWidth="1"/>
    <col min="770" max="770" width="12.140625" style="689" customWidth="1"/>
    <col min="771" max="771" width="14.140625" style="689" customWidth="1"/>
    <col min="772" max="772" width="12.85546875" style="689" customWidth="1"/>
    <col min="773" max="773" width="11.42578125" style="689" customWidth="1"/>
    <col min="774" max="774" width="2.28515625" style="689" customWidth="1"/>
    <col min="775" max="775" width="12.85546875" style="689" customWidth="1"/>
    <col min="776" max="776" width="11.85546875" style="689" customWidth="1"/>
    <col min="777" max="777" width="1.7109375" style="689" customWidth="1"/>
    <col min="778" max="778" width="8.28515625" style="689" customWidth="1"/>
    <col min="779" max="779" width="13" style="689" customWidth="1"/>
    <col min="780" max="780" width="11.140625" style="689" customWidth="1"/>
    <col min="781" max="781" width="4.42578125" style="689" customWidth="1"/>
    <col min="782" max="782" width="9.140625" style="689"/>
    <col min="783" max="783" width="10.28515625" style="689" customWidth="1"/>
    <col min="784" max="784" width="11" style="689" customWidth="1"/>
    <col min="785" max="785" width="7.5703125" style="689" customWidth="1"/>
    <col min="786" max="786" width="9.140625" style="689"/>
    <col min="787" max="787" width="11.7109375" style="689" customWidth="1"/>
    <col min="788" max="788" width="12.140625" style="689" bestFit="1" customWidth="1"/>
    <col min="789" max="789" width="7.5703125" style="689" customWidth="1"/>
    <col min="790" max="790" width="9.140625" style="689"/>
    <col min="791" max="791" width="11.7109375" style="689" customWidth="1"/>
    <col min="792" max="792" width="12.140625" style="689" bestFit="1" customWidth="1"/>
    <col min="793" max="793" width="7.5703125" style="689" customWidth="1"/>
    <col min="794" max="794" width="9.140625" style="689"/>
    <col min="795" max="795" width="11.42578125" style="689" customWidth="1"/>
    <col min="796" max="796" width="9.140625" style="689"/>
    <col min="797" max="797" width="10.28515625" style="689" bestFit="1" customWidth="1"/>
    <col min="798" max="798" width="12" style="689" customWidth="1"/>
    <col min="799" max="800" width="9.140625" style="689"/>
    <col min="801" max="801" width="12" style="689" customWidth="1"/>
    <col min="802" max="802" width="11" style="689" customWidth="1"/>
    <col min="803" max="803" width="9.140625" style="689"/>
    <col min="804" max="804" width="12.42578125" style="689" customWidth="1"/>
    <col min="805" max="1024" width="9.140625" style="689"/>
    <col min="1025" max="1025" width="57.140625" style="689" bestFit="1" customWidth="1"/>
    <col min="1026" max="1026" width="12.140625" style="689" customWidth="1"/>
    <col min="1027" max="1027" width="14.140625" style="689" customWidth="1"/>
    <col min="1028" max="1028" width="12.85546875" style="689" customWidth="1"/>
    <col min="1029" max="1029" width="11.42578125" style="689" customWidth="1"/>
    <col min="1030" max="1030" width="2.28515625" style="689" customWidth="1"/>
    <col min="1031" max="1031" width="12.85546875" style="689" customWidth="1"/>
    <col min="1032" max="1032" width="11.85546875" style="689" customWidth="1"/>
    <col min="1033" max="1033" width="1.7109375" style="689" customWidth="1"/>
    <col min="1034" max="1034" width="8.28515625" style="689" customWidth="1"/>
    <col min="1035" max="1035" width="13" style="689" customWidth="1"/>
    <col min="1036" max="1036" width="11.140625" style="689" customWidth="1"/>
    <col min="1037" max="1037" width="4.42578125" style="689" customWidth="1"/>
    <col min="1038" max="1038" width="9.140625" style="689"/>
    <col min="1039" max="1039" width="10.28515625" style="689" customWidth="1"/>
    <col min="1040" max="1040" width="11" style="689" customWidth="1"/>
    <col min="1041" max="1041" width="7.5703125" style="689" customWidth="1"/>
    <col min="1042" max="1042" width="9.140625" style="689"/>
    <col min="1043" max="1043" width="11.7109375" style="689" customWidth="1"/>
    <col min="1044" max="1044" width="12.140625" style="689" bestFit="1" customWidth="1"/>
    <col min="1045" max="1045" width="7.5703125" style="689" customWidth="1"/>
    <col min="1046" max="1046" width="9.140625" style="689"/>
    <col min="1047" max="1047" width="11.7109375" style="689" customWidth="1"/>
    <col min="1048" max="1048" width="12.140625" style="689" bestFit="1" customWidth="1"/>
    <col min="1049" max="1049" width="7.5703125" style="689" customWidth="1"/>
    <col min="1050" max="1050" width="9.140625" style="689"/>
    <col min="1051" max="1051" width="11.42578125" style="689" customWidth="1"/>
    <col min="1052" max="1052" width="9.140625" style="689"/>
    <col min="1053" max="1053" width="10.28515625" style="689" bestFit="1" customWidth="1"/>
    <col min="1054" max="1054" width="12" style="689" customWidth="1"/>
    <col min="1055" max="1056" width="9.140625" style="689"/>
    <col min="1057" max="1057" width="12" style="689" customWidth="1"/>
    <col min="1058" max="1058" width="11" style="689" customWidth="1"/>
    <col min="1059" max="1059" width="9.140625" style="689"/>
    <col min="1060" max="1060" width="12.42578125" style="689" customWidth="1"/>
    <col min="1061" max="1280" width="9.140625" style="689"/>
    <col min="1281" max="1281" width="57.140625" style="689" bestFit="1" customWidth="1"/>
    <col min="1282" max="1282" width="12.140625" style="689" customWidth="1"/>
    <col min="1283" max="1283" width="14.140625" style="689" customWidth="1"/>
    <col min="1284" max="1284" width="12.85546875" style="689" customWidth="1"/>
    <col min="1285" max="1285" width="11.42578125" style="689" customWidth="1"/>
    <col min="1286" max="1286" width="2.28515625" style="689" customWidth="1"/>
    <col min="1287" max="1287" width="12.85546875" style="689" customWidth="1"/>
    <col min="1288" max="1288" width="11.85546875" style="689" customWidth="1"/>
    <col min="1289" max="1289" width="1.7109375" style="689" customWidth="1"/>
    <col min="1290" max="1290" width="8.28515625" style="689" customWidth="1"/>
    <col min="1291" max="1291" width="13" style="689" customWidth="1"/>
    <col min="1292" max="1292" width="11.140625" style="689" customWidth="1"/>
    <col min="1293" max="1293" width="4.42578125" style="689" customWidth="1"/>
    <col min="1294" max="1294" width="9.140625" style="689"/>
    <col min="1295" max="1295" width="10.28515625" style="689" customWidth="1"/>
    <col min="1296" max="1296" width="11" style="689" customWidth="1"/>
    <col min="1297" max="1297" width="7.5703125" style="689" customWidth="1"/>
    <col min="1298" max="1298" width="9.140625" style="689"/>
    <col min="1299" max="1299" width="11.7109375" style="689" customWidth="1"/>
    <col min="1300" max="1300" width="12.140625" style="689" bestFit="1" customWidth="1"/>
    <col min="1301" max="1301" width="7.5703125" style="689" customWidth="1"/>
    <col min="1302" max="1302" width="9.140625" style="689"/>
    <col min="1303" max="1303" width="11.7109375" style="689" customWidth="1"/>
    <col min="1304" max="1304" width="12.140625" style="689" bestFit="1" customWidth="1"/>
    <col min="1305" max="1305" width="7.5703125" style="689" customWidth="1"/>
    <col min="1306" max="1306" width="9.140625" style="689"/>
    <col min="1307" max="1307" width="11.42578125" style="689" customWidth="1"/>
    <col min="1308" max="1308" width="9.140625" style="689"/>
    <col min="1309" max="1309" width="10.28515625" style="689" bestFit="1" customWidth="1"/>
    <col min="1310" max="1310" width="12" style="689" customWidth="1"/>
    <col min="1311" max="1312" width="9.140625" style="689"/>
    <col min="1313" max="1313" width="12" style="689" customWidth="1"/>
    <col min="1314" max="1314" width="11" style="689" customWidth="1"/>
    <col min="1315" max="1315" width="9.140625" style="689"/>
    <col min="1316" max="1316" width="12.42578125" style="689" customWidth="1"/>
    <col min="1317" max="1536" width="9.140625" style="689"/>
    <col min="1537" max="1537" width="57.140625" style="689" bestFit="1" customWidth="1"/>
    <col min="1538" max="1538" width="12.140625" style="689" customWidth="1"/>
    <col min="1539" max="1539" width="14.140625" style="689" customWidth="1"/>
    <col min="1540" max="1540" width="12.85546875" style="689" customWidth="1"/>
    <col min="1541" max="1541" width="11.42578125" style="689" customWidth="1"/>
    <col min="1542" max="1542" width="2.28515625" style="689" customWidth="1"/>
    <col min="1543" max="1543" width="12.85546875" style="689" customWidth="1"/>
    <col min="1544" max="1544" width="11.85546875" style="689" customWidth="1"/>
    <col min="1545" max="1545" width="1.7109375" style="689" customWidth="1"/>
    <col min="1546" max="1546" width="8.28515625" style="689" customWidth="1"/>
    <col min="1547" max="1547" width="13" style="689" customWidth="1"/>
    <col min="1548" max="1548" width="11.140625" style="689" customWidth="1"/>
    <col min="1549" max="1549" width="4.42578125" style="689" customWidth="1"/>
    <col min="1550" max="1550" width="9.140625" style="689"/>
    <col min="1551" max="1551" width="10.28515625" style="689" customWidth="1"/>
    <col min="1552" max="1552" width="11" style="689" customWidth="1"/>
    <col min="1553" max="1553" width="7.5703125" style="689" customWidth="1"/>
    <col min="1554" max="1554" width="9.140625" style="689"/>
    <col min="1555" max="1555" width="11.7109375" style="689" customWidth="1"/>
    <col min="1556" max="1556" width="12.140625" style="689" bestFit="1" customWidth="1"/>
    <col min="1557" max="1557" width="7.5703125" style="689" customWidth="1"/>
    <col min="1558" max="1558" width="9.140625" style="689"/>
    <col min="1559" max="1559" width="11.7109375" style="689" customWidth="1"/>
    <col min="1560" max="1560" width="12.140625" style="689" bestFit="1" customWidth="1"/>
    <col min="1561" max="1561" width="7.5703125" style="689" customWidth="1"/>
    <col min="1562" max="1562" width="9.140625" style="689"/>
    <col min="1563" max="1563" width="11.42578125" style="689" customWidth="1"/>
    <col min="1564" max="1564" width="9.140625" style="689"/>
    <col min="1565" max="1565" width="10.28515625" style="689" bestFit="1" customWidth="1"/>
    <col min="1566" max="1566" width="12" style="689" customWidth="1"/>
    <col min="1567" max="1568" width="9.140625" style="689"/>
    <col min="1569" max="1569" width="12" style="689" customWidth="1"/>
    <col min="1570" max="1570" width="11" style="689" customWidth="1"/>
    <col min="1571" max="1571" width="9.140625" style="689"/>
    <col min="1572" max="1572" width="12.42578125" style="689" customWidth="1"/>
    <col min="1573" max="1792" width="9.140625" style="689"/>
    <col min="1793" max="1793" width="57.140625" style="689" bestFit="1" customWidth="1"/>
    <col min="1794" max="1794" width="12.140625" style="689" customWidth="1"/>
    <col min="1795" max="1795" width="14.140625" style="689" customWidth="1"/>
    <col min="1796" max="1796" width="12.85546875" style="689" customWidth="1"/>
    <col min="1797" max="1797" width="11.42578125" style="689" customWidth="1"/>
    <col min="1798" max="1798" width="2.28515625" style="689" customWidth="1"/>
    <col min="1799" max="1799" width="12.85546875" style="689" customWidth="1"/>
    <col min="1800" max="1800" width="11.85546875" style="689" customWidth="1"/>
    <col min="1801" max="1801" width="1.7109375" style="689" customWidth="1"/>
    <col min="1802" max="1802" width="8.28515625" style="689" customWidth="1"/>
    <col min="1803" max="1803" width="13" style="689" customWidth="1"/>
    <col min="1804" max="1804" width="11.140625" style="689" customWidth="1"/>
    <col min="1805" max="1805" width="4.42578125" style="689" customWidth="1"/>
    <col min="1806" max="1806" width="9.140625" style="689"/>
    <col min="1807" max="1807" width="10.28515625" style="689" customWidth="1"/>
    <col min="1808" max="1808" width="11" style="689" customWidth="1"/>
    <col min="1809" max="1809" width="7.5703125" style="689" customWidth="1"/>
    <col min="1810" max="1810" width="9.140625" style="689"/>
    <col min="1811" max="1811" width="11.7109375" style="689" customWidth="1"/>
    <col min="1812" max="1812" width="12.140625" style="689" bestFit="1" customWidth="1"/>
    <col min="1813" max="1813" width="7.5703125" style="689" customWidth="1"/>
    <col min="1814" max="1814" width="9.140625" style="689"/>
    <col min="1815" max="1815" width="11.7109375" style="689" customWidth="1"/>
    <col min="1816" max="1816" width="12.140625" style="689" bestFit="1" customWidth="1"/>
    <col min="1817" max="1817" width="7.5703125" style="689" customWidth="1"/>
    <col min="1818" max="1818" width="9.140625" style="689"/>
    <col min="1819" max="1819" width="11.42578125" style="689" customWidth="1"/>
    <col min="1820" max="1820" width="9.140625" style="689"/>
    <col min="1821" max="1821" width="10.28515625" style="689" bestFit="1" customWidth="1"/>
    <col min="1822" max="1822" width="12" style="689" customWidth="1"/>
    <col min="1823" max="1824" width="9.140625" style="689"/>
    <col min="1825" max="1825" width="12" style="689" customWidth="1"/>
    <col min="1826" max="1826" width="11" style="689" customWidth="1"/>
    <col min="1827" max="1827" width="9.140625" style="689"/>
    <col min="1828" max="1828" width="12.42578125" style="689" customWidth="1"/>
    <col min="1829" max="2048" width="9.140625" style="689"/>
    <col min="2049" max="2049" width="57.140625" style="689" bestFit="1" customWidth="1"/>
    <col min="2050" max="2050" width="12.140625" style="689" customWidth="1"/>
    <col min="2051" max="2051" width="14.140625" style="689" customWidth="1"/>
    <col min="2052" max="2052" width="12.85546875" style="689" customWidth="1"/>
    <col min="2053" max="2053" width="11.42578125" style="689" customWidth="1"/>
    <col min="2054" max="2054" width="2.28515625" style="689" customWidth="1"/>
    <col min="2055" max="2055" width="12.85546875" style="689" customWidth="1"/>
    <col min="2056" max="2056" width="11.85546875" style="689" customWidth="1"/>
    <col min="2057" max="2057" width="1.7109375" style="689" customWidth="1"/>
    <col min="2058" max="2058" width="8.28515625" style="689" customWidth="1"/>
    <col min="2059" max="2059" width="13" style="689" customWidth="1"/>
    <col min="2060" max="2060" width="11.140625" style="689" customWidth="1"/>
    <col min="2061" max="2061" width="4.42578125" style="689" customWidth="1"/>
    <col min="2062" max="2062" width="9.140625" style="689"/>
    <col min="2063" max="2063" width="10.28515625" style="689" customWidth="1"/>
    <col min="2064" max="2064" width="11" style="689" customWidth="1"/>
    <col min="2065" max="2065" width="7.5703125" style="689" customWidth="1"/>
    <col min="2066" max="2066" width="9.140625" style="689"/>
    <col min="2067" max="2067" width="11.7109375" style="689" customWidth="1"/>
    <col min="2068" max="2068" width="12.140625" style="689" bestFit="1" customWidth="1"/>
    <col min="2069" max="2069" width="7.5703125" style="689" customWidth="1"/>
    <col min="2070" max="2070" width="9.140625" style="689"/>
    <col min="2071" max="2071" width="11.7109375" style="689" customWidth="1"/>
    <col min="2072" max="2072" width="12.140625" style="689" bestFit="1" customWidth="1"/>
    <col min="2073" max="2073" width="7.5703125" style="689" customWidth="1"/>
    <col min="2074" max="2074" width="9.140625" style="689"/>
    <col min="2075" max="2075" width="11.42578125" style="689" customWidth="1"/>
    <col min="2076" max="2076" width="9.140625" style="689"/>
    <col min="2077" max="2077" width="10.28515625" style="689" bestFit="1" customWidth="1"/>
    <col min="2078" max="2078" width="12" style="689" customWidth="1"/>
    <col min="2079" max="2080" width="9.140625" style="689"/>
    <col min="2081" max="2081" width="12" style="689" customWidth="1"/>
    <col min="2082" max="2082" width="11" style="689" customWidth="1"/>
    <col min="2083" max="2083" width="9.140625" style="689"/>
    <col min="2084" max="2084" width="12.42578125" style="689" customWidth="1"/>
    <col min="2085" max="2304" width="9.140625" style="689"/>
    <col min="2305" max="2305" width="57.140625" style="689" bestFit="1" customWidth="1"/>
    <col min="2306" max="2306" width="12.140625" style="689" customWidth="1"/>
    <col min="2307" max="2307" width="14.140625" style="689" customWidth="1"/>
    <col min="2308" max="2308" width="12.85546875" style="689" customWidth="1"/>
    <col min="2309" max="2309" width="11.42578125" style="689" customWidth="1"/>
    <col min="2310" max="2310" width="2.28515625" style="689" customWidth="1"/>
    <col min="2311" max="2311" width="12.85546875" style="689" customWidth="1"/>
    <col min="2312" max="2312" width="11.85546875" style="689" customWidth="1"/>
    <col min="2313" max="2313" width="1.7109375" style="689" customWidth="1"/>
    <col min="2314" max="2314" width="8.28515625" style="689" customWidth="1"/>
    <col min="2315" max="2315" width="13" style="689" customWidth="1"/>
    <col min="2316" max="2316" width="11.140625" style="689" customWidth="1"/>
    <col min="2317" max="2317" width="4.42578125" style="689" customWidth="1"/>
    <col min="2318" max="2318" width="9.140625" style="689"/>
    <col min="2319" max="2319" width="10.28515625" style="689" customWidth="1"/>
    <col min="2320" max="2320" width="11" style="689" customWidth="1"/>
    <col min="2321" max="2321" width="7.5703125" style="689" customWidth="1"/>
    <col min="2322" max="2322" width="9.140625" style="689"/>
    <col min="2323" max="2323" width="11.7109375" style="689" customWidth="1"/>
    <col min="2324" max="2324" width="12.140625" style="689" bestFit="1" customWidth="1"/>
    <col min="2325" max="2325" width="7.5703125" style="689" customWidth="1"/>
    <col min="2326" max="2326" width="9.140625" style="689"/>
    <col min="2327" max="2327" width="11.7109375" style="689" customWidth="1"/>
    <col min="2328" max="2328" width="12.140625" style="689" bestFit="1" customWidth="1"/>
    <col min="2329" max="2329" width="7.5703125" style="689" customWidth="1"/>
    <col min="2330" max="2330" width="9.140625" style="689"/>
    <col min="2331" max="2331" width="11.42578125" style="689" customWidth="1"/>
    <col min="2332" max="2332" width="9.140625" style="689"/>
    <col min="2333" max="2333" width="10.28515625" style="689" bestFit="1" customWidth="1"/>
    <col min="2334" max="2334" width="12" style="689" customWidth="1"/>
    <col min="2335" max="2336" width="9.140625" style="689"/>
    <col min="2337" max="2337" width="12" style="689" customWidth="1"/>
    <col min="2338" max="2338" width="11" style="689" customWidth="1"/>
    <col min="2339" max="2339" width="9.140625" style="689"/>
    <col min="2340" max="2340" width="12.42578125" style="689" customWidth="1"/>
    <col min="2341" max="2560" width="9.140625" style="689"/>
    <col min="2561" max="2561" width="57.140625" style="689" bestFit="1" customWidth="1"/>
    <col min="2562" max="2562" width="12.140625" style="689" customWidth="1"/>
    <col min="2563" max="2563" width="14.140625" style="689" customWidth="1"/>
    <col min="2564" max="2564" width="12.85546875" style="689" customWidth="1"/>
    <col min="2565" max="2565" width="11.42578125" style="689" customWidth="1"/>
    <col min="2566" max="2566" width="2.28515625" style="689" customWidth="1"/>
    <col min="2567" max="2567" width="12.85546875" style="689" customWidth="1"/>
    <col min="2568" max="2568" width="11.85546875" style="689" customWidth="1"/>
    <col min="2569" max="2569" width="1.7109375" style="689" customWidth="1"/>
    <col min="2570" max="2570" width="8.28515625" style="689" customWidth="1"/>
    <col min="2571" max="2571" width="13" style="689" customWidth="1"/>
    <col min="2572" max="2572" width="11.140625" style="689" customWidth="1"/>
    <col min="2573" max="2573" width="4.42578125" style="689" customWidth="1"/>
    <col min="2574" max="2574" width="9.140625" style="689"/>
    <col min="2575" max="2575" width="10.28515625" style="689" customWidth="1"/>
    <col min="2576" max="2576" width="11" style="689" customWidth="1"/>
    <col min="2577" max="2577" width="7.5703125" style="689" customWidth="1"/>
    <col min="2578" max="2578" width="9.140625" style="689"/>
    <col min="2579" max="2579" width="11.7109375" style="689" customWidth="1"/>
    <col min="2580" max="2580" width="12.140625" style="689" bestFit="1" customWidth="1"/>
    <col min="2581" max="2581" width="7.5703125" style="689" customWidth="1"/>
    <col min="2582" max="2582" width="9.140625" style="689"/>
    <col min="2583" max="2583" width="11.7109375" style="689" customWidth="1"/>
    <col min="2584" max="2584" width="12.140625" style="689" bestFit="1" customWidth="1"/>
    <col min="2585" max="2585" width="7.5703125" style="689" customWidth="1"/>
    <col min="2586" max="2586" width="9.140625" style="689"/>
    <col min="2587" max="2587" width="11.42578125" style="689" customWidth="1"/>
    <col min="2588" max="2588" width="9.140625" style="689"/>
    <col min="2589" max="2589" width="10.28515625" style="689" bestFit="1" customWidth="1"/>
    <col min="2590" max="2590" width="12" style="689" customWidth="1"/>
    <col min="2591" max="2592" width="9.140625" style="689"/>
    <col min="2593" max="2593" width="12" style="689" customWidth="1"/>
    <col min="2594" max="2594" width="11" style="689" customWidth="1"/>
    <col min="2595" max="2595" width="9.140625" style="689"/>
    <col min="2596" max="2596" width="12.42578125" style="689" customWidth="1"/>
    <col min="2597" max="2816" width="9.140625" style="689"/>
    <col min="2817" max="2817" width="57.140625" style="689" bestFit="1" customWidth="1"/>
    <col min="2818" max="2818" width="12.140625" style="689" customWidth="1"/>
    <col min="2819" max="2819" width="14.140625" style="689" customWidth="1"/>
    <col min="2820" max="2820" width="12.85546875" style="689" customWidth="1"/>
    <col min="2821" max="2821" width="11.42578125" style="689" customWidth="1"/>
    <col min="2822" max="2822" width="2.28515625" style="689" customWidth="1"/>
    <col min="2823" max="2823" width="12.85546875" style="689" customWidth="1"/>
    <col min="2824" max="2824" width="11.85546875" style="689" customWidth="1"/>
    <col min="2825" max="2825" width="1.7109375" style="689" customWidth="1"/>
    <col min="2826" max="2826" width="8.28515625" style="689" customWidth="1"/>
    <col min="2827" max="2827" width="13" style="689" customWidth="1"/>
    <col min="2828" max="2828" width="11.140625" style="689" customWidth="1"/>
    <col min="2829" max="2829" width="4.42578125" style="689" customWidth="1"/>
    <col min="2830" max="2830" width="9.140625" style="689"/>
    <col min="2831" max="2831" width="10.28515625" style="689" customWidth="1"/>
    <col min="2832" max="2832" width="11" style="689" customWidth="1"/>
    <col min="2833" max="2833" width="7.5703125" style="689" customWidth="1"/>
    <col min="2834" max="2834" width="9.140625" style="689"/>
    <col min="2835" max="2835" width="11.7109375" style="689" customWidth="1"/>
    <col min="2836" max="2836" width="12.140625" style="689" bestFit="1" customWidth="1"/>
    <col min="2837" max="2837" width="7.5703125" style="689" customWidth="1"/>
    <col min="2838" max="2838" width="9.140625" style="689"/>
    <col min="2839" max="2839" width="11.7109375" style="689" customWidth="1"/>
    <col min="2840" max="2840" width="12.140625" style="689" bestFit="1" customWidth="1"/>
    <col min="2841" max="2841" width="7.5703125" style="689" customWidth="1"/>
    <col min="2842" max="2842" width="9.140625" style="689"/>
    <col min="2843" max="2843" width="11.42578125" style="689" customWidth="1"/>
    <col min="2844" max="2844" width="9.140625" style="689"/>
    <col min="2845" max="2845" width="10.28515625" style="689" bestFit="1" customWidth="1"/>
    <col min="2846" max="2846" width="12" style="689" customWidth="1"/>
    <col min="2847" max="2848" width="9.140625" style="689"/>
    <col min="2849" max="2849" width="12" style="689" customWidth="1"/>
    <col min="2850" max="2850" width="11" style="689" customWidth="1"/>
    <col min="2851" max="2851" width="9.140625" style="689"/>
    <col min="2852" max="2852" width="12.42578125" style="689" customWidth="1"/>
    <col min="2853" max="3072" width="9.140625" style="689"/>
    <col min="3073" max="3073" width="57.140625" style="689" bestFit="1" customWidth="1"/>
    <col min="3074" max="3074" width="12.140625" style="689" customWidth="1"/>
    <col min="3075" max="3075" width="14.140625" style="689" customWidth="1"/>
    <col min="3076" max="3076" width="12.85546875" style="689" customWidth="1"/>
    <col min="3077" max="3077" width="11.42578125" style="689" customWidth="1"/>
    <col min="3078" max="3078" width="2.28515625" style="689" customWidth="1"/>
    <col min="3079" max="3079" width="12.85546875" style="689" customWidth="1"/>
    <col min="3080" max="3080" width="11.85546875" style="689" customWidth="1"/>
    <col min="3081" max="3081" width="1.7109375" style="689" customWidth="1"/>
    <col min="3082" max="3082" width="8.28515625" style="689" customWidth="1"/>
    <col min="3083" max="3083" width="13" style="689" customWidth="1"/>
    <col min="3084" max="3084" width="11.140625" style="689" customWidth="1"/>
    <col min="3085" max="3085" width="4.42578125" style="689" customWidth="1"/>
    <col min="3086" max="3086" width="9.140625" style="689"/>
    <col min="3087" max="3087" width="10.28515625" style="689" customWidth="1"/>
    <col min="3088" max="3088" width="11" style="689" customWidth="1"/>
    <col min="3089" max="3089" width="7.5703125" style="689" customWidth="1"/>
    <col min="3090" max="3090" width="9.140625" style="689"/>
    <col min="3091" max="3091" width="11.7109375" style="689" customWidth="1"/>
    <col min="3092" max="3092" width="12.140625" style="689" bestFit="1" customWidth="1"/>
    <col min="3093" max="3093" width="7.5703125" style="689" customWidth="1"/>
    <col min="3094" max="3094" width="9.140625" style="689"/>
    <col min="3095" max="3095" width="11.7109375" style="689" customWidth="1"/>
    <col min="3096" max="3096" width="12.140625" style="689" bestFit="1" customWidth="1"/>
    <col min="3097" max="3097" width="7.5703125" style="689" customWidth="1"/>
    <col min="3098" max="3098" width="9.140625" style="689"/>
    <col min="3099" max="3099" width="11.42578125" style="689" customWidth="1"/>
    <col min="3100" max="3100" width="9.140625" style="689"/>
    <col min="3101" max="3101" width="10.28515625" style="689" bestFit="1" customWidth="1"/>
    <col min="3102" max="3102" width="12" style="689" customWidth="1"/>
    <col min="3103" max="3104" width="9.140625" style="689"/>
    <col min="3105" max="3105" width="12" style="689" customWidth="1"/>
    <col min="3106" max="3106" width="11" style="689" customWidth="1"/>
    <col min="3107" max="3107" width="9.140625" style="689"/>
    <col min="3108" max="3108" width="12.42578125" style="689" customWidth="1"/>
    <col min="3109" max="3328" width="9.140625" style="689"/>
    <col min="3329" max="3329" width="57.140625" style="689" bestFit="1" customWidth="1"/>
    <col min="3330" max="3330" width="12.140625" style="689" customWidth="1"/>
    <col min="3331" max="3331" width="14.140625" style="689" customWidth="1"/>
    <col min="3332" max="3332" width="12.85546875" style="689" customWidth="1"/>
    <col min="3333" max="3333" width="11.42578125" style="689" customWidth="1"/>
    <col min="3334" max="3334" width="2.28515625" style="689" customWidth="1"/>
    <col min="3335" max="3335" width="12.85546875" style="689" customWidth="1"/>
    <col min="3336" max="3336" width="11.85546875" style="689" customWidth="1"/>
    <col min="3337" max="3337" width="1.7109375" style="689" customWidth="1"/>
    <col min="3338" max="3338" width="8.28515625" style="689" customWidth="1"/>
    <col min="3339" max="3339" width="13" style="689" customWidth="1"/>
    <col min="3340" max="3340" width="11.140625" style="689" customWidth="1"/>
    <col min="3341" max="3341" width="4.42578125" style="689" customWidth="1"/>
    <col min="3342" max="3342" width="9.140625" style="689"/>
    <col min="3343" max="3343" width="10.28515625" style="689" customWidth="1"/>
    <col min="3344" max="3344" width="11" style="689" customWidth="1"/>
    <col min="3345" max="3345" width="7.5703125" style="689" customWidth="1"/>
    <col min="3346" max="3346" width="9.140625" style="689"/>
    <col min="3347" max="3347" width="11.7109375" style="689" customWidth="1"/>
    <col min="3348" max="3348" width="12.140625" style="689" bestFit="1" customWidth="1"/>
    <col min="3349" max="3349" width="7.5703125" style="689" customWidth="1"/>
    <col min="3350" max="3350" width="9.140625" style="689"/>
    <col min="3351" max="3351" width="11.7109375" style="689" customWidth="1"/>
    <col min="3352" max="3352" width="12.140625" style="689" bestFit="1" customWidth="1"/>
    <col min="3353" max="3353" width="7.5703125" style="689" customWidth="1"/>
    <col min="3354" max="3354" width="9.140625" style="689"/>
    <col min="3355" max="3355" width="11.42578125" style="689" customWidth="1"/>
    <col min="3356" max="3356" width="9.140625" style="689"/>
    <col min="3357" max="3357" width="10.28515625" style="689" bestFit="1" customWidth="1"/>
    <col min="3358" max="3358" width="12" style="689" customWidth="1"/>
    <col min="3359" max="3360" width="9.140625" style="689"/>
    <col min="3361" max="3361" width="12" style="689" customWidth="1"/>
    <col min="3362" max="3362" width="11" style="689" customWidth="1"/>
    <col min="3363" max="3363" width="9.140625" style="689"/>
    <col min="3364" max="3364" width="12.42578125" style="689" customWidth="1"/>
    <col min="3365" max="3584" width="9.140625" style="689"/>
    <col min="3585" max="3585" width="57.140625" style="689" bestFit="1" customWidth="1"/>
    <col min="3586" max="3586" width="12.140625" style="689" customWidth="1"/>
    <col min="3587" max="3587" width="14.140625" style="689" customWidth="1"/>
    <col min="3588" max="3588" width="12.85546875" style="689" customWidth="1"/>
    <col min="3589" max="3589" width="11.42578125" style="689" customWidth="1"/>
    <col min="3590" max="3590" width="2.28515625" style="689" customWidth="1"/>
    <col min="3591" max="3591" width="12.85546875" style="689" customWidth="1"/>
    <col min="3592" max="3592" width="11.85546875" style="689" customWidth="1"/>
    <col min="3593" max="3593" width="1.7109375" style="689" customWidth="1"/>
    <col min="3594" max="3594" width="8.28515625" style="689" customWidth="1"/>
    <col min="3595" max="3595" width="13" style="689" customWidth="1"/>
    <col min="3596" max="3596" width="11.140625" style="689" customWidth="1"/>
    <col min="3597" max="3597" width="4.42578125" style="689" customWidth="1"/>
    <col min="3598" max="3598" width="9.140625" style="689"/>
    <col min="3599" max="3599" width="10.28515625" style="689" customWidth="1"/>
    <col min="3600" max="3600" width="11" style="689" customWidth="1"/>
    <col min="3601" max="3601" width="7.5703125" style="689" customWidth="1"/>
    <col min="3602" max="3602" width="9.140625" style="689"/>
    <col min="3603" max="3603" width="11.7109375" style="689" customWidth="1"/>
    <col min="3604" max="3604" width="12.140625" style="689" bestFit="1" customWidth="1"/>
    <col min="3605" max="3605" width="7.5703125" style="689" customWidth="1"/>
    <col min="3606" max="3606" width="9.140625" style="689"/>
    <col min="3607" max="3607" width="11.7109375" style="689" customWidth="1"/>
    <col min="3608" max="3608" width="12.140625" style="689" bestFit="1" customWidth="1"/>
    <col min="3609" max="3609" width="7.5703125" style="689" customWidth="1"/>
    <col min="3610" max="3610" width="9.140625" style="689"/>
    <col min="3611" max="3611" width="11.42578125" style="689" customWidth="1"/>
    <col min="3612" max="3612" width="9.140625" style="689"/>
    <col min="3613" max="3613" width="10.28515625" style="689" bestFit="1" customWidth="1"/>
    <col min="3614" max="3614" width="12" style="689" customWidth="1"/>
    <col min="3615" max="3616" width="9.140625" style="689"/>
    <col min="3617" max="3617" width="12" style="689" customWidth="1"/>
    <col min="3618" max="3618" width="11" style="689" customWidth="1"/>
    <col min="3619" max="3619" width="9.140625" style="689"/>
    <col min="3620" max="3620" width="12.42578125" style="689" customWidth="1"/>
    <col min="3621" max="3840" width="9.140625" style="689"/>
    <col min="3841" max="3841" width="57.140625" style="689" bestFit="1" customWidth="1"/>
    <col min="3842" max="3842" width="12.140625" style="689" customWidth="1"/>
    <col min="3843" max="3843" width="14.140625" style="689" customWidth="1"/>
    <col min="3844" max="3844" width="12.85546875" style="689" customWidth="1"/>
    <col min="3845" max="3845" width="11.42578125" style="689" customWidth="1"/>
    <col min="3846" max="3846" width="2.28515625" style="689" customWidth="1"/>
    <col min="3847" max="3847" width="12.85546875" style="689" customWidth="1"/>
    <col min="3848" max="3848" width="11.85546875" style="689" customWidth="1"/>
    <col min="3849" max="3849" width="1.7109375" style="689" customWidth="1"/>
    <col min="3850" max="3850" width="8.28515625" style="689" customWidth="1"/>
    <col min="3851" max="3851" width="13" style="689" customWidth="1"/>
    <col min="3852" max="3852" width="11.140625" style="689" customWidth="1"/>
    <col min="3853" max="3853" width="4.42578125" style="689" customWidth="1"/>
    <col min="3854" max="3854" width="9.140625" style="689"/>
    <col min="3855" max="3855" width="10.28515625" style="689" customWidth="1"/>
    <col min="3856" max="3856" width="11" style="689" customWidth="1"/>
    <col min="3857" max="3857" width="7.5703125" style="689" customWidth="1"/>
    <col min="3858" max="3858" width="9.140625" style="689"/>
    <col min="3859" max="3859" width="11.7109375" style="689" customWidth="1"/>
    <col min="3860" max="3860" width="12.140625" style="689" bestFit="1" customWidth="1"/>
    <col min="3861" max="3861" width="7.5703125" style="689" customWidth="1"/>
    <col min="3862" max="3862" width="9.140625" style="689"/>
    <col min="3863" max="3863" width="11.7109375" style="689" customWidth="1"/>
    <col min="3864" max="3864" width="12.140625" style="689" bestFit="1" customWidth="1"/>
    <col min="3865" max="3865" width="7.5703125" style="689" customWidth="1"/>
    <col min="3866" max="3866" width="9.140625" style="689"/>
    <col min="3867" max="3867" width="11.42578125" style="689" customWidth="1"/>
    <col min="3868" max="3868" width="9.140625" style="689"/>
    <col min="3869" max="3869" width="10.28515625" style="689" bestFit="1" customWidth="1"/>
    <col min="3870" max="3870" width="12" style="689" customWidth="1"/>
    <col min="3871" max="3872" width="9.140625" style="689"/>
    <col min="3873" max="3873" width="12" style="689" customWidth="1"/>
    <col min="3874" max="3874" width="11" style="689" customWidth="1"/>
    <col min="3875" max="3875" width="9.140625" style="689"/>
    <col min="3876" max="3876" width="12.42578125" style="689" customWidth="1"/>
    <col min="3877" max="4096" width="9.140625" style="689"/>
    <col min="4097" max="4097" width="57.140625" style="689" bestFit="1" customWidth="1"/>
    <col min="4098" max="4098" width="12.140625" style="689" customWidth="1"/>
    <col min="4099" max="4099" width="14.140625" style="689" customWidth="1"/>
    <col min="4100" max="4100" width="12.85546875" style="689" customWidth="1"/>
    <col min="4101" max="4101" width="11.42578125" style="689" customWidth="1"/>
    <col min="4102" max="4102" width="2.28515625" style="689" customWidth="1"/>
    <col min="4103" max="4103" width="12.85546875" style="689" customWidth="1"/>
    <col min="4104" max="4104" width="11.85546875" style="689" customWidth="1"/>
    <col min="4105" max="4105" width="1.7109375" style="689" customWidth="1"/>
    <col min="4106" max="4106" width="8.28515625" style="689" customWidth="1"/>
    <col min="4107" max="4107" width="13" style="689" customWidth="1"/>
    <col min="4108" max="4108" width="11.140625" style="689" customWidth="1"/>
    <col min="4109" max="4109" width="4.42578125" style="689" customWidth="1"/>
    <col min="4110" max="4110" width="9.140625" style="689"/>
    <col min="4111" max="4111" width="10.28515625" style="689" customWidth="1"/>
    <col min="4112" max="4112" width="11" style="689" customWidth="1"/>
    <col min="4113" max="4113" width="7.5703125" style="689" customWidth="1"/>
    <col min="4114" max="4114" width="9.140625" style="689"/>
    <col min="4115" max="4115" width="11.7109375" style="689" customWidth="1"/>
    <col min="4116" max="4116" width="12.140625" style="689" bestFit="1" customWidth="1"/>
    <col min="4117" max="4117" width="7.5703125" style="689" customWidth="1"/>
    <col min="4118" max="4118" width="9.140625" style="689"/>
    <col min="4119" max="4119" width="11.7109375" style="689" customWidth="1"/>
    <col min="4120" max="4120" width="12.140625" style="689" bestFit="1" customWidth="1"/>
    <col min="4121" max="4121" width="7.5703125" style="689" customWidth="1"/>
    <col min="4122" max="4122" width="9.140625" style="689"/>
    <col min="4123" max="4123" width="11.42578125" style="689" customWidth="1"/>
    <col min="4124" max="4124" width="9.140625" style="689"/>
    <col min="4125" max="4125" width="10.28515625" style="689" bestFit="1" customWidth="1"/>
    <col min="4126" max="4126" width="12" style="689" customWidth="1"/>
    <col min="4127" max="4128" width="9.140625" style="689"/>
    <col min="4129" max="4129" width="12" style="689" customWidth="1"/>
    <col min="4130" max="4130" width="11" style="689" customWidth="1"/>
    <col min="4131" max="4131" width="9.140625" style="689"/>
    <col min="4132" max="4132" width="12.42578125" style="689" customWidth="1"/>
    <col min="4133" max="4352" width="9.140625" style="689"/>
    <col min="4353" max="4353" width="57.140625" style="689" bestFit="1" customWidth="1"/>
    <col min="4354" max="4354" width="12.140625" style="689" customWidth="1"/>
    <col min="4355" max="4355" width="14.140625" style="689" customWidth="1"/>
    <col min="4356" max="4356" width="12.85546875" style="689" customWidth="1"/>
    <col min="4357" max="4357" width="11.42578125" style="689" customWidth="1"/>
    <col min="4358" max="4358" width="2.28515625" style="689" customWidth="1"/>
    <col min="4359" max="4359" width="12.85546875" style="689" customWidth="1"/>
    <col min="4360" max="4360" width="11.85546875" style="689" customWidth="1"/>
    <col min="4361" max="4361" width="1.7109375" style="689" customWidth="1"/>
    <col min="4362" max="4362" width="8.28515625" style="689" customWidth="1"/>
    <col min="4363" max="4363" width="13" style="689" customWidth="1"/>
    <col min="4364" max="4364" width="11.140625" style="689" customWidth="1"/>
    <col min="4365" max="4365" width="4.42578125" style="689" customWidth="1"/>
    <col min="4366" max="4366" width="9.140625" style="689"/>
    <col min="4367" max="4367" width="10.28515625" style="689" customWidth="1"/>
    <col min="4368" max="4368" width="11" style="689" customWidth="1"/>
    <col min="4369" max="4369" width="7.5703125" style="689" customWidth="1"/>
    <col min="4370" max="4370" width="9.140625" style="689"/>
    <col min="4371" max="4371" width="11.7109375" style="689" customWidth="1"/>
    <col min="4372" max="4372" width="12.140625" style="689" bestFit="1" customWidth="1"/>
    <col min="4373" max="4373" width="7.5703125" style="689" customWidth="1"/>
    <col min="4374" max="4374" width="9.140625" style="689"/>
    <col min="4375" max="4375" width="11.7109375" style="689" customWidth="1"/>
    <col min="4376" max="4376" width="12.140625" style="689" bestFit="1" customWidth="1"/>
    <col min="4377" max="4377" width="7.5703125" style="689" customWidth="1"/>
    <col min="4378" max="4378" width="9.140625" style="689"/>
    <col min="4379" max="4379" width="11.42578125" style="689" customWidth="1"/>
    <col min="4380" max="4380" width="9.140625" style="689"/>
    <col min="4381" max="4381" width="10.28515625" style="689" bestFit="1" customWidth="1"/>
    <col min="4382" max="4382" width="12" style="689" customWidth="1"/>
    <col min="4383" max="4384" width="9.140625" style="689"/>
    <col min="4385" max="4385" width="12" style="689" customWidth="1"/>
    <col min="4386" max="4386" width="11" style="689" customWidth="1"/>
    <col min="4387" max="4387" width="9.140625" style="689"/>
    <col min="4388" max="4388" width="12.42578125" style="689" customWidth="1"/>
    <col min="4389" max="4608" width="9.140625" style="689"/>
    <col min="4609" max="4609" width="57.140625" style="689" bestFit="1" customWidth="1"/>
    <col min="4610" max="4610" width="12.140625" style="689" customWidth="1"/>
    <col min="4611" max="4611" width="14.140625" style="689" customWidth="1"/>
    <col min="4612" max="4612" width="12.85546875" style="689" customWidth="1"/>
    <col min="4613" max="4613" width="11.42578125" style="689" customWidth="1"/>
    <col min="4614" max="4614" width="2.28515625" style="689" customWidth="1"/>
    <col min="4615" max="4615" width="12.85546875" style="689" customWidth="1"/>
    <col min="4616" max="4616" width="11.85546875" style="689" customWidth="1"/>
    <col min="4617" max="4617" width="1.7109375" style="689" customWidth="1"/>
    <col min="4618" max="4618" width="8.28515625" style="689" customWidth="1"/>
    <col min="4619" max="4619" width="13" style="689" customWidth="1"/>
    <col min="4620" max="4620" width="11.140625" style="689" customWidth="1"/>
    <col min="4621" max="4621" width="4.42578125" style="689" customWidth="1"/>
    <col min="4622" max="4622" width="9.140625" style="689"/>
    <col min="4623" max="4623" width="10.28515625" style="689" customWidth="1"/>
    <col min="4624" max="4624" width="11" style="689" customWidth="1"/>
    <col min="4625" max="4625" width="7.5703125" style="689" customWidth="1"/>
    <col min="4626" max="4626" width="9.140625" style="689"/>
    <col min="4627" max="4627" width="11.7109375" style="689" customWidth="1"/>
    <col min="4628" max="4628" width="12.140625" style="689" bestFit="1" customWidth="1"/>
    <col min="4629" max="4629" width="7.5703125" style="689" customWidth="1"/>
    <col min="4630" max="4630" width="9.140625" style="689"/>
    <col min="4631" max="4631" width="11.7109375" style="689" customWidth="1"/>
    <col min="4632" max="4632" width="12.140625" style="689" bestFit="1" customWidth="1"/>
    <col min="4633" max="4633" width="7.5703125" style="689" customWidth="1"/>
    <col min="4634" max="4634" width="9.140625" style="689"/>
    <col min="4635" max="4635" width="11.42578125" style="689" customWidth="1"/>
    <col min="4636" max="4636" width="9.140625" style="689"/>
    <col min="4637" max="4637" width="10.28515625" style="689" bestFit="1" customWidth="1"/>
    <col min="4638" max="4638" width="12" style="689" customWidth="1"/>
    <col min="4639" max="4640" width="9.140625" style="689"/>
    <col min="4641" max="4641" width="12" style="689" customWidth="1"/>
    <col min="4642" max="4642" width="11" style="689" customWidth="1"/>
    <col min="4643" max="4643" width="9.140625" style="689"/>
    <col min="4644" max="4644" width="12.42578125" style="689" customWidth="1"/>
    <col min="4645" max="4864" width="9.140625" style="689"/>
    <col min="4865" max="4865" width="57.140625" style="689" bestFit="1" customWidth="1"/>
    <col min="4866" max="4866" width="12.140625" style="689" customWidth="1"/>
    <col min="4867" max="4867" width="14.140625" style="689" customWidth="1"/>
    <col min="4868" max="4868" width="12.85546875" style="689" customWidth="1"/>
    <col min="4869" max="4869" width="11.42578125" style="689" customWidth="1"/>
    <col min="4870" max="4870" width="2.28515625" style="689" customWidth="1"/>
    <col min="4871" max="4871" width="12.85546875" style="689" customWidth="1"/>
    <col min="4872" max="4872" width="11.85546875" style="689" customWidth="1"/>
    <col min="4873" max="4873" width="1.7109375" style="689" customWidth="1"/>
    <col min="4874" max="4874" width="8.28515625" style="689" customWidth="1"/>
    <col min="4875" max="4875" width="13" style="689" customWidth="1"/>
    <col min="4876" max="4876" width="11.140625" style="689" customWidth="1"/>
    <col min="4877" max="4877" width="4.42578125" style="689" customWidth="1"/>
    <col min="4878" max="4878" width="9.140625" style="689"/>
    <col min="4879" max="4879" width="10.28515625" style="689" customWidth="1"/>
    <col min="4880" max="4880" width="11" style="689" customWidth="1"/>
    <col min="4881" max="4881" width="7.5703125" style="689" customWidth="1"/>
    <col min="4882" max="4882" width="9.140625" style="689"/>
    <col min="4883" max="4883" width="11.7109375" style="689" customWidth="1"/>
    <col min="4884" max="4884" width="12.140625" style="689" bestFit="1" customWidth="1"/>
    <col min="4885" max="4885" width="7.5703125" style="689" customWidth="1"/>
    <col min="4886" max="4886" width="9.140625" style="689"/>
    <col min="4887" max="4887" width="11.7109375" style="689" customWidth="1"/>
    <col min="4888" max="4888" width="12.140625" style="689" bestFit="1" customWidth="1"/>
    <col min="4889" max="4889" width="7.5703125" style="689" customWidth="1"/>
    <col min="4890" max="4890" width="9.140625" style="689"/>
    <col min="4891" max="4891" width="11.42578125" style="689" customWidth="1"/>
    <col min="4892" max="4892" width="9.140625" style="689"/>
    <col min="4893" max="4893" width="10.28515625" style="689" bestFit="1" customWidth="1"/>
    <col min="4894" max="4894" width="12" style="689" customWidth="1"/>
    <col min="4895" max="4896" width="9.140625" style="689"/>
    <col min="4897" max="4897" width="12" style="689" customWidth="1"/>
    <col min="4898" max="4898" width="11" style="689" customWidth="1"/>
    <col min="4899" max="4899" width="9.140625" style="689"/>
    <col min="4900" max="4900" width="12.42578125" style="689" customWidth="1"/>
    <col min="4901" max="5120" width="9.140625" style="689"/>
    <col min="5121" max="5121" width="57.140625" style="689" bestFit="1" customWidth="1"/>
    <col min="5122" max="5122" width="12.140625" style="689" customWidth="1"/>
    <col min="5123" max="5123" width="14.140625" style="689" customWidth="1"/>
    <col min="5124" max="5124" width="12.85546875" style="689" customWidth="1"/>
    <col min="5125" max="5125" width="11.42578125" style="689" customWidth="1"/>
    <col min="5126" max="5126" width="2.28515625" style="689" customWidth="1"/>
    <col min="5127" max="5127" width="12.85546875" style="689" customWidth="1"/>
    <col min="5128" max="5128" width="11.85546875" style="689" customWidth="1"/>
    <col min="5129" max="5129" width="1.7109375" style="689" customWidth="1"/>
    <col min="5130" max="5130" width="8.28515625" style="689" customWidth="1"/>
    <col min="5131" max="5131" width="13" style="689" customWidth="1"/>
    <col min="5132" max="5132" width="11.140625" style="689" customWidth="1"/>
    <col min="5133" max="5133" width="4.42578125" style="689" customWidth="1"/>
    <col min="5134" max="5134" width="9.140625" style="689"/>
    <col min="5135" max="5135" width="10.28515625" style="689" customWidth="1"/>
    <col min="5136" max="5136" width="11" style="689" customWidth="1"/>
    <col min="5137" max="5137" width="7.5703125" style="689" customWidth="1"/>
    <col min="5138" max="5138" width="9.140625" style="689"/>
    <col min="5139" max="5139" width="11.7109375" style="689" customWidth="1"/>
    <col min="5140" max="5140" width="12.140625" style="689" bestFit="1" customWidth="1"/>
    <col min="5141" max="5141" width="7.5703125" style="689" customWidth="1"/>
    <col min="5142" max="5142" width="9.140625" style="689"/>
    <col min="5143" max="5143" width="11.7109375" style="689" customWidth="1"/>
    <col min="5144" max="5144" width="12.140625" style="689" bestFit="1" customWidth="1"/>
    <col min="5145" max="5145" width="7.5703125" style="689" customWidth="1"/>
    <col min="5146" max="5146" width="9.140625" style="689"/>
    <col min="5147" max="5147" width="11.42578125" style="689" customWidth="1"/>
    <col min="5148" max="5148" width="9.140625" style="689"/>
    <col min="5149" max="5149" width="10.28515625" style="689" bestFit="1" customWidth="1"/>
    <col min="5150" max="5150" width="12" style="689" customWidth="1"/>
    <col min="5151" max="5152" width="9.140625" style="689"/>
    <col min="5153" max="5153" width="12" style="689" customWidth="1"/>
    <col min="5154" max="5154" width="11" style="689" customWidth="1"/>
    <col min="5155" max="5155" width="9.140625" style="689"/>
    <col min="5156" max="5156" width="12.42578125" style="689" customWidth="1"/>
    <col min="5157" max="5376" width="9.140625" style="689"/>
    <col min="5377" max="5377" width="57.140625" style="689" bestFit="1" customWidth="1"/>
    <col min="5378" max="5378" width="12.140625" style="689" customWidth="1"/>
    <col min="5379" max="5379" width="14.140625" style="689" customWidth="1"/>
    <col min="5380" max="5380" width="12.85546875" style="689" customWidth="1"/>
    <col min="5381" max="5381" width="11.42578125" style="689" customWidth="1"/>
    <col min="5382" max="5382" width="2.28515625" style="689" customWidth="1"/>
    <col min="5383" max="5383" width="12.85546875" style="689" customWidth="1"/>
    <col min="5384" max="5384" width="11.85546875" style="689" customWidth="1"/>
    <col min="5385" max="5385" width="1.7109375" style="689" customWidth="1"/>
    <col min="5386" max="5386" width="8.28515625" style="689" customWidth="1"/>
    <col min="5387" max="5387" width="13" style="689" customWidth="1"/>
    <col min="5388" max="5388" width="11.140625" style="689" customWidth="1"/>
    <col min="5389" max="5389" width="4.42578125" style="689" customWidth="1"/>
    <col min="5390" max="5390" width="9.140625" style="689"/>
    <col min="5391" max="5391" width="10.28515625" style="689" customWidth="1"/>
    <col min="5392" max="5392" width="11" style="689" customWidth="1"/>
    <col min="5393" max="5393" width="7.5703125" style="689" customWidth="1"/>
    <col min="5394" max="5394" width="9.140625" style="689"/>
    <col min="5395" max="5395" width="11.7109375" style="689" customWidth="1"/>
    <col min="5396" max="5396" width="12.140625" style="689" bestFit="1" customWidth="1"/>
    <col min="5397" max="5397" width="7.5703125" style="689" customWidth="1"/>
    <col min="5398" max="5398" width="9.140625" style="689"/>
    <col min="5399" max="5399" width="11.7109375" style="689" customWidth="1"/>
    <col min="5400" max="5400" width="12.140625" style="689" bestFit="1" customWidth="1"/>
    <col min="5401" max="5401" width="7.5703125" style="689" customWidth="1"/>
    <col min="5402" max="5402" width="9.140625" style="689"/>
    <col min="5403" max="5403" width="11.42578125" style="689" customWidth="1"/>
    <col min="5404" max="5404" width="9.140625" style="689"/>
    <col min="5405" max="5405" width="10.28515625" style="689" bestFit="1" customWidth="1"/>
    <col min="5406" max="5406" width="12" style="689" customWidth="1"/>
    <col min="5407" max="5408" width="9.140625" style="689"/>
    <col min="5409" max="5409" width="12" style="689" customWidth="1"/>
    <col min="5410" max="5410" width="11" style="689" customWidth="1"/>
    <col min="5411" max="5411" width="9.140625" style="689"/>
    <col min="5412" max="5412" width="12.42578125" style="689" customWidth="1"/>
    <col min="5413" max="5632" width="9.140625" style="689"/>
    <col min="5633" max="5633" width="57.140625" style="689" bestFit="1" customWidth="1"/>
    <col min="5634" max="5634" width="12.140625" style="689" customWidth="1"/>
    <col min="5635" max="5635" width="14.140625" style="689" customWidth="1"/>
    <col min="5636" max="5636" width="12.85546875" style="689" customWidth="1"/>
    <col min="5637" max="5637" width="11.42578125" style="689" customWidth="1"/>
    <col min="5638" max="5638" width="2.28515625" style="689" customWidth="1"/>
    <col min="5639" max="5639" width="12.85546875" style="689" customWidth="1"/>
    <col min="5640" max="5640" width="11.85546875" style="689" customWidth="1"/>
    <col min="5641" max="5641" width="1.7109375" style="689" customWidth="1"/>
    <col min="5642" max="5642" width="8.28515625" style="689" customWidth="1"/>
    <col min="5643" max="5643" width="13" style="689" customWidth="1"/>
    <col min="5644" max="5644" width="11.140625" style="689" customWidth="1"/>
    <col min="5645" max="5645" width="4.42578125" style="689" customWidth="1"/>
    <col min="5646" max="5646" width="9.140625" style="689"/>
    <col min="5647" max="5647" width="10.28515625" style="689" customWidth="1"/>
    <col min="5648" max="5648" width="11" style="689" customWidth="1"/>
    <col min="5649" max="5649" width="7.5703125" style="689" customWidth="1"/>
    <col min="5650" max="5650" width="9.140625" style="689"/>
    <col min="5651" max="5651" width="11.7109375" style="689" customWidth="1"/>
    <col min="5652" max="5652" width="12.140625" style="689" bestFit="1" customWidth="1"/>
    <col min="5653" max="5653" width="7.5703125" style="689" customWidth="1"/>
    <col min="5654" max="5654" width="9.140625" style="689"/>
    <col min="5655" max="5655" width="11.7109375" style="689" customWidth="1"/>
    <col min="5656" max="5656" width="12.140625" style="689" bestFit="1" customWidth="1"/>
    <col min="5657" max="5657" width="7.5703125" style="689" customWidth="1"/>
    <col min="5658" max="5658" width="9.140625" style="689"/>
    <col min="5659" max="5659" width="11.42578125" style="689" customWidth="1"/>
    <col min="5660" max="5660" width="9.140625" style="689"/>
    <col min="5661" max="5661" width="10.28515625" style="689" bestFit="1" customWidth="1"/>
    <col min="5662" max="5662" width="12" style="689" customWidth="1"/>
    <col min="5663" max="5664" width="9.140625" style="689"/>
    <col min="5665" max="5665" width="12" style="689" customWidth="1"/>
    <col min="5666" max="5666" width="11" style="689" customWidth="1"/>
    <col min="5667" max="5667" width="9.140625" style="689"/>
    <col min="5668" max="5668" width="12.42578125" style="689" customWidth="1"/>
    <col min="5669" max="5888" width="9.140625" style="689"/>
    <col min="5889" max="5889" width="57.140625" style="689" bestFit="1" customWidth="1"/>
    <col min="5890" max="5890" width="12.140625" style="689" customWidth="1"/>
    <col min="5891" max="5891" width="14.140625" style="689" customWidth="1"/>
    <col min="5892" max="5892" width="12.85546875" style="689" customWidth="1"/>
    <col min="5893" max="5893" width="11.42578125" style="689" customWidth="1"/>
    <col min="5894" max="5894" width="2.28515625" style="689" customWidth="1"/>
    <col min="5895" max="5895" width="12.85546875" style="689" customWidth="1"/>
    <col min="5896" max="5896" width="11.85546875" style="689" customWidth="1"/>
    <col min="5897" max="5897" width="1.7109375" style="689" customWidth="1"/>
    <col min="5898" max="5898" width="8.28515625" style="689" customWidth="1"/>
    <col min="5899" max="5899" width="13" style="689" customWidth="1"/>
    <col min="5900" max="5900" width="11.140625" style="689" customWidth="1"/>
    <col min="5901" max="5901" width="4.42578125" style="689" customWidth="1"/>
    <col min="5902" max="5902" width="9.140625" style="689"/>
    <col min="5903" max="5903" width="10.28515625" style="689" customWidth="1"/>
    <col min="5904" max="5904" width="11" style="689" customWidth="1"/>
    <col min="5905" max="5905" width="7.5703125" style="689" customWidth="1"/>
    <col min="5906" max="5906" width="9.140625" style="689"/>
    <col min="5907" max="5907" width="11.7109375" style="689" customWidth="1"/>
    <col min="5908" max="5908" width="12.140625" style="689" bestFit="1" customWidth="1"/>
    <col min="5909" max="5909" width="7.5703125" style="689" customWidth="1"/>
    <col min="5910" max="5910" width="9.140625" style="689"/>
    <col min="5911" max="5911" width="11.7109375" style="689" customWidth="1"/>
    <col min="5912" max="5912" width="12.140625" style="689" bestFit="1" customWidth="1"/>
    <col min="5913" max="5913" width="7.5703125" style="689" customWidth="1"/>
    <col min="5914" max="5914" width="9.140625" style="689"/>
    <col min="5915" max="5915" width="11.42578125" style="689" customWidth="1"/>
    <col min="5916" max="5916" width="9.140625" style="689"/>
    <col min="5917" max="5917" width="10.28515625" style="689" bestFit="1" customWidth="1"/>
    <col min="5918" max="5918" width="12" style="689" customWidth="1"/>
    <col min="5919" max="5920" width="9.140625" style="689"/>
    <col min="5921" max="5921" width="12" style="689" customWidth="1"/>
    <col min="5922" max="5922" width="11" style="689" customWidth="1"/>
    <col min="5923" max="5923" width="9.140625" style="689"/>
    <col min="5924" max="5924" width="12.42578125" style="689" customWidth="1"/>
    <col min="5925" max="6144" width="9.140625" style="689"/>
    <col min="6145" max="6145" width="57.140625" style="689" bestFit="1" customWidth="1"/>
    <col min="6146" max="6146" width="12.140625" style="689" customWidth="1"/>
    <col min="6147" max="6147" width="14.140625" style="689" customWidth="1"/>
    <col min="6148" max="6148" width="12.85546875" style="689" customWidth="1"/>
    <col min="6149" max="6149" width="11.42578125" style="689" customWidth="1"/>
    <col min="6150" max="6150" width="2.28515625" style="689" customWidth="1"/>
    <col min="6151" max="6151" width="12.85546875" style="689" customWidth="1"/>
    <col min="6152" max="6152" width="11.85546875" style="689" customWidth="1"/>
    <col min="6153" max="6153" width="1.7109375" style="689" customWidth="1"/>
    <col min="6154" max="6154" width="8.28515625" style="689" customWidth="1"/>
    <col min="6155" max="6155" width="13" style="689" customWidth="1"/>
    <col min="6156" max="6156" width="11.140625" style="689" customWidth="1"/>
    <col min="6157" max="6157" width="4.42578125" style="689" customWidth="1"/>
    <col min="6158" max="6158" width="9.140625" style="689"/>
    <col min="6159" max="6159" width="10.28515625" style="689" customWidth="1"/>
    <col min="6160" max="6160" width="11" style="689" customWidth="1"/>
    <col min="6161" max="6161" width="7.5703125" style="689" customWidth="1"/>
    <col min="6162" max="6162" width="9.140625" style="689"/>
    <col min="6163" max="6163" width="11.7109375" style="689" customWidth="1"/>
    <col min="6164" max="6164" width="12.140625" style="689" bestFit="1" customWidth="1"/>
    <col min="6165" max="6165" width="7.5703125" style="689" customWidth="1"/>
    <col min="6166" max="6166" width="9.140625" style="689"/>
    <col min="6167" max="6167" width="11.7109375" style="689" customWidth="1"/>
    <col min="6168" max="6168" width="12.140625" style="689" bestFit="1" customWidth="1"/>
    <col min="6169" max="6169" width="7.5703125" style="689" customWidth="1"/>
    <col min="6170" max="6170" width="9.140625" style="689"/>
    <col min="6171" max="6171" width="11.42578125" style="689" customWidth="1"/>
    <col min="6172" max="6172" width="9.140625" style="689"/>
    <col min="6173" max="6173" width="10.28515625" style="689" bestFit="1" customWidth="1"/>
    <col min="6174" max="6174" width="12" style="689" customWidth="1"/>
    <col min="6175" max="6176" width="9.140625" style="689"/>
    <col min="6177" max="6177" width="12" style="689" customWidth="1"/>
    <col min="6178" max="6178" width="11" style="689" customWidth="1"/>
    <col min="6179" max="6179" width="9.140625" style="689"/>
    <col min="6180" max="6180" width="12.42578125" style="689" customWidth="1"/>
    <col min="6181" max="6400" width="9.140625" style="689"/>
    <col min="6401" max="6401" width="57.140625" style="689" bestFit="1" customWidth="1"/>
    <col min="6402" max="6402" width="12.140625" style="689" customWidth="1"/>
    <col min="6403" max="6403" width="14.140625" style="689" customWidth="1"/>
    <col min="6404" max="6404" width="12.85546875" style="689" customWidth="1"/>
    <col min="6405" max="6405" width="11.42578125" style="689" customWidth="1"/>
    <col min="6406" max="6406" width="2.28515625" style="689" customWidth="1"/>
    <col min="6407" max="6407" width="12.85546875" style="689" customWidth="1"/>
    <col min="6408" max="6408" width="11.85546875" style="689" customWidth="1"/>
    <col min="6409" max="6409" width="1.7109375" style="689" customWidth="1"/>
    <col min="6410" max="6410" width="8.28515625" style="689" customWidth="1"/>
    <col min="6411" max="6411" width="13" style="689" customWidth="1"/>
    <col min="6412" max="6412" width="11.140625" style="689" customWidth="1"/>
    <col min="6413" max="6413" width="4.42578125" style="689" customWidth="1"/>
    <col min="6414" max="6414" width="9.140625" style="689"/>
    <col min="6415" max="6415" width="10.28515625" style="689" customWidth="1"/>
    <col min="6416" max="6416" width="11" style="689" customWidth="1"/>
    <col min="6417" max="6417" width="7.5703125" style="689" customWidth="1"/>
    <col min="6418" max="6418" width="9.140625" style="689"/>
    <col min="6419" max="6419" width="11.7109375" style="689" customWidth="1"/>
    <col min="6420" max="6420" width="12.140625" style="689" bestFit="1" customWidth="1"/>
    <col min="6421" max="6421" width="7.5703125" style="689" customWidth="1"/>
    <col min="6422" max="6422" width="9.140625" style="689"/>
    <col min="6423" max="6423" width="11.7109375" style="689" customWidth="1"/>
    <col min="6424" max="6424" width="12.140625" style="689" bestFit="1" customWidth="1"/>
    <col min="6425" max="6425" width="7.5703125" style="689" customWidth="1"/>
    <col min="6426" max="6426" width="9.140625" style="689"/>
    <col min="6427" max="6427" width="11.42578125" style="689" customWidth="1"/>
    <col min="6428" max="6428" width="9.140625" style="689"/>
    <col min="6429" max="6429" width="10.28515625" style="689" bestFit="1" customWidth="1"/>
    <col min="6430" max="6430" width="12" style="689" customWidth="1"/>
    <col min="6431" max="6432" width="9.140625" style="689"/>
    <col min="6433" max="6433" width="12" style="689" customWidth="1"/>
    <col min="6434" max="6434" width="11" style="689" customWidth="1"/>
    <col min="6435" max="6435" width="9.140625" style="689"/>
    <col min="6436" max="6436" width="12.42578125" style="689" customWidth="1"/>
    <col min="6437" max="6656" width="9.140625" style="689"/>
    <col min="6657" max="6657" width="57.140625" style="689" bestFit="1" customWidth="1"/>
    <col min="6658" max="6658" width="12.140625" style="689" customWidth="1"/>
    <col min="6659" max="6659" width="14.140625" style="689" customWidth="1"/>
    <col min="6660" max="6660" width="12.85546875" style="689" customWidth="1"/>
    <col min="6661" max="6661" width="11.42578125" style="689" customWidth="1"/>
    <col min="6662" max="6662" width="2.28515625" style="689" customWidth="1"/>
    <col min="6663" max="6663" width="12.85546875" style="689" customWidth="1"/>
    <col min="6664" max="6664" width="11.85546875" style="689" customWidth="1"/>
    <col min="6665" max="6665" width="1.7109375" style="689" customWidth="1"/>
    <col min="6666" max="6666" width="8.28515625" style="689" customWidth="1"/>
    <col min="6667" max="6667" width="13" style="689" customWidth="1"/>
    <col min="6668" max="6668" width="11.140625" style="689" customWidth="1"/>
    <col min="6669" max="6669" width="4.42578125" style="689" customWidth="1"/>
    <col min="6670" max="6670" width="9.140625" style="689"/>
    <col min="6671" max="6671" width="10.28515625" style="689" customWidth="1"/>
    <col min="6672" max="6672" width="11" style="689" customWidth="1"/>
    <col min="6673" max="6673" width="7.5703125" style="689" customWidth="1"/>
    <col min="6674" max="6674" width="9.140625" style="689"/>
    <col min="6675" max="6675" width="11.7109375" style="689" customWidth="1"/>
    <col min="6676" max="6676" width="12.140625" style="689" bestFit="1" customWidth="1"/>
    <col min="6677" max="6677" width="7.5703125" style="689" customWidth="1"/>
    <col min="6678" max="6678" width="9.140625" style="689"/>
    <col min="6679" max="6679" width="11.7109375" style="689" customWidth="1"/>
    <col min="6680" max="6680" width="12.140625" style="689" bestFit="1" customWidth="1"/>
    <col min="6681" max="6681" width="7.5703125" style="689" customWidth="1"/>
    <col min="6682" max="6682" width="9.140625" style="689"/>
    <col min="6683" max="6683" width="11.42578125" style="689" customWidth="1"/>
    <col min="6684" max="6684" width="9.140625" style="689"/>
    <col min="6685" max="6685" width="10.28515625" style="689" bestFit="1" customWidth="1"/>
    <col min="6686" max="6686" width="12" style="689" customWidth="1"/>
    <col min="6687" max="6688" width="9.140625" style="689"/>
    <col min="6689" max="6689" width="12" style="689" customWidth="1"/>
    <col min="6690" max="6690" width="11" style="689" customWidth="1"/>
    <col min="6691" max="6691" width="9.140625" style="689"/>
    <col min="6692" max="6692" width="12.42578125" style="689" customWidth="1"/>
    <col min="6693" max="6912" width="9.140625" style="689"/>
    <col min="6913" max="6913" width="57.140625" style="689" bestFit="1" customWidth="1"/>
    <col min="6914" max="6914" width="12.140625" style="689" customWidth="1"/>
    <col min="6915" max="6915" width="14.140625" style="689" customWidth="1"/>
    <col min="6916" max="6916" width="12.85546875" style="689" customWidth="1"/>
    <col min="6917" max="6917" width="11.42578125" style="689" customWidth="1"/>
    <col min="6918" max="6918" width="2.28515625" style="689" customWidth="1"/>
    <col min="6919" max="6919" width="12.85546875" style="689" customWidth="1"/>
    <col min="6920" max="6920" width="11.85546875" style="689" customWidth="1"/>
    <col min="6921" max="6921" width="1.7109375" style="689" customWidth="1"/>
    <col min="6922" max="6922" width="8.28515625" style="689" customWidth="1"/>
    <col min="6923" max="6923" width="13" style="689" customWidth="1"/>
    <col min="6924" max="6924" width="11.140625" style="689" customWidth="1"/>
    <col min="6925" max="6925" width="4.42578125" style="689" customWidth="1"/>
    <col min="6926" max="6926" width="9.140625" style="689"/>
    <col min="6927" max="6927" width="10.28515625" style="689" customWidth="1"/>
    <col min="6928" max="6928" width="11" style="689" customWidth="1"/>
    <col min="6929" max="6929" width="7.5703125" style="689" customWidth="1"/>
    <col min="6930" max="6930" width="9.140625" style="689"/>
    <col min="6931" max="6931" width="11.7109375" style="689" customWidth="1"/>
    <col min="6932" max="6932" width="12.140625" style="689" bestFit="1" customWidth="1"/>
    <col min="6933" max="6933" width="7.5703125" style="689" customWidth="1"/>
    <col min="6934" max="6934" width="9.140625" style="689"/>
    <col min="6935" max="6935" width="11.7109375" style="689" customWidth="1"/>
    <col min="6936" max="6936" width="12.140625" style="689" bestFit="1" customWidth="1"/>
    <col min="6937" max="6937" width="7.5703125" style="689" customWidth="1"/>
    <col min="6938" max="6938" width="9.140625" style="689"/>
    <col min="6939" max="6939" width="11.42578125" style="689" customWidth="1"/>
    <col min="6940" max="6940" width="9.140625" style="689"/>
    <col min="6941" max="6941" width="10.28515625" style="689" bestFit="1" customWidth="1"/>
    <col min="6942" max="6942" width="12" style="689" customWidth="1"/>
    <col min="6943" max="6944" width="9.140625" style="689"/>
    <col min="6945" max="6945" width="12" style="689" customWidth="1"/>
    <col min="6946" max="6946" width="11" style="689" customWidth="1"/>
    <col min="6947" max="6947" width="9.140625" style="689"/>
    <col min="6948" max="6948" width="12.42578125" style="689" customWidth="1"/>
    <col min="6949" max="7168" width="9.140625" style="689"/>
    <col min="7169" max="7169" width="57.140625" style="689" bestFit="1" customWidth="1"/>
    <col min="7170" max="7170" width="12.140625" style="689" customWidth="1"/>
    <col min="7171" max="7171" width="14.140625" style="689" customWidth="1"/>
    <col min="7172" max="7172" width="12.85546875" style="689" customWidth="1"/>
    <col min="7173" max="7173" width="11.42578125" style="689" customWidth="1"/>
    <col min="7174" max="7174" width="2.28515625" style="689" customWidth="1"/>
    <col min="7175" max="7175" width="12.85546875" style="689" customWidth="1"/>
    <col min="7176" max="7176" width="11.85546875" style="689" customWidth="1"/>
    <col min="7177" max="7177" width="1.7109375" style="689" customWidth="1"/>
    <col min="7178" max="7178" width="8.28515625" style="689" customWidth="1"/>
    <col min="7179" max="7179" width="13" style="689" customWidth="1"/>
    <col min="7180" max="7180" width="11.140625" style="689" customWidth="1"/>
    <col min="7181" max="7181" width="4.42578125" style="689" customWidth="1"/>
    <col min="7182" max="7182" width="9.140625" style="689"/>
    <col min="7183" max="7183" width="10.28515625" style="689" customWidth="1"/>
    <col min="7184" max="7184" width="11" style="689" customWidth="1"/>
    <col min="7185" max="7185" width="7.5703125" style="689" customWidth="1"/>
    <col min="7186" max="7186" width="9.140625" style="689"/>
    <col min="7187" max="7187" width="11.7109375" style="689" customWidth="1"/>
    <col min="7188" max="7188" width="12.140625" style="689" bestFit="1" customWidth="1"/>
    <col min="7189" max="7189" width="7.5703125" style="689" customWidth="1"/>
    <col min="7190" max="7190" width="9.140625" style="689"/>
    <col min="7191" max="7191" width="11.7109375" style="689" customWidth="1"/>
    <col min="7192" max="7192" width="12.140625" style="689" bestFit="1" customWidth="1"/>
    <col min="7193" max="7193" width="7.5703125" style="689" customWidth="1"/>
    <col min="7194" max="7194" width="9.140625" style="689"/>
    <col min="7195" max="7195" width="11.42578125" style="689" customWidth="1"/>
    <col min="7196" max="7196" width="9.140625" style="689"/>
    <col min="7197" max="7197" width="10.28515625" style="689" bestFit="1" customWidth="1"/>
    <col min="7198" max="7198" width="12" style="689" customWidth="1"/>
    <col min="7199" max="7200" width="9.140625" style="689"/>
    <col min="7201" max="7201" width="12" style="689" customWidth="1"/>
    <col min="7202" max="7202" width="11" style="689" customWidth="1"/>
    <col min="7203" max="7203" width="9.140625" style="689"/>
    <col min="7204" max="7204" width="12.42578125" style="689" customWidth="1"/>
    <col min="7205" max="7424" width="9.140625" style="689"/>
    <col min="7425" max="7425" width="57.140625" style="689" bestFit="1" customWidth="1"/>
    <col min="7426" max="7426" width="12.140625" style="689" customWidth="1"/>
    <col min="7427" max="7427" width="14.140625" style="689" customWidth="1"/>
    <col min="7428" max="7428" width="12.85546875" style="689" customWidth="1"/>
    <col min="7429" max="7429" width="11.42578125" style="689" customWidth="1"/>
    <col min="7430" max="7430" width="2.28515625" style="689" customWidth="1"/>
    <col min="7431" max="7431" width="12.85546875" style="689" customWidth="1"/>
    <col min="7432" max="7432" width="11.85546875" style="689" customWidth="1"/>
    <col min="7433" max="7433" width="1.7109375" style="689" customWidth="1"/>
    <col min="7434" max="7434" width="8.28515625" style="689" customWidth="1"/>
    <col min="7435" max="7435" width="13" style="689" customWidth="1"/>
    <col min="7436" max="7436" width="11.140625" style="689" customWidth="1"/>
    <col min="7437" max="7437" width="4.42578125" style="689" customWidth="1"/>
    <col min="7438" max="7438" width="9.140625" style="689"/>
    <col min="7439" max="7439" width="10.28515625" style="689" customWidth="1"/>
    <col min="7440" max="7440" width="11" style="689" customWidth="1"/>
    <col min="7441" max="7441" width="7.5703125" style="689" customWidth="1"/>
    <col min="7442" max="7442" width="9.140625" style="689"/>
    <col min="7443" max="7443" width="11.7109375" style="689" customWidth="1"/>
    <col min="7444" max="7444" width="12.140625" style="689" bestFit="1" customWidth="1"/>
    <col min="7445" max="7445" width="7.5703125" style="689" customWidth="1"/>
    <col min="7446" max="7446" width="9.140625" style="689"/>
    <col min="7447" max="7447" width="11.7109375" style="689" customWidth="1"/>
    <col min="7448" max="7448" width="12.140625" style="689" bestFit="1" customWidth="1"/>
    <col min="7449" max="7449" width="7.5703125" style="689" customWidth="1"/>
    <col min="7450" max="7450" width="9.140625" style="689"/>
    <col min="7451" max="7451" width="11.42578125" style="689" customWidth="1"/>
    <col min="7452" max="7452" width="9.140625" style="689"/>
    <col min="7453" max="7453" width="10.28515625" style="689" bestFit="1" customWidth="1"/>
    <col min="7454" max="7454" width="12" style="689" customWidth="1"/>
    <col min="7455" max="7456" width="9.140625" style="689"/>
    <col min="7457" max="7457" width="12" style="689" customWidth="1"/>
    <col min="7458" max="7458" width="11" style="689" customWidth="1"/>
    <col min="7459" max="7459" width="9.140625" style="689"/>
    <col min="7460" max="7460" width="12.42578125" style="689" customWidth="1"/>
    <col min="7461" max="7680" width="9.140625" style="689"/>
    <col min="7681" max="7681" width="57.140625" style="689" bestFit="1" customWidth="1"/>
    <col min="7682" max="7682" width="12.140625" style="689" customWidth="1"/>
    <col min="7683" max="7683" width="14.140625" style="689" customWidth="1"/>
    <col min="7684" max="7684" width="12.85546875" style="689" customWidth="1"/>
    <col min="7685" max="7685" width="11.42578125" style="689" customWidth="1"/>
    <col min="7686" max="7686" width="2.28515625" style="689" customWidth="1"/>
    <col min="7687" max="7687" width="12.85546875" style="689" customWidth="1"/>
    <col min="7688" max="7688" width="11.85546875" style="689" customWidth="1"/>
    <col min="7689" max="7689" width="1.7109375" style="689" customWidth="1"/>
    <col min="7690" max="7690" width="8.28515625" style="689" customWidth="1"/>
    <col min="7691" max="7691" width="13" style="689" customWidth="1"/>
    <col min="7692" max="7692" width="11.140625" style="689" customWidth="1"/>
    <col min="7693" max="7693" width="4.42578125" style="689" customWidth="1"/>
    <col min="7694" max="7694" width="9.140625" style="689"/>
    <col min="7695" max="7695" width="10.28515625" style="689" customWidth="1"/>
    <col min="7696" max="7696" width="11" style="689" customWidth="1"/>
    <col min="7697" max="7697" width="7.5703125" style="689" customWidth="1"/>
    <col min="7698" max="7698" width="9.140625" style="689"/>
    <col min="7699" max="7699" width="11.7109375" style="689" customWidth="1"/>
    <col min="7700" max="7700" width="12.140625" style="689" bestFit="1" customWidth="1"/>
    <col min="7701" max="7701" width="7.5703125" style="689" customWidth="1"/>
    <col min="7702" max="7702" width="9.140625" style="689"/>
    <col min="7703" max="7703" width="11.7109375" style="689" customWidth="1"/>
    <col min="7704" max="7704" width="12.140625" style="689" bestFit="1" customWidth="1"/>
    <col min="7705" max="7705" width="7.5703125" style="689" customWidth="1"/>
    <col min="7706" max="7706" width="9.140625" style="689"/>
    <col min="7707" max="7707" width="11.42578125" style="689" customWidth="1"/>
    <col min="7708" max="7708" width="9.140625" style="689"/>
    <col min="7709" max="7709" width="10.28515625" style="689" bestFit="1" customWidth="1"/>
    <col min="7710" max="7710" width="12" style="689" customWidth="1"/>
    <col min="7711" max="7712" width="9.140625" style="689"/>
    <col min="7713" max="7713" width="12" style="689" customWidth="1"/>
    <col min="7714" max="7714" width="11" style="689" customWidth="1"/>
    <col min="7715" max="7715" width="9.140625" style="689"/>
    <col min="7716" max="7716" width="12.42578125" style="689" customWidth="1"/>
    <col min="7717" max="7936" width="9.140625" style="689"/>
    <col min="7937" max="7937" width="57.140625" style="689" bestFit="1" customWidth="1"/>
    <col min="7938" max="7938" width="12.140625" style="689" customWidth="1"/>
    <col min="7939" max="7939" width="14.140625" style="689" customWidth="1"/>
    <col min="7940" max="7940" width="12.85546875" style="689" customWidth="1"/>
    <col min="7941" max="7941" width="11.42578125" style="689" customWidth="1"/>
    <col min="7942" max="7942" width="2.28515625" style="689" customWidth="1"/>
    <col min="7943" max="7943" width="12.85546875" style="689" customWidth="1"/>
    <col min="7944" max="7944" width="11.85546875" style="689" customWidth="1"/>
    <col min="7945" max="7945" width="1.7109375" style="689" customWidth="1"/>
    <col min="7946" max="7946" width="8.28515625" style="689" customWidth="1"/>
    <col min="7947" max="7947" width="13" style="689" customWidth="1"/>
    <col min="7948" max="7948" width="11.140625" style="689" customWidth="1"/>
    <col min="7949" max="7949" width="4.42578125" style="689" customWidth="1"/>
    <col min="7950" max="7950" width="9.140625" style="689"/>
    <col min="7951" max="7951" width="10.28515625" style="689" customWidth="1"/>
    <col min="7952" max="7952" width="11" style="689" customWidth="1"/>
    <col min="7953" max="7953" width="7.5703125" style="689" customWidth="1"/>
    <col min="7954" max="7954" width="9.140625" style="689"/>
    <col min="7955" max="7955" width="11.7109375" style="689" customWidth="1"/>
    <col min="7956" max="7956" width="12.140625" style="689" bestFit="1" customWidth="1"/>
    <col min="7957" max="7957" width="7.5703125" style="689" customWidth="1"/>
    <col min="7958" max="7958" width="9.140625" style="689"/>
    <col min="7959" max="7959" width="11.7109375" style="689" customWidth="1"/>
    <col min="7960" max="7960" width="12.140625" style="689" bestFit="1" customWidth="1"/>
    <col min="7961" max="7961" width="7.5703125" style="689" customWidth="1"/>
    <col min="7962" max="7962" width="9.140625" style="689"/>
    <col min="7963" max="7963" width="11.42578125" style="689" customWidth="1"/>
    <col min="7964" max="7964" width="9.140625" style="689"/>
    <col min="7965" max="7965" width="10.28515625" style="689" bestFit="1" customWidth="1"/>
    <col min="7966" max="7966" width="12" style="689" customWidth="1"/>
    <col min="7967" max="7968" width="9.140625" style="689"/>
    <col min="7969" max="7969" width="12" style="689" customWidth="1"/>
    <col min="7970" max="7970" width="11" style="689" customWidth="1"/>
    <col min="7971" max="7971" width="9.140625" style="689"/>
    <col min="7972" max="7972" width="12.42578125" style="689" customWidth="1"/>
    <col min="7973" max="8192" width="9.140625" style="689"/>
    <col min="8193" max="8193" width="57.140625" style="689" bestFit="1" customWidth="1"/>
    <col min="8194" max="8194" width="12.140625" style="689" customWidth="1"/>
    <col min="8195" max="8195" width="14.140625" style="689" customWidth="1"/>
    <col min="8196" max="8196" width="12.85546875" style="689" customWidth="1"/>
    <col min="8197" max="8197" width="11.42578125" style="689" customWidth="1"/>
    <col min="8198" max="8198" width="2.28515625" style="689" customWidth="1"/>
    <col min="8199" max="8199" width="12.85546875" style="689" customWidth="1"/>
    <col min="8200" max="8200" width="11.85546875" style="689" customWidth="1"/>
    <col min="8201" max="8201" width="1.7109375" style="689" customWidth="1"/>
    <col min="8202" max="8202" width="8.28515625" style="689" customWidth="1"/>
    <col min="8203" max="8203" width="13" style="689" customWidth="1"/>
    <col min="8204" max="8204" width="11.140625" style="689" customWidth="1"/>
    <col min="8205" max="8205" width="4.42578125" style="689" customWidth="1"/>
    <col min="8206" max="8206" width="9.140625" style="689"/>
    <col min="8207" max="8207" width="10.28515625" style="689" customWidth="1"/>
    <col min="8208" max="8208" width="11" style="689" customWidth="1"/>
    <col min="8209" max="8209" width="7.5703125" style="689" customWidth="1"/>
    <col min="8210" max="8210" width="9.140625" style="689"/>
    <col min="8211" max="8211" width="11.7109375" style="689" customWidth="1"/>
    <col min="8212" max="8212" width="12.140625" style="689" bestFit="1" customWidth="1"/>
    <col min="8213" max="8213" width="7.5703125" style="689" customWidth="1"/>
    <col min="8214" max="8214" width="9.140625" style="689"/>
    <col min="8215" max="8215" width="11.7109375" style="689" customWidth="1"/>
    <col min="8216" max="8216" width="12.140625" style="689" bestFit="1" customWidth="1"/>
    <col min="8217" max="8217" width="7.5703125" style="689" customWidth="1"/>
    <col min="8218" max="8218" width="9.140625" style="689"/>
    <col min="8219" max="8219" width="11.42578125" style="689" customWidth="1"/>
    <col min="8220" max="8220" width="9.140625" style="689"/>
    <col min="8221" max="8221" width="10.28515625" style="689" bestFit="1" customWidth="1"/>
    <col min="8222" max="8222" width="12" style="689" customWidth="1"/>
    <col min="8223" max="8224" width="9.140625" style="689"/>
    <col min="8225" max="8225" width="12" style="689" customWidth="1"/>
    <col min="8226" max="8226" width="11" style="689" customWidth="1"/>
    <col min="8227" max="8227" width="9.140625" style="689"/>
    <col min="8228" max="8228" width="12.42578125" style="689" customWidth="1"/>
    <col min="8229" max="8448" width="9.140625" style="689"/>
    <col min="8449" max="8449" width="57.140625" style="689" bestFit="1" customWidth="1"/>
    <col min="8450" max="8450" width="12.140625" style="689" customWidth="1"/>
    <col min="8451" max="8451" width="14.140625" style="689" customWidth="1"/>
    <col min="8452" max="8452" width="12.85546875" style="689" customWidth="1"/>
    <col min="8453" max="8453" width="11.42578125" style="689" customWidth="1"/>
    <col min="8454" max="8454" width="2.28515625" style="689" customWidth="1"/>
    <col min="8455" max="8455" width="12.85546875" style="689" customWidth="1"/>
    <col min="8456" max="8456" width="11.85546875" style="689" customWidth="1"/>
    <col min="8457" max="8457" width="1.7109375" style="689" customWidth="1"/>
    <col min="8458" max="8458" width="8.28515625" style="689" customWidth="1"/>
    <col min="8459" max="8459" width="13" style="689" customWidth="1"/>
    <col min="8460" max="8460" width="11.140625" style="689" customWidth="1"/>
    <col min="8461" max="8461" width="4.42578125" style="689" customWidth="1"/>
    <col min="8462" max="8462" width="9.140625" style="689"/>
    <col min="8463" max="8463" width="10.28515625" style="689" customWidth="1"/>
    <col min="8464" max="8464" width="11" style="689" customWidth="1"/>
    <col min="8465" max="8465" width="7.5703125" style="689" customWidth="1"/>
    <col min="8466" max="8466" width="9.140625" style="689"/>
    <col min="8467" max="8467" width="11.7109375" style="689" customWidth="1"/>
    <col min="8468" max="8468" width="12.140625" style="689" bestFit="1" customWidth="1"/>
    <col min="8469" max="8469" width="7.5703125" style="689" customWidth="1"/>
    <col min="8470" max="8470" width="9.140625" style="689"/>
    <col min="8471" max="8471" width="11.7109375" style="689" customWidth="1"/>
    <col min="8472" max="8472" width="12.140625" style="689" bestFit="1" customWidth="1"/>
    <col min="8473" max="8473" width="7.5703125" style="689" customWidth="1"/>
    <col min="8474" max="8474" width="9.140625" style="689"/>
    <col min="8475" max="8475" width="11.42578125" style="689" customWidth="1"/>
    <col min="8476" max="8476" width="9.140625" style="689"/>
    <col min="8477" max="8477" width="10.28515625" style="689" bestFit="1" customWidth="1"/>
    <col min="8478" max="8478" width="12" style="689" customWidth="1"/>
    <col min="8479" max="8480" width="9.140625" style="689"/>
    <col min="8481" max="8481" width="12" style="689" customWidth="1"/>
    <col min="8482" max="8482" width="11" style="689" customWidth="1"/>
    <col min="8483" max="8483" width="9.140625" style="689"/>
    <col min="8484" max="8484" width="12.42578125" style="689" customWidth="1"/>
    <col min="8485" max="8704" width="9.140625" style="689"/>
    <col min="8705" max="8705" width="57.140625" style="689" bestFit="1" customWidth="1"/>
    <col min="8706" max="8706" width="12.140625" style="689" customWidth="1"/>
    <col min="8707" max="8707" width="14.140625" style="689" customWidth="1"/>
    <col min="8708" max="8708" width="12.85546875" style="689" customWidth="1"/>
    <col min="8709" max="8709" width="11.42578125" style="689" customWidth="1"/>
    <col min="8710" max="8710" width="2.28515625" style="689" customWidth="1"/>
    <col min="8711" max="8711" width="12.85546875" style="689" customWidth="1"/>
    <col min="8712" max="8712" width="11.85546875" style="689" customWidth="1"/>
    <col min="8713" max="8713" width="1.7109375" style="689" customWidth="1"/>
    <col min="8714" max="8714" width="8.28515625" style="689" customWidth="1"/>
    <col min="8715" max="8715" width="13" style="689" customWidth="1"/>
    <col min="8716" max="8716" width="11.140625" style="689" customWidth="1"/>
    <col min="8717" max="8717" width="4.42578125" style="689" customWidth="1"/>
    <col min="8718" max="8718" width="9.140625" style="689"/>
    <col min="8719" max="8719" width="10.28515625" style="689" customWidth="1"/>
    <col min="8720" max="8720" width="11" style="689" customWidth="1"/>
    <col min="8721" max="8721" width="7.5703125" style="689" customWidth="1"/>
    <col min="8722" max="8722" width="9.140625" style="689"/>
    <col min="8723" max="8723" width="11.7109375" style="689" customWidth="1"/>
    <col min="8724" max="8724" width="12.140625" style="689" bestFit="1" customWidth="1"/>
    <col min="8725" max="8725" width="7.5703125" style="689" customWidth="1"/>
    <col min="8726" max="8726" width="9.140625" style="689"/>
    <col min="8727" max="8727" width="11.7109375" style="689" customWidth="1"/>
    <col min="8728" max="8728" width="12.140625" style="689" bestFit="1" customWidth="1"/>
    <col min="8729" max="8729" width="7.5703125" style="689" customWidth="1"/>
    <col min="8730" max="8730" width="9.140625" style="689"/>
    <col min="8731" max="8731" width="11.42578125" style="689" customWidth="1"/>
    <col min="8732" max="8732" width="9.140625" style="689"/>
    <col min="8733" max="8733" width="10.28515625" style="689" bestFit="1" customWidth="1"/>
    <col min="8734" max="8734" width="12" style="689" customWidth="1"/>
    <col min="8735" max="8736" width="9.140625" style="689"/>
    <col min="8737" max="8737" width="12" style="689" customWidth="1"/>
    <col min="8738" max="8738" width="11" style="689" customWidth="1"/>
    <col min="8739" max="8739" width="9.140625" style="689"/>
    <col min="8740" max="8740" width="12.42578125" style="689" customWidth="1"/>
    <col min="8741" max="8960" width="9.140625" style="689"/>
    <col min="8961" max="8961" width="57.140625" style="689" bestFit="1" customWidth="1"/>
    <col min="8962" max="8962" width="12.140625" style="689" customWidth="1"/>
    <col min="8963" max="8963" width="14.140625" style="689" customWidth="1"/>
    <col min="8964" max="8964" width="12.85546875" style="689" customWidth="1"/>
    <col min="8965" max="8965" width="11.42578125" style="689" customWidth="1"/>
    <col min="8966" max="8966" width="2.28515625" style="689" customWidth="1"/>
    <col min="8967" max="8967" width="12.85546875" style="689" customWidth="1"/>
    <col min="8968" max="8968" width="11.85546875" style="689" customWidth="1"/>
    <col min="8969" max="8969" width="1.7109375" style="689" customWidth="1"/>
    <col min="8970" max="8970" width="8.28515625" style="689" customWidth="1"/>
    <col min="8971" max="8971" width="13" style="689" customWidth="1"/>
    <col min="8972" max="8972" width="11.140625" style="689" customWidth="1"/>
    <col min="8973" max="8973" width="4.42578125" style="689" customWidth="1"/>
    <col min="8974" max="8974" width="9.140625" style="689"/>
    <col min="8975" max="8975" width="10.28515625" style="689" customWidth="1"/>
    <col min="8976" max="8976" width="11" style="689" customWidth="1"/>
    <col min="8977" max="8977" width="7.5703125" style="689" customWidth="1"/>
    <col min="8978" max="8978" width="9.140625" style="689"/>
    <col min="8979" max="8979" width="11.7109375" style="689" customWidth="1"/>
    <col min="8980" max="8980" width="12.140625" style="689" bestFit="1" customWidth="1"/>
    <col min="8981" max="8981" width="7.5703125" style="689" customWidth="1"/>
    <col min="8982" max="8982" width="9.140625" style="689"/>
    <col min="8983" max="8983" width="11.7109375" style="689" customWidth="1"/>
    <col min="8984" max="8984" width="12.140625" style="689" bestFit="1" customWidth="1"/>
    <col min="8985" max="8985" width="7.5703125" style="689" customWidth="1"/>
    <col min="8986" max="8986" width="9.140625" style="689"/>
    <col min="8987" max="8987" width="11.42578125" style="689" customWidth="1"/>
    <col min="8988" max="8988" width="9.140625" style="689"/>
    <col min="8989" max="8989" width="10.28515625" style="689" bestFit="1" customWidth="1"/>
    <col min="8990" max="8990" width="12" style="689" customWidth="1"/>
    <col min="8991" max="8992" width="9.140625" style="689"/>
    <col min="8993" max="8993" width="12" style="689" customWidth="1"/>
    <col min="8994" max="8994" width="11" style="689" customWidth="1"/>
    <col min="8995" max="8995" width="9.140625" style="689"/>
    <col min="8996" max="8996" width="12.42578125" style="689" customWidth="1"/>
    <col min="8997" max="9216" width="9.140625" style="689"/>
    <col min="9217" max="9217" width="57.140625" style="689" bestFit="1" customWidth="1"/>
    <col min="9218" max="9218" width="12.140625" style="689" customWidth="1"/>
    <col min="9219" max="9219" width="14.140625" style="689" customWidth="1"/>
    <col min="9220" max="9220" width="12.85546875" style="689" customWidth="1"/>
    <col min="9221" max="9221" width="11.42578125" style="689" customWidth="1"/>
    <col min="9222" max="9222" width="2.28515625" style="689" customWidth="1"/>
    <col min="9223" max="9223" width="12.85546875" style="689" customWidth="1"/>
    <col min="9224" max="9224" width="11.85546875" style="689" customWidth="1"/>
    <col min="9225" max="9225" width="1.7109375" style="689" customWidth="1"/>
    <col min="9226" max="9226" width="8.28515625" style="689" customWidth="1"/>
    <col min="9227" max="9227" width="13" style="689" customWidth="1"/>
    <col min="9228" max="9228" width="11.140625" style="689" customWidth="1"/>
    <col min="9229" max="9229" width="4.42578125" style="689" customWidth="1"/>
    <col min="9230" max="9230" width="9.140625" style="689"/>
    <col min="9231" max="9231" width="10.28515625" style="689" customWidth="1"/>
    <col min="9232" max="9232" width="11" style="689" customWidth="1"/>
    <col min="9233" max="9233" width="7.5703125" style="689" customWidth="1"/>
    <col min="9234" max="9234" width="9.140625" style="689"/>
    <col min="9235" max="9235" width="11.7109375" style="689" customWidth="1"/>
    <col min="9236" max="9236" width="12.140625" style="689" bestFit="1" customWidth="1"/>
    <col min="9237" max="9237" width="7.5703125" style="689" customWidth="1"/>
    <col min="9238" max="9238" width="9.140625" style="689"/>
    <col min="9239" max="9239" width="11.7109375" style="689" customWidth="1"/>
    <col min="9240" max="9240" width="12.140625" style="689" bestFit="1" customWidth="1"/>
    <col min="9241" max="9241" width="7.5703125" style="689" customWidth="1"/>
    <col min="9242" max="9242" width="9.140625" style="689"/>
    <col min="9243" max="9243" width="11.42578125" style="689" customWidth="1"/>
    <col min="9244" max="9244" width="9.140625" style="689"/>
    <col min="9245" max="9245" width="10.28515625" style="689" bestFit="1" customWidth="1"/>
    <col min="9246" max="9246" width="12" style="689" customWidth="1"/>
    <col min="9247" max="9248" width="9.140625" style="689"/>
    <col min="9249" max="9249" width="12" style="689" customWidth="1"/>
    <col min="9250" max="9250" width="11" style="689" customWidth="1"/>
    <col min="9251" max="9251" width="9.140625" style="689"/>
    <col min="9252" max="9252" width="12.42578125" style="689" customWidth="1"/>
    <col min="9253" max="9472" width="9.140625" style="689"/>
    <col min="9473" max="9473" width="57.140625" style="689" bestFit="1" customWidth="1"/>
    <col min="9474" max="9474" width="12.140625" style="689" customWidth="1"/>
    <col min="9475" max="9475" width="14.140625" style="689" customWidth="1"/>
    <col min="9476" max="9476" width="12.85546875" style="689" customWidth="1"/>
    <col min="9477" max="9477" width="11.42578125" style="689" customWidth="1"/>
    <col min="9478" max="9478" width="2.28515625" style="689" customWidth="1"/>
    <col min="9479" max="9479" width="12.85546875" style="689" customWidth="1"/>
    <col min="9480" max="9480" width="11.85546875" style="689" customWidth="1"/>
    <col min="9481" max="9481" width="1.7109375" style="689" customWidth="1"/>
    <col min="9482" max="9482" width="8.28515625" style="689" customWidth="1"/>
    <col min="9483" max="9483" width="13" style="689" customWidth="1"/>
    <col min="9484" max="9484" width="11.140625" style="689" customWidth="1"/>
    <col min="9485" max="9485" width="4.42578125" style="689" customWidth="1"/>
    <col min="9486" max="9486" width="9.140625" style="689"/>
    <col min="9487" max="9487" width="10.28515625" style="689" customWidth="1"/>
    <col min="9488" max="9488" width="11" style="689" customWidth="1"/>
    <col min="9489" max="9489" width="7.5703125" style="689" customWidth="1"/>
    <col min="9490" max="9490" width="9.140625" style="689"/>
    <col min="9491" max="9491" width="11.7109375" style="689" customWidth="1"/>
    <col min="9492" max="9492" width="12.140625" style="689" bestFit="1" customWidth="1"/>
    <col min="9493" max="9493" width="7.5703125" style="689" customWidth="1"/>
    <col min="9494" max="9494" width="9.140625" style="689"/>
    <col min="9495" max="9495" width="11.7109375" style="689" customWidth="1"/>
    <col min="9496" max="9496" width="12.140625" style="689" bestFit="1" customWidth="1"/>
    <col min="9497" max="9497" width="7.5703125" style="689" customWidth="1"/>
    <col min="9498" max="9498" width="9.140625" style="689"/>
    <col min="9499" max="9499" width="11.42578125" style="689" customWidth="1"/>
    <col min="9500" max="9500" width="9.140625" style="689"/>
    <col min="9501" max="9501" width="10.28515625" style="689" bestFit="1" customWidth="1"/>
    <col min="9502" max="9502" width="12" style="689" customWidth="1"/>
    <col min="9503" max="9504" width="9.140625" style="689"/>
    <col min="9505" max="9505" width="12" style="689" customWidth="1"/>
    <col min="9506" max="9506" width="11" style="689" customWidth="1"/>
    <col min="9507" max="9507" width="9.140625" style="689"/>
    <col min="9508" max="9508" width="12.42578125" style="689" customWidth="1"/>
    <col min="9509" max="9728" width="9.140625" style="689"/>
    <col min="9729" max="9729" width="57.140625" style="689" bestFit="1" customWidth="1"/>
    <col min="9730" max="9730" width="12.140625" style="689" customWidth="1"/>
    <col min="9731" max="9731" width="14.140625" style="689" customWidth="1"/>
    <col min="9732" max="9732" width="12.85546875" style="689" customWidth="1"/>
    <col min="9733" max="9733" width="11.42578125" style="689" customWidth="1"/>
    <col min="9734" max="9734" width="2.28515625" style="689" customWidth="1"/>
    <col min="9735" max="9735" width="12.85546875" style="689" customWidth="1"/>
    <col min="9736" max="9736" width="11.85546875" style="689" customWidth="1"/>
    <col min="9737" max="9737" width="1.7109375" style="689" customWidth="1"/>
    <col min="9738" max="9738" width="8.28515625" style="689" customWidth="1"/>
    <col min="9739" max="9739" width="13" style="689" customWidth="1"/>
    <col min="9740" max="9740" width="11.140625" style="689" customWidth="1"/>
    <col min="9741" max="9741" width="4.42578125" style="689" customWidth="1"/>
    <col min="9742" max="9742" width="9.140625" style="689"/>
    <col min="9743" max="9743" width="10.28515625" style="689" customWidth="1"/>
    <col min="9744" max="9744" width="11" style="689" customWidth="1"/>
    <col min="9745" max="9745" width="7.5703125" style="689" customWidth="1"/>
    <col min="9746" max="9746" width="9.140625" style="689"/>
    <col min="9747" max="9747" width="11.7109375" style="689" customWidth="1"/>
    <col min="9748" max="9748" width="12.140625" style="689" bestFit="1" customWidth="1"/>
    <col min="9749" max="9749" width="7.5703125" style="689" customWidth="1"/>
    <col min="9750" max="9750" width="9.140625" style="689"/>
    <col min="9751" max="9751" width="11.7109375" style="689" customWidth="1"/>
    <col min="9752" max="9752" width="12.140625" style="689" bestFit="1" customWidth="1"/>
    <col min="9753" max="9753" width="7.5703125" style="689" customWidth="1"/>
    <col min="9754" max="9754" width="9.140625" style="689"/>
    <col min="9755" max="9755" width="11.42578125" style="689" customWidth="1"/>
    <col min="9756" max="9756" width="9.140625" style="689"/>
    <col min="9757" max="9757" width="10.28515625" style="689" bestFit="1" customWidth="1"/>
    <col min="9758" max="9758" width="12" style="689" customWidth="1"/>
    <col min="9759" max="9760" width="9.140625" style="689"/>
    <col min="9761" max="9761" width="12" style="689" customWidth="1"/>
    <col min="9762" max="9762" width="11" style="689" customWidth="1"/>
    <col min="9763" max="9763" width="9.140625" style="689"/>
    <col min="9764" max="9764" width="12.42578125" style="689" customWidth="1"/>
    <col min="9765" max="9984" width="9.140625" style="689"/>
    <col min="9985" max="9985" width="57.140625" style="689" bestFit="1" customWidth="1"/>
    <col min="9986" max="9986" width="12.140625" style="689" customWidth="1"/>
    <col min="9987" max="9987" width="14.140625" style="689" customWidth="1"/>
    <col min="9988" max="9988" width="12.85546875" style="689" customWidth="1"/>
    <col min="9989" max="9989" width="11.42578125" style="689" customWidth="1"/>
    <col min="9990" max="9990" width="2.28515625" style="689" customWidth="1"/>
    <col min="9991" max="9991" width="12.85546875" style="689" customWidth="1"/>
    <col min="9992" max="9992" width="11.85546875" style="689" customWidth="1"/>
    <col min="9993" max="9993" width="1.7109375" style="689" customWidth="1"/>
    <col min="9994" max="9994" width="8.28515625" style="689" customWidth="1"/>
    <col min="9995" max="9995" width="13" style="689" customWidth="1"/>
    <col min="9996" max="9996" width="11.140625" style="689" customWidth="1"/>
    <col min="9997" max="9997" width="4.42578125" style="689" customWidth="1"/>
    <col min="9998" max="9998" width="9.140625" style="689"/>
    <col min="9999" max="9999" width="10.28515625" style="689" customWidth="1"/>
    <col min="10000" max="10000" width="11" style="689" customWidth="1"/>
    <col min="10001" max="10001" width="7.5703125" style="689" customWidth="1"/>
    <col min="10002" max="10002" width="9.140625" style="689"/>
    <col min="10003" max="10003" width="11.7109375" style="689" customWidth="1"/>
    <col min="10004" max="10004" width="12.140625" style="689" bestFit="1" customWidth="1"/>
    <col min="10005" max="10005" width="7.5703125" style="689" customWidth="1"/>
    <col min="10006" max="10006" width="9.140625" style="689"/>
    <col min="10007" max="10007" width="11.7109375" style="689" customWidth="1"/>
    <col min="10008" max="10008" width="12.140625" style="689" bestFit="1" customWidth="1"/>
    <col min="10009" max="10009" width="7.5703125" style="689" customWidth="1"/>
    <col min="10010" max="10010" width="9.140625" style="689"/>
    <col min="10011" max="10011" width="11.42578125" style="689" customWidth="1"/>
    <col min="10012" max="10012" width="9.140625" style="689"/>
    <col min="10013" max="10013" width="10.28515625" style="689" bestFit="1" customWidth="1"/>
    <col min="10014" max="10014" width="12" style="689" customWidth="1"/>
    <col min="10015" max="10016" width="9.140625" style="689"/>
    <col min="10017" max="10017" width="12" style="689" customWidth="1"/>
    <col min="10018" max="10018" width="11" style="689" customWidth="1"/>
    <col min="10019" max="10019" width="9.140625" style="689"/>
    <col min="10020" max="10020" width="12.42578125" style="689" customWidth="1"/>
    <col min="10021" max="10240" width="9.140625" style="689"/>
    <col min="10241" max="10241" width="57.140625" style="689" bestFit="1" customWidth="1"/>
    <col min="10242" max="10242" width="12.140625" style="689" customWidth="1"/>
    <col min="10243" max="10243" width="14.140625" style="689" customWidth="1"/>
    <col min="10244" max="10244" width="12.85546875" style="689" customWidth="1"/>
    <col min="10245" max="10245" width="11.42578125" style="689" customWidth="1"/>
    <col min="10246" max="10246" width="2.28515625" style="689" customWidth="1"/>
    <col min="10247" max="10247" width="12.85546875" style="689" customWidth="1"/>
    <col min="10248" max="10248" width="11.85546875" style="689" customWidth="1"/>
    <col min="10249" max="10249" width="1.7109375" style="689" customWidth="1"/>
    <col min="10250" max="10250" width="8.28515625" style="689" customWidth="1"/>
    <col min="10251" max="10251" width="13" style="689" customWidth="1"/>
    <col min="10252" max="10252" width="11.140625" style="689" customWidth="1"/>
    <col min="10253" max="10253" width="4.42578125" style="689" customWidth="1"/>
    <col min="10254" max="10254" width="9.140625" style="689"/>
    <col min="10255" max="10255" width="10.28515625" style="689" customWidth="1"/>
    <col min="10256" max="10256" width="11" style="689" customWidth="1"/>
    <col min="10257" max="10257" width="7.5703125" style="689" customWidth="1"/>
    <col min="10258" max="10258" width="9.140625" style="689"/>
    <col min="10259" max="10259" width="11.7109375" style="689" customWidth="1"/>
    <col min="10260" max="10260" width="12.140625" style="689" bestFit="1" customWidth="1"/>
    <col min="10261" max="10261" width="7.5703125" style="689" customWidth="1"/>
    <col min="10262" max="10262" width="9.140625" style="689"/>
    <col min="10263" max="10263" width="11.7109375" style="689" customWidth="1"/>
    <col min="10264" max="10264" width="12.140625" style="689" bestFit="1" customWidth="1"/>
    <col min="10265" max="10265" width="7.5703125" style="689" customWidth="1"/>
    <col min="10266" max="10266" width="9.140625" style="689"/>
    <col min="10267" max="10267" width="11.42578125" style="689" customWidth="1"/>
    <col min="10268" max="10268" width="9.140625" style="689"/>
    <col min="10269" max="10269" width="10.28515625" style="689" bestFit="1" customWidth="1"/>
    <col min="10270" max="10270" width="12" style="689" customWidth="1"/>
    <col min="10271" max="10272" width="9.140625" style="689"/>
    <col min="10273" max="10273" width="12" style="689" customWidth="1"/>
    <col min="10274" max="10274" width="11" style="689" customWidth="1"/>
    <col min="10275" max="10275" width="9.140625" style="689"/>
    <col min="10276" max="10276" width="12.42578125" style="689" customWidth="1"/>
    <col min="10277" max="10496" width="9.140625" style="689"/>
    <col min="10497" max="10497" width="57.140625" style="689" bestFit="1" customWidth="1"/>
    <col min="10498" max="10498" width="12.140625" style="689" customWidth="1"/>
    <col min="10499" max="10499" width="14.140625" style="689" customWidth="1"/>
    <col min="10500" max="10500" width="12.85546875" style="689" customWidth="1"/>
    <col min="10501" max="10501" width="11.42578125" style="689" customWidth="1"/>
    <col min="10502" max="10502" width="2.28515625" style="689" customWidth="1"/>
    <col min="10503" max="10503" width="12.85546875" style="689" customWidth="1"/>
    <col min="10504" max="10504" width="11.85546875" style="689" customWidth="1"/>
    <col min="10505" max="10505" width="1.7109375" style="689" customWidth="1"/>
    <col min="10506" max="10506" width="8.28515625" style="689" customWidth="1"/>
    <col min="10507" max="10507" width="13" style="689" customWidth="1"/>
    <col min="10508" max="10508" width="11.140625" style="689" customWidth="1"/>
    <col min="10509" max="10509" width="4.42578125" style="689" customWidth="1"/>
    <col min="10510" max="10510" width="9.140625" style="689"/>
    <col min="10511" max="10511" width="10.28515625" style="689" customWidth="1"/>
    <col min="10512" max="10512" width="11" style="689" customWidth="1"/>
    <col min="10513" max="10513" width="7.5703125" style="689" customWidth="1"/>
    <col min="10514" max="10514" width="9.140625" style="689"/>
    <col min="10515" max="10515" width="11.7109375" style="689" customWidth="1"/>
    <col min="10516" max="10516" width="12.140625" style="689" bestFit="1" customWidth="1"/>
    <col min="10517" max="10517" width="7.5703125" style="689" customWidth="1"/>
    <col min="10518" max="10518" width="9.140625" style="689"/>
    <col min="10519" max="10519" width="11.7109375" style="689" customWidth="1"/>
    <col min="10520" max="10520" width="12.140625" style="689" bestFit="1" customWidth="1"/>
    <col min="10521" max="10521" width="7.5703125" style="689" customWidth="1"/>
    <col min="10522" max="10522" width="9.140625" style="689"/>
    <col min="10523" max="10523" width="11.42578125" style="689" customWidth="1"/>
    <col min="10524" max="10524" width="9.140625" style="689"/>
    <col min="10525" max="10525" width="10.28515625" style="689" bestFit="1" customWidth="1"/>
    <col min="10526" max="10526" width="12" style="689" customWidth="1"/>
    <col min="10527" max="10528" width="9.140625" style="689"/>
    <col min="10529" max="10529" width="12" style="689" customWidth="1"/>
    <col min="10530" max="10530" width="11" style="689" customWidth="1"/>
    <col min="10531" max="10531" width="9.140625" style="689"/>
    <col min="10532" max="10532" width="12.42578125" style="689" customWidth="1"/>
    <col min="10533" max="10752" width="9.140625" style="689"/>
    <col min="10753" max="10753" width="57.140625" style="689" bestFit="1" customWidth="1"/>
    <col min="10754" max="10754" width="12.140625" style="689" customWidth="1"/>
    <col min="10755" max="10755" width="14.140625" style="689" customWidth="1"/>
    <col min="10756" max="10756" width="12.85546875" style="689" customWidth="1"/>
    <col min="10757" max="10757" width="11.42578125" style="689" customWidth="1"/>
    <col min="10758" max="10758" width="2.28515625" style="689" customWidth="1"/>
    <col min="10759" max="10759" width="12.85546875" style="689" customWidth="1"/>
    <col min="10760" max="10760" width="11.85546875" style="689" customWidth="1"/>
    <col min="10761" max="10761" width="1.7109375" style="689" customWidth="1"/>
    <col min="10762" max="10762" width="8.28515625" style="689" customWidth="1"/>
    <col min="10763" max="10763" width="13" style="689" customWidth="1"/>
    <col min="10764" max="10764" width="11.140625" style="689" customWidth="1"/>
    <col min="10765" max="10765" width="4.42578125" style="689" customWidth="1"/>
    <col min="10766" max="10766" width="9.140625" style="689"/>
    <col min="10767" max="10767" width="10.28515625" style="689" customWidth="1"/>
    <col min="10768" max="10768" width="11" style="689" customWidth="1"/>
    <col min="10769" max="10769" width="7.5703125" style="689" customWidth="1"/>
    <col min="10770" max="10770" width="9.140625" style="689"/>
    <col min="10771" max="10771" width="11.7109375" style="689" customWidth="1"/>
    <col min="10772" max="10772" width="12.140625" style="689" bestFit="1" customWidth="1"/>
    <col min="10773" max="10773" width="7.5703125" style="689" customWidth="1"/>
    <col min="10774" max="10774" width="9.140625" style="689"/>
    <col min="10775" max="10775" width="11.7109375" style="689" customWidth="1"/>
    <col min="10776" max="10776" width="12.140625" style="689" bestFit="1" customWidth="1"/>
    <col min="10777" max="10777" width="7.5703125" style="689" customWidth="1"/>
    <col min="10778" max="10778" width="9.140625" style="689"/>
    <col min="10779" max="10779" width="11.42578125" style="689" customWidth="1"/>
    <col min="10780" max="10780" width="9.140625" style="689"/>
    <col min="10781" max="10781" width="10.28515625" style="689" bestFit="1" customWidth="1"/>
    <col min="10782" max="10782" width="12" style="689" customWidth="1"/>
    <col min="10783" max="10784" width="9.140625" style="689"/>
    <col min="10785" max="10785" width="12" style="689" customWidth="1"/>
    <col min="10786" max="10786" width="11" style="689" customWidth="1"/>
    <col min="10787" max="10787" width="9.140625" style="689"/>
    <col min="10788" max="10788" width="12.42578125" style="689" customWidth="1"/>
    <col min="10789" max="11008" width="9.140625" style="689"/>
    <col min="11009" max="11009" width="57.140625" style="689" bestFit="1" customWidth="1"/>
    <col min="11010" max="11010" width="12.140625" style="689" customWidth="1"/>
    <col min="11011" max="11011" width="14.140625" style="689" customWidth="1"/>
    <col min="11012" max="11012" width="12.85546875" style="689" customWidth="1"/>
    <col min="11013" max="11013" width="11.42578125" style="689" customWidth="1"/>
    <col min="11014" max="11014" width="2.28515625" style="689" customWidth="1"/>
    <col min="11015" max="11015" width="12.85546875" style="689" customWidth="1"/>
    <col min="11016" max="11016" width="11.85546875" style="689" customWidth="1"/>
    <col min="11017" max="11017" width="1.7109375" style="689" customWidth="1"/>
    <col min="11018" max="11018" width="8.28515625" style="689" customWidth="1"/>
    <col min="11019" max="11019" width="13" style="689" customWidth="1"/>
    <col min="11020" max="11020" width="11.140625" style="689" customWidth="1"/>
    <col min="11021" max="11021" width="4.42578125" style="689" customWidth="1"/>
    <col min="11022" max="11022" width="9.140625" style="689"/>
    <col min="11023" max="11023" width="10.28515625" style="689" customWidth="1"/>
    <col min="11024" max="11024" width="11" style="689" customWidth="1"/>
    <col min="11025" max="11025" width="7.5703125" style="689" customWidth="1"/>
    <col min="11026" max="11026" width="9.140625" style="689"/>
    <col min="11027" max="11027" width="11.7109375" style="689" customWidth="1"/>
    <col min="11028" max="11028" width="12.140625" style="689" bestFit="1" customWidth="1"/>
    <col min="11029" max="11029" width="7.5703125" style="689" customWidth="1"/>
    <col min="11030" max="11030" width="9.140625" style="689"/>
    <col min="11031" max="11031" width="11.7109375" style="689" customWidth="1"/>
    <col min="11032" max="11032" width="12.140625" style="689" bestFit="1" customWidth="1"/>
    <col min="11033" max="11033" width="7.5703125" style="689" customWidth="1"/>
    <col min="11034" max="11034" width="9.140625" style="689"/>
    <col min="11035" max="11035" width="11.42578125" style="689" customWidth="1"/>
    <col min="11036" max="11036" width="9.140625" style="689"/>
    <col min="11037" max="11037" width="10.28515625" style="689" bestFit="1" customWidth="1"/>
    <col min="11038" max="11038" width="12" style="689" customWidth="1"/>
    <col min="11039" max="11040" width="9.140625" style="689"/>
    <col min="11041" max="11041" width="12" style="689" customWidth="1"/>
    <col min="11042" max="11042" width="11" style="689" customWidth="1"/>
    <col min="11043" max="11043" width="9.140625" style="689"/>
    <col min="11044" max="11044" width="12.42578125" style="689" customWidth="1"/>
    <col min="11045" max="11264" width="9.140625" style="689"/>
    <col min="11265" max="11265" width="57.140625" style="689" bestFit="1" customWidth="1"/>
    <col min="11266" max="11266" width="12.140625" style="689" customWidth="1"/>
    <col min="11267" max="11267" width="14.140625" style="689" customWidth="1"/>
    <col min="11268" max="11268" width="12.85546875" style="689" customWidth="1"/>
    <col min="11269" max="11269" width="11.42578125" style="689" customWidth="1"/>
    <col min="11270" max="11270" width="2.28515625" style="689" customWidth="1"/>
    <col min="11271" max="11271" width="12.85546875" style="689" customWidth="1"/>
    <col min="11272" max="11272" width="11.85546875" style="689" customWidth="1"/>
    <col min="11273" max="11273" width="1.7109375" style="689" customWidth="1"/>
    <col min="11274" max="11274" width="8.28515625" style="689" customWidth="1"/>
    <col min="11275" max="11275" width="13" style="689" customWidth="1"/>
    <col min="11276" max="11276" width="11.140625" style="689" customWidth="1"/>
    <col min="11277" max="11277" width="4.42578125" style="689" customWidth="1"/>
    <col min="11278" max="11278" width="9.140625" style="689"/>
    <col min="11279" max="11279" width="10.28515625" style="689" customWidth="1"/>
    <col min="11280" max="11280" width="11" style="689" customWidth="1"/>
    <col min="11281" max="11281" width="7.5703125" style="689" customWidth="1"/>
    <col min="11282" max="11282" width="9.140625" style="689"/>
    <col min="11283" max="11283" width="11.7109375" style="689" customWidth="1"/>
    <col min="11284" max="11284" width="12.140625" style="689" bestFit="1" customWidth="1"/>
    <col min="11285" max="11285" width="7.5703125" style="689" customWidth="1"/>
    <col min="11286" max="11286" width="9.140625" style="689"/>
    <col min="11287" max="11287" width="11.7109375" style="689" customWidth="1"/>
    <col min="11288" max="11288" width="12.140625" style="689" bestFit="1" customWidth="1"/>
    <col min="11289" max="11289" width="7.5703125" style="689" customWidth="1"/>
    <col min="11290" max="11290" width="9.140625" style="689"/>
    <col min="11291" max="11291" width="11.42578125" style="689" customWidth="1"/>
    <col min="11292" max="11292" width="9.140625" style="689"/>
    <col min="11293" max="11293" width="10.28515625" style="689" bestFit="1" customWidth="1"/>
    <col min="11294" max="11294" width="12" style="689" customWidth="1"/>
    <col min="11295" max="11296" width="9.140625" style="689"/>
    <col min="11297" max="11297" width="12" style="689" customWidth="1"/>
    <col min="11298" max="11298" width="11" style="689" customWidth="1"/>
    <col min="11299" max="11299" width="9.140625" style="689"/>
    <col min="11300" max="11300" width="12.42578125" style="689" customWidth="1"/>
    <col min="11301" max="11520" width="9.140625" style="689"/>
    <col min="11521" max="11521" width="57.140625" style="689" bestFit="1" customWidth="1"/>
    <col min="11522" max="11522" width="12.140625" style="689" customWidth="1"/>
    <col min="11523" max="11523" width="14.140625" style="689" customWidth="1"/>
    <col min="11524" max="11524" width="12.85546875" style="689" customWidth="1"/>
    <col min="11525" max="11525" width="11.42578125" style="689" customWidth="1"/>
    <col min="11526" max="11526" width="2.28515625" style="689" customWidth="1"/>
    <col min="11527" max="11527" width="12.85546875" style="689" customWidth="1"/>
    <col min="11528" max="11528" width="11.85546875" style="689" customWidth="1"/>
    <col min="11529" max="11529" width="1.7109375" style="689" customWidth="1"/>
    <col min="11530" max="11530" width="8.28515625" style="689" customWidth="1"/>
    <col min="11531" max="11531" width="13" style="689" customWidth="1"/>
    <col min="11532" max="11532" width="11.140625" style="689" customWidth="1"/>
    <col min="11533" max="11533" width="4.42578125" style="689" customWidth="1"/>
    <col min="11534" max="11534" width="9.140625" style="689"/>
    <col min="11535" max="11535" width="10.28515625" style="689" customWidth="1"/>
    <col min="11536" max="11536" width="11" style="689" customWidth="1"/>
    <col min="11537" max="11537" width="7.5703125" style="689" customWidth="1"/>
    <col min="11538" max="11538" width="9.140625" style="689"/>
    <col min="11539" max="11539" width="11.7109375" style="689" customWidth="1"/>
    <col min="11540" max="11540" width="12.140625" style="689" bestFit="1" customWidth="1"/>
    <col min="11541" max="11541" width="7.5703125" style="689" customWidth="1"/>
    <col min="11542" max="11542" width="9.140625" style="689"/>
    <col min="11543" max="11543" width="11.7109375" style="689" customWidth="1"/>
    <col min="11544" max="11544" width="12.140625" style="689" bestFit="1" customWidth="1"/>
    <col min="11545" max="11545" width="7.5703125" style="689" customWidth="1"/>
    <col min="11546" max="11546" width="9.140625" style="689"/>
    <col min="11547" max="11547" width="11.42578125" style="689" customWidth="1"/>
    <col min="11548" max="11548" width="9.140625" style="689"/>
    <col min="11549" max="11549" width="10.28515625" style="689" bestFit="1" customWidth="1"/>
    <col min="11550" max="11550" width="12" style="689" customWidth="1"/>
    <col min="11551" max="11552" width="9.140625" style="689"/>
    <col min="11553" max="11553" width="12" style="689" customWidth="1"/>
    <col min="11554" max="11554" width="11" style="689" customWidth="1"/>
    <col min="11555" max="11555" width="9.140625" style="689"/>
    <col min="11556" max="11556" width="12.42578125" style="689" customWidth="1"/>
    <col min="11557" max="11776" width="9.140625" style="689"/>
    <col min="11777" max="11777" width="57.140625" style="689" bestFit="1" customWidth="1"/>
    <col min="11778" max="11778" width="12.140625" style="689" customWidth="1"/>
    <col min="11779" max="11779" width="14.140625" style="689" customWidth="1"/>
    <col min="11780" max="11780" width="12.85546875" style="689" customWidth="1"/>
    <col min="11781" max="11781" width="11.42578125" style="689" customWidth="1"/>
    <col min="11782" max="11782" width="2.28515625" style="689" customWidth="1"/>
    <col min="11783" max="11783" width="12.85546875" style="689" customWidth="1"/>
    <col min="11784" max="11784" width="11.85546875" style="689" customWidth="1"/>
    <col min="11785" max="11785" width="1.7109375" style="689" customWidth="1"/>
    <col min="11786" max="11786" width="8.28515625" style="689" customWidth="1"/>
    <col min="11787" max="11787" width="13" style="689" customWidth="1"/>
    <col min="11788" max="11788" width="11.140625" style="689" customWidth="1"/>
    <col min="11789" max="11789" width="4.42578125" style="689" customWidth="1"/>
    <col min="11790" max="11790" width="9.140625" style="689"/>
    <col min="11791" max="11791" width="10.28515625" style="689" customWidth="1"/>
    <col min="11792" max="11792" width="11" style="689" customWidth="1"/>
    <col min="11793" max="11793" width="7.5703125" style="689" customWidth="1"/>
    <col min="11794" max="11794" width="9.140625" style="689"/>
    <col min="11795" max="11795" width="11.7109375" style="689" customWidth="1"/>
    <col min="11796" max="11796" width="12.140625" style="689" bestFit="1" customWidth="1"/>
    <col min="11797" max="11797" width="7.5703125" style="689" customWidth="1"/>
    <col min="11798" max="11798" width="9.140625" style="689"/>
    <col min="11799" max="11799" width="11.7109375" style="689" customWidth="1"/>
    <col min="11800" max="11800" width="12.140625" style="689" bestFit="1" customWidth="1"/>
    <col min="11801" max="11801" width="7.5703125" style="689" customWidth="1"/>
    <col min="11802" max="11802" width="9.140625" style="689"/>
    <col min="11803" max="11803" width="11.42578125" style="689" customWidth="1"/>
    <col min="11804" max="11804" width="9.140625" style="689"/>
    <col min="11805" max="11805" width="10.28515625" style="689" bestFit="1" customWidth="1"/>
    <col min="11806" max="11806" width="12" style="689" customWidth="1"/>
    <col min="11807" max="11808" width="9.140625" style="689"/>
    <col min="11809" max="11809" width="12" style="689" customWidth="1"/>
    <col min="11810" max="11810" width="11" style="689" customWidth="1"/>
    <col min="11811" max="11811" width="9.140625" style="689"/>
    <col min="11812" max="11812" width="12.42578125" style="689" customWidth="1"/>
    <col min="11813" max="12032" width="9.140625" style="689"/>
    <col min="12033" max="12033" width="57.140625" style="689" bestFit="1" customWidth="1"/>
    <col min="12034" max="12034" width="12.140625" style="689" customWidth="1"/>
    <col min="12035" max="12035" width="14.140625" style="689" customWidth="1"/>
    <col min="12036" max="12036" width="12.85546875" style="689" customWidth="1"/>
    <col min="12037" max="12037" width="11.42578125" style="689" customWidth="1"/>
    <col min="12038" max="12038" width="2.28515625" style="689" customWidth="1"/>
    <col min="12039" max="12039" width="12.85546875" style="689" customWidth="1"/>
    <col min="12040" max="12040" width="11.85546875" style="689" customWidth="1"/>
    <col min="12041" max="12041" width="1.7109375" style="689" customWidth="1"/>
    <col min="12042" max="12042" width="8.28515625" style="689" customWidth="1"/>
    <col min="12043" max="12043" width="13" style="689" customWidth="1"/>
    <col min="12044" max="12044" width="11.140625" style="689" customWidth="1"/>
    <col min="12045" max="12045" width="4.42578125" style="689" customWidth="1"/>
    <col min="12046" max="12046" width="9.140625" style="689"/>
    <col min="12047" max="12047" width="10.28515625" style="689" customWidth="1"/>
    <col min="12048" max="12048" width="11" style="689" customWidth="1"/>
    <col min="12049" max="12049" width="7.5703125" style="689" customWidth="1"/>
    <col min="12050" max="12050" width="9.140625" style="689"/>
    <col min="12051" max="12051" width="11.7109375" style="689" customWidth="1"/>
    <col min="12052" max="12052" width="12.140625" style="689" bestFit="1" customWidth="1"/>
    <col min="12053" max="12053" width="7.5703125" style="689" customWidth="1"/>
    <col min="12054" max="12054" width="9.140625" style="689"/>
    <col min="12055" max="12055" width="11.7109375" style="689" customWidth="1"/>
    <col min="12056" max="12056" width="12.140625" style="689" bestFit="1" customWidth="1"/>
    <col min="12057" max="12057" width="7.5703125" style="689" customWidth="1"/>
    <col min="12058" max="12058" width="9.140625" style="689"/>
    <col min="12059" max="12059" width="11.42578125" style="689" customWidth="1"/>
    <col min="12060" max="12060" width="9.140625" style="689"/>
    <col min="12061" max="12061" width="10.28515625" style="689" bestFit="1" customWidth="1"/>
    <col min="12062" max="12062" width="12" style="689" customWidth="1"/>
    <col min="12063" max="12064" width="9.140625" style="689"/>
    <col min="12065" max="12065" width="12" style="689" customWidth="1"/>
    <col min="12066" max="12066" width="11" style="689" customWidth="1"/>
    <col min="12067" max="12067" width="9.140625" style="689"/>
    <col min="12068" max="12068" width="12.42578125" style="689" customWidth="1"/>
    <col min="12069" max="12288" width="9.140625" style="689"/>
    <col min="12289" max="12289" width="57.140625" style="689" bestFit="1" customWidth="1"/>
    <col min="12290" max="12290" width="12.140625" style="689" customWidth="1"/>
    <col min="12291" max="12291" width="14.140625" style="689" customWidth="1"/>
    <col min="12292" max="12292" width="12.85546875" style="689" customWidth="1"/>
    <col min="12293" max="12293" width="11.42578125" style="689" customWidth="1"/>
    <col min="12294" max="12294" width="2.28515625" style="689" customWidth="1"/>
    <col min="12295" max="12295" width="12.85546875" style="689" customWidth="1"/>
    <col min="12296" max="12296" width="11.85546875" style="689" customWidth="1"/>
    <col min="12297" max="12297" width="1.7109375" style="689" customWidth="1"/>
    <col min="12298" max="12298" width="8.28515625" style="689" customWidth="1"/>
    <col min="12299" max="12299" width="13" style="689" customWidth="1"/>
    <col min="12300" max="12300" width="11.140625" style="689" customWidth="1"/>
    <col min="12301" max="12301" width="4.42578125" style="689" customWidth="1"/>
    <col min="12302" max="12302" width="9.140625" style="689"/>
    <col min="12303" max="12303" width="10.28515625" style="689" customWidth="1"/>
    <col min="12304" max="12304" width="11" style="689" customWidth="1"/>
    <col min="12305" max="12305" width="7.5703125" style="689" customWidth="1"/>
    <col min="12306" max="12306" width="9.140625" style="689"/>
    <col min="12307" max="12307" width="11.7109375" style="689" customWidth="1"/>
    <col min="12308" max="12308" width="12.140625" style="689" bestFit="1" customWidth="1"/>
    <col min="12309" max="12309" width="7.5703125" style="689" customWidth="1"/>
    <col min="12310" max="12310" width="9.140625" style="689"/>
    <col min="12311" max="12311" width="11.7109375" style="689" customWidth="1"/>
    <col min="12312" max="12312" width="12.140625" style="689" bestFit="1" customWidth="1"/>
    <col min="12313" max="12313" width="7.5703125" style="689" customWidth="1"/>
    <col min="12314" max="12314" width="9.140625" style="689"/>
    <col min="12315" max="12315" width="11.42578125" style="689" customWidth="1"/>
    <col min="12316" max="12316" width="9.140625" style="689"/>
    <col min="12317" max="12317" width="10.28515625" style="689" bestFit="1" customWidth="1"/>
    <col min="12318" max="12318" width="12" style="689" customWidth="1"/>
    <col min="12319" max="12320" width="9.140625" style="689"/>
    <col min="12321" max="12321" width="12" style="689" customWidth="1"/>
    <col min="12322" max="12322" width="11" style="689" customWidth="1"/>
    <col min="12323" max="12323" width="9.140625" style="689"/>
    <col min="12324" max="12324" width="12.42578125" style="689" customWidth="1"/>
    <col min="12325" max="12544" width="9.140625" style="689"/>
    <col min="12545" max="12545" width="57.140625" style="689" bestFit="1" customWidth="1"/>
    <col min="12546" max="12546" width="12.140625" style="689" customWidth="1"/>
    <col min="12547" max="12547" width="14.140625" style="689" customWidth="1"/>
    <col min="12548" max="12548" width="12.85546875" style="689" customWidth="1"/>
    <col min="12549" max="12549" width="11.42578125" style="689" customWidth="1"/>
    <col min="12550" max="12550" width="2.28515625" style="689" customWidth="1"/>
    <col min="12551" max="12551" width="12.85546875" style="689" customWidth="1"/>
    <col min="12552" max="12552" width="11.85546875" style="689" customWidth="1"/>
    <col min="12553" max="12553" width="1.7109375" style="689" customWidth="1"/>
    <col min="12554" max="12554" width="8.28515625" style="689" customWidth="1"/>
    <col min="12555" max="12555" width="13" style="689" customWidth="1"/>
    <col min="12556" max="12556" width="11.140625" style="689" customWidth="1"/>
    <col min="12557" max="12557" width="4.42578125" style="689" customWidth="1"/>
    <col min="12558" max="12558" width="9.140625" style="689"/>
    <col min="12559" max="12559" width="10.28515625" style="689" customWidth="1"/>
    <col min="12560" max="12560" width="11" style="689" customWidth="1"/>
    <col min="12561" max="12561" width="7.5703125" style="689" customWidth="1"/>
    <col min="12562" max="12562" width="9.140625" style="689"/>
    <col min="12563" max="12563" width="11.7109375" style="689" customWidth="1"/>
    <col min="12564" max="12564" width="12.140625" style="689" bestFit="1" customWidth="1"/>
    <col min="12565" max="12565" width="7.5703125" style="689" customWidth="1"/>
    <col min="12566" max="12566" width="9.140625" style="689"/>
    <col min="12567" max="12567" width="11.7109375" style="689" customWidth="1"/>
    <col min="12568" max="12568" width="12.140625" style="689" bestFit="1" customWidth="1"/>
    <col min="12569" max="12569" width="7.5703125" style="689" customWidth="1"/>
    <col min="12570" max="12570" width="9.140625" style="689"/>
    <col min="12571" max="12571" width="11.42578125" style="689" customWidth="1"/>
    <col min="12572" max="12572" width="9.140625" style="689"/>
    <col min="12573" max="12573" width="10.28515625" style="689" bestFit="1" customWidth="1"/>
    <col min="12574" max="12574" width="12" style="689" customWidth="1"/>
    <col min="12575" max="12576" width="9.140625" style="689"/>
    <col min="12577" max="12577" width="12" style="689" customWidth="1"/>
    <col min="12578" max="12578" width="11" style="689" customWidth="1"/>
    <col min="12579" max="12579" width="9.140625" style="689"/>
    <col min="12580" max="12580" width="12.42578125" style="689" customWidth="1"/>
    <col min="12581" max="12800" width="9.140625" style="689"/>
    <col min="12801" max="12801" width="57.140625" style="689" bestFit="1" customWidth="1"/>
    <col min="12802" max="12802" width="12.140625" style="689" customWidth="1"/>
    <col min="12803" max="12803" width="14.140625" style="689" customWidth="1"/>
    <col min="12804" max="12804" width="12.85546875" style="689" customWidth="1"/>
    <col min="12805" max="12805" width="11.42578125" style="689" customWidth="1"/>
    <col min="12806" max="12806" width="2.28515625" style="689" customWidth="1"/>
    <col min="12807" max="12807" width="12.85546875" style="689" customWidth="1"/>
    <col min="12808" max="12808" width="11.85546875" style="689" customWidth="1"/>
    <col min="12809" max="12809" width="1.7109375" style="689" customWidth="1"/>
    <col min="12810" max="12810" width="8.28515625" style="689" customWidth="1"/>
    <col min="12811" max="12811" width="13" style="689" customWidth="1"/>
    <col min="12812" max="12812" width="11.140625" style="689" customWidth="1"/>
    <col min="12813" max="12813" width="4.42578125" style="689" customWidth="1"/>
    <col min="12814" max="12814" width="9.140625" style="689"/>
    <col min="12815" max="12815" width="10.28515625" style="689" customWidth="1"/>
    <col min="12816" max="12816" width="11" style="689" customWidth="1"/>
    <col min="12817" max="12817" width="7.5703125" style="689" customWidth="1"/>
    <col min="12818" max="12818" width="9.140625" style="689"/>
    <col min="12819" max="12819" width="11.7109375" style="689" customWidth="1"/>
    <col min="12820" max="12820" width="12.140625" style="689" bestFit="1" customWidth="1"/>
    <col min="12821" max="12821" width="7.5703125" style="689" customWidth="1"/>
    <col min="12822" max="12822" width="9.140625" style="689"/>
    <col min="12823" max="12823" width="11.7109375" style="689" customWidth="1"/>
    <col min="12824" max="12824" width="12.140625" style="689" bestFit="1" customWidth="1"/>
    <col min="12825" max="12825" width="7.5703125" style="689" customWidth="1"/>
    <col min="12826" max="12826" width="9.140625" style="689"/>
    <col min="12827" max="12827" width="11.42578125" style="689" customWidth="1"/>
    <col min="12828" max="12828" width="9.140625" style="689"/>
    <col min="12829" max="12829" width="10.28515625" style="689" bestFit="1" customWidth="1"/>
    <col min="12830" max="12830" width="12" style="689" customWidth="1"/>
    <col min="12831" max="12832" width="9.140625" style="689"/>
    <col min="12833" max="12833" width="12" style="689" customWidth="1"/>
    <col min="12834" max="12834" width="11" style="689" customWidth="1"/>
    <col min="12835" max="12835" width="9.140625" style="689"/>
    <col min="12836" max="12836" width="12.42578125" style="689" customWidth="1"/>
    <col min="12837" max="13056" width="9.140625" style="689"/>
    <col min="13057" max="13057" width="57.140625" style="689" bestFit="1" customWidth="1"/>
    <col min="13058" max="13058" width="12.140625" style="689" customWidth="1"/>
    <col min="13059" max="13059" width="14.140625" style="689" customWidth="1"/>
    <col min="13060" max="13060" width="12.85546875" style="689" customWidth="1"/>
    <col min="13061" max="13061" width="11.42578125" style="689" customWidth="1"/>
    <col min="13062" max="13062" width="2.28515625" style="689" customWidth="1"/>
    <col min="13063" max="13063" width="12.85546875" style="689" customWidth="1"/>
    <col min="13064" max="13064" width="11.85546875" style="689" customWidth="1"/>
    <col min="13065" max="13065" width="1.7109375" style="689" customWidth="1"/>
    <col min="13066" max="13066" width="8.28515625" style="689" customWidth="1"/>
    <col min="13067" max="13067" width="13" style="689" customWidth="1"/>
    <col min="13068" max="13068" width="11.140625" style="689" customWidth="1"/>
    <col min="13069" max="13069" width="4.42578125" style="689" customWidth="1"/>
    <col min="13070" max="13070" width="9.140625" style="689"/>
    <col min="13071" max="13071" width="10.28515625" style="689" customWidth="1"/>
    <col min="13072" max="13072" width="11" style="689" customWidth="1"/>
    <col min="13073" max="13073" width="7.5703125" style="689" customWidth="1"/>
    <col min="13074" max="13074" width="9.140625" style="689"/>
    <col min="13075" max="13075" width="11.7109375" style="689" customWidth="1"/>
    <col min="13076" max="13076" width="12.140625" style="689" bestFit="1" customWidth="1"/>
    <col min="13077" max="13077" width="7.5703125" style="689" customWidth="1"/>
    <col min="13078" max="13078" width="9.140625" style="689"/>
    <col min="13079" max="13079" width="11.7109375" style="689" customWidth="1"/>
    <col min="13080" max="13080" width="12.140625" style="689" bestFit="1" customWidth="1"/>
    <col min="13081" max="13081" width="7.5703125" style="689" customWidth="1"/>
    <col min="13082" max="13082" width="9.140625" style="689"/>
    <col min="13083" max="13083" width="11.42578125" style="689" customWidth="1"/>
    <col min="13084" max="13084" width="9.140625" style="689"/>
    <col min="13085" max="13085" width="10.28515625" style="689" bestFit="1" customWidth="1"/>
    <col min="13086" max="13086" width="12" style="689" customWidth="1"/>
    <col min="13087" max="13088" width="9.140625" style="689"/>
    <col min="13089" max="13089" width="12" style="689" customWidth="1"/>
    <col min="13090" max="13090" width="11" style="689" customWidth="1"/>
    <col min="13091" max="13091" width="9.140625" style="689"/>
    <col min="13092" max="13092" width="12.42578125" style="689" customWidth="1"/>
    <col min="13093" max="13312" width="9.140625" style="689"/>
    <col min="13313" max="13313" width="57.140625" style="689" bestFit="1" customWidth="1"/>
    <col min="13314" max="13314" width="12.140625" style="689" customWidth="1"/>
    <col min="13315" max="13315" width="14.140625" style="689" customWidth="1"/>
    <col min="13316" max="13316" width="12.85546875" style="689" customWidth="1"/>
    <col min="13317" max="13317" width="11.42578125" style="689" customWidth="1"/>
    <col min="13318" max="13318" width="2.28515625" style="689" customWidth="1"/>
    <col min="13319" max="13319" width="12.85546875" style="689" customWidth="1"/>
    <col min="13320" max="13320" width="11.85546875" style="689" customWidth="1"/>
    <col min="13321" max="13321" width="1.7109375" style="689" customWidth="1"/>
    <col min="13322" max="13322" width="8.28515625" style="689" customWidth="1"/>
    <col min="13323" max="13323" width="13" style="689" customWidth="1"/>
    <col min="13324" max="13324" width="11.140625" style="689" customWidth="1"/>
    <col min="13325" max="13325" width="4.42578125" style="689" customWidth="1"/>
    <col min="13326" max="13326" width="9.140625" style="689"/>
    <col min="13327" max="13327" width="10.28515625" style="689" customWidth="1"/>
    <col min="13328" max="13328" width="11" style="689" customWidth="1"/>
    <col min="13329" max="13329" width="7.5703125" style="689" customWidth="1"/>
    <col min="13330" max="13330" width="9.140625" style="689"/>
    <col min="13331" max="13331" width="11.7109375" style="689" customWidth="1"/>
    <col min="13332" max="13332" width="12.140625" style="689" bestFit="1" customWidth="1"/>
    <col min="13333" max="13333" width="7.5703125" style="689" customWidth="1"/>
    <col min="13334" max="13334" width="9.140625" style="689"/>
    <col min="13335" max="13335" width="11.7109375" style="689" customWidth="1"/>
    <col min="13336" max="13336" width="12.140625" style="689" bestFit="1" customWidth="1"/>
    <col min="13337" max="13337" width="7.5703125" style="689" customWidth="1"/>
    <col min="13338" max="13338" width="9.140625" style="689"/>
    <col min="13339" max="13339" width="11.42578125" style="689" customWidth="1"/>
    <col min="13340" max="13340" width="9.140625" style="689"/>
    <col min="13341" max="13341" width="10.28515625" style="689" bestFit="1" customWidth="1"/>
    <col min="13342" max="13342" width="12" style="689" customWidth="1"/>
    <col min="13343" max="13344" width="9.140625" style="689"/>
    <col min="13345" max="13345" width="12" style="689" customWidth="1"/>
    <col min="13346" max="13346" width="11" style="689" customWidth="1"/>
    <col min="13347" max="13347" width="9.140625" style="689"/>
    <col min="13348" max="13348" width="12.42578125" style="689" customWidth="1"/>
    <col min="13349" max="13568" width="9.140625" style="689"/>
    <col min="13569" max="13569" width="57.140625" style="689" bestFit="1" customWidth="1"/>
    <col min="13570" max="13570" width="12.140625" style="689" customWidth="1"/>
    <col min="13571" max="13571" width="14.140625" style="689" customWidth="1"/>
    <col min="13572" max="13572" width="12.85546875" style="689" customWidth="1"/>
    <col min="13573" max="13573" width="11.42578125" style="689" customWidth="1"/>
    <col min="13574" max="13574" width="2.28515625" style="689" customWidth="1"/>
    <col min="13575" max="13575" width="12.85546875" style="689" customWidth="1"/>
    <col min="13576" max="13576" width="11.85546875" style="689" customWidth="1"/>
    <col min="13577" max="13577" width="1.7109375" style="689" customWidth="1"/>
    <col min="13578" max="13578" width="8.28515625" style="689" customWidth="1"/>
    <col min="13579" max="13579" width="13" style="689" customWidth="1"/>
    <col min="13580" max="13580" width="11.140625" style="689" customWidth="1"/>
    <col min="13581" max="13581" width="4.42578125" style="689" customWidth="1"/>
    <col min="13582" max="13582" width="9.140625" style="689"/>
    <col min="13583" max="13583" width="10.28515625" style="689" customWidth="1"/>
    <col min="13584" max="13584" width="11" style="689" customWidth="1"/>
    <col min="13585" max="13585" width="7.5703125" style="689" customWidth="1"/>
    <col min="13586" max="13586" width="9.140625" style="689"/>
    <col min="13587" max="13587" width="11.7109375" style="689" customWidth="1"/>
    <col min="13588" max="13588" width="12.140625" style="689" bestFit="1" customWidth="1"/>
    <col min="13589" max="13589" width="7.5703125" style="689" customWidth="1"/>
    <col min="13590" max="13590" width="9.140625" style="689"/>
    <col min="13591" max="13591" width="11.7109375" style="689" customWidth="1"/>
    <col min="13592" max="13592" width="12.140625" style="689" bestFit="1" customWidth="1"/>
    <col min="13593" max="13593" width="7.5703125" style="689" customWidth="1"/>
    <col min="13594" max="13594" width="9.140625" style="689"/>
    <col min="13595" max="13595" width="11.42578125" style="689" customWidth="1"/>
    <col min="13596" max="13596" width="9.140625" style="689"/>
    <col min="13597" max="13597" width="10.28515625" style="689" bestFit="1" customWidth="1"/>
    <col min="13598" max="13598" width="12" style="689" customWidth="1"/>
    <col min="13599" max="13600" width="9.140625" style="689"/>
    <col min="13601" max="13601" width="12" style="689" customWidth="1"/>
    <col min="13602" max="13602" width="11" style="689" customWidth="1"/>
    <col min="13603" max="13603" width="9.140625" style="689"/>
    <col min="13604" max="13604" width="12.42578125" style="689" customWidth="1"/>
    <col min="13605" max="13824" width="9.140625" style="689"/>
    <col min="13825" max="13825" width="57.140625" style="689" bestFit="1" customWidth="1"/>
    <col min="13826" max="13826" width="12.140625" style="689" customWidth="1"/>
    <col min="13827" max="13827" width="14.140625" style="689" customWidth="1"/>
    <col min="13828" max="13828" width="12.85546875" style="689" customWidth="1"/>
    <col min="13829" max="13829" width="11.42578125" style="689" customWidth="1"/>
    <col min="13830" max="13830" width="2.28515625" style="689" customWidth="1"/>
    <col min="13831" max="13831" width="12.85546875" style="689" customWidth="1"/>
    <col min="13832" max="13832" width="11.85546875" style="689" customWidth="1"/>
    <col min="13833" max="13833" width="1.7109375" style="689" customWidth="1"/>
    <col min="13834" max="13834" width="8.28515625" style="689" customWidth="1"/>
    <col min="13835" max="13835" width="13" style="689" customWidth="1"/>
    <col min="13836" max="13836" width="11.140625" style="689" customWidth="1"/>
    <col min="13837" max="13837" width="4.42578125" style="689" customWidth="1"/>
    <col min="13838" max="13838" width="9.140625" style="689"/>
    <col min="13839" max="13839" width="10.28515625" style="689" customWidth="1"/>
    <col min="13840" max="13840" width="11" style="689" customWidth="1"/>
    <col min="13841" max="13841" width="7.5703125" style="689" customWidth="1"/>
    <col min="13842" max="13842" width="9.140625" style="689"/>
    <col min="13843" max="13843" width="11.7109375" style="689" customWidth="1"/>
    <col min="13844" max="13844" width="12.140625" style="689" bestFit="1" customWidth="1"/>
    <col min="13845" max="13845" width="7.5703125" style="689" customWidth="1"/>
    <col min="13846" max="13846" width="9.140625" style="689"/>
    <col min="13847" max="13847" width="11.7109375" style="689" customWidth="1"/>
    <col min="13848" max="13848" width="12.140625" style="689" bestFit="1" customWidth="1"/>
    <col min="13849" max="13849" width="7.5703125" style="689" customWidth="1"/>
    <col min="13850" max="13850" width="9.140625" style="689"/>
    <col min="13851" max="13851" width="11.42578125" style="689" customWidth="1"/>
    <col min="13852" max="13852" width="9.140625" style="689"/>
    <col min="13853" max="13853" width="10.28515625" style="689" bestFit="1" customWidth="1"/>
    <col min="13854" max="13854" width="12" style="689" customWidth="1"/>
    <col min="13855" max="13856" width="9.140625" style="689"/>
    <col min="13857" max="13857" width="12" style="689" customWidth="1"/>
    <col min="13858" max="13858" width="11" style="689" customWidth="1"/>
    <col min="13859" max="13859" width="9.140625" style="689"/>
    <col min="13860" max="13860" width="12.42578125" style="689" customWidth="1"/>
    <col min="13861" max="14080" width="9.140625" style="689"/>
    <col min="14081" max="14081" width="57.140625" style="689" bestFit="1" customWidth="1"/>
    <col min="14082" max="14082" width="12.140625" style="689" customWidth="1"/>
    <col min="14083" max="14083" width="14.140625" style="689" customWidth="1"/>
    <col min="14084" max="14084" width="12.85546875" style="689" customWidth="1"/>
    <col min="14085" max="14085" width="11.42578125" style="689" customWidth="1"/>
    <col min="14086" max="14086" width="2.28515625" style="689" customWidth="1"/>
    <col min="14087" max="14087" width="12.85546875" style="689" customWidth="1"/>
    <col min="14088" max="14088" width="11.85546875" style="689" customWidth="1"/>
    <col min="14089" max="14089" width="1.7109375" style="689" customWidth="1"/>
    <col min="14090" max="14090" width="8.28515625" style="689" customWidth="1"/>
    <col min="14091" max="14091" width="13" style="689" customWidth="1"/>
    <col min="14092" max="14092" width="11.140625" style="689" customWidth="1"/>
    <col min="14093" max="14093" width="4.42578125" style="689" customWidth="1"/>
    <col min="14094" max="14094" width="9.140625" style="689"/>
    <col min="14095" max="14095" width="10.28515625" style="689" customWidth="1"/>
    <col min="14096" max="14096" width="11" style="689" customWidth="1"/>
    <col min="14097" max="14097" width="7.5703125" style="689" customWidth="1"/>
    <col min="14098" max="14098" width="9.140625" style="689"/>
    <col min="14099" max="14099" width="11.7109375" style="689" customWidth="1"/>
    <col min="14100" max="14100" width="12.140625" style="689" bestFit="1" customWidth="1"/>
    <col min="14101" max="14101" width="7.5703125" style="689" customWidth="1"/>
    <col min="14102" max="14102" width="9.140625" style="689"/>
    <col min="14103" max="14103" width="11.7109375" style="689" customWidth="1"/>
    <col min="14104" max="14104" width="12.140625" style="689" bestFit="1" customWidth="1"/>
    <col min="14105" max="14105" width="7.5703125" style="689" customWidth="1"/>
    <col min="14106" max="14106" width="9.140625" style="689"/>
    <col min="14107" max="14107" width="11.42578125" style="689" customWidth="1"/>
    <col min="14108" max="14108" width="9.140625" style="689"/>
    <col min="14109" max="14109" width="10.28515625" style="689" bestFit="1" customWidth="1"/>
    <col min="14110" max="14110" width="12" style="689" customWidth="1"/>
    <col min="14111" max="14112" width="9.140625" style="689"/>
    <col min="14113" max="14113" width="12" style="689" customWidth="1"/>
    <col min="14114" max="14114" width="11" style="689" customWidth="1"/>
    <col min="14115" max="14115" width="9.140625" style="689"/>
    <col min="14116" max="14116" width="12.42578125" style="689" customWidth="1"/>
    <col min="14117" max="14336" width="9.140625" style="689"/>
    <col min="14337" max="14337" width="57.140625" style="689" bestFit="1" customWidth="1"/>
    <col min="14338" max="14338" width="12.140625" style="689" customWidth="1"/>
    <col min="14339" max="14339" width="14.140625" style="689" customWidth="1"/>
    <col min="14340" max="14340" width="12.85546875" style="689" customWidth="1"/>
    <col min="14341" max="14341" width="11.42578125" style="689" customWidth="1"/>
    <col min="14342" max="14342" width="2.28515625" style="689" customWidth="1"/>
    <col min="14343" max="14343" width="12.85546875" style="689" customWidth="1"/>
    <col min="14344" max="14344" width="11.85546875" style="689" customWidth="1"/>
    <col min="14345" max="14345" width="1.7109375" style="689" customWidth="1"/>
    <col min="14346" max="14346" width="8.28515625" style="689" customWidth="1"/>
    <col min="14347" max="14347" width="13" style="689" customWidth="1"/>
    <col min="14348" max="14348" width="11.140625" style="689" customWidth="1"/>
    <col min="14349" max="14349" width="4.42578125" style="689" customWidth="1"/>
    <col min="14350" max="14350" width="9.140625" style="689"/>
    <col min="14351" max="14351" width="10.28515625" style="689" customWidth="1"/>
    <col min="14352" max="14352" width="11" style="689" customWidth="1"/>
    <col min="14353" max="14353" width="7.5703125" style="689" customWidth="1"/>
    <col min="14354" max="14354" width="9.140625" style="689"/>
    <col min="14355" max="14355" width="11.7109375" style="689" customWidth="1"/>
    <col min="14356" max="14356" width="12.140625" style="689" bestFit="1" customWidth="1"/>
    <col min="14357" max="14357" width="7.5703125" style="689" customWidth="1"/>
    <col min="14358" max="14358" width="9.140625" style="689"/>
    <col min="14359" max="14359" width="11.7109375" style="689" customWidth="1"/>
    <col min="14360" max="14360" width="12.140625" style="689" bestFit="1" customWidth="1"/>
    <col min="14361" max="14361" width="7.5703125" style="689" customWidth="1"/>
    <col min="14362" max="14362" width="9.140625" style="689"/>
    <col min="14363" max="14363" width="11.42578125" style="689" customWidth="1"/>
    <col min="14364" max="14364" width="9.140625" style="689"/>
    <col min="14365" max="14365" width="10.28515625" style="689" bestFit="1" customWidth="1"/>
    <col min="14366" max="14366" width="12" style="689" customWidth="1"/>
    <col min="14367" max="14368" width="9.140625" style="689"/>
    <col min="14369" max="14369" width="12" style="689" customWidth="1"/>
    <col min="14370" max="14370" width="11" style="689" customWidth="1"/>
    <col min="14371" max="14371" width="9.140625" style="689"/>
    <col min="14372" max="14372" width="12.42578125" style="689" customWidth="1"/>
    <col min="14373" max="14592" width="9.140625" style="689"/>
    <col min="14593" max="14593" width="57.140625" style="689" bestFit="1" customWidth="1"/>
    <col min="14594" max="14594" width="12.140625" style="689" customWidth="1"/>
    <col min="14595" max="14595" width="14.140625" style="689" customWidth="1"/>
    <col min="14596" max="14596" width="12.85546875" style="689" customWidth="1"/>
    <col min="14597" max="14597" width="11.42578125" style="689" customWidth="1"/>
    <col min="14598" max="14598" width="2.28515625" style="689" customWidth="1"/>
    <col min="14599" max="14599" width="12.85546875" style="689" customWidth="1"/>
    <col min="14600" max="14600" width="11.85546875" style="689" customWidth="1"/>
    <col min="14601" max="14601" width="1.7109375" style="689" customWidth="1"/>
    <col min="14602" max="14602" width="8.28515625" style="689" customWidth="1"/>
    <col min="14603" max="14603" width="13" style="689" customWidth="1"/>
    <col min="14604" max="14604" width="11.140625" style="689" customWidth="1"/>
    <col min="14605" max="14605" width="4.42578125" style="689" customWidth="1"/>
    <col min="14606" max="14606" width="9.140625" style="689"/>
    <col min="14607" max="14607" width="10.28515625" style="689" customWidth="1"/>
    <col min="14608" max="14608" width="11" style="689" customWidth="1"/>
    <col min="14609" max="14609" width="7.5703125" style="689" customWidth="1"/>
    <col min="14610" max="14610" width="9.140625" style="689"/>
    <col min="14611" max="14611" width="11.7109375" style="689" customWidth="1"/>
    <col min="14612" max="14612" width="12.140625" style="689" bestFit="1" customWidth="1"/>
    <col min="14613" max="14613" width="7.5703125" style="689" customWidth="1"/>
    <col min="14614" max="14614" width="9.140625" style="689"/>
    <col min="14615" max="14615" width="11.7109375" style="689" customWidth="1"/>
    <col min="14616" max="14616" width="12.140625" style="689" bestFit="1" customWidth="1"/>
    <col min="14617" max="14617" width="7.5703125" style="689" customWidth="1"/>
    <col min="14618" max="14618" width="9.140625" style="689"/>
    <col min="14619" max="14619" width="11.42578125" style="689" customWidth="1"/>
    <col min="14620" max="14620" width="9.140625" style="689"/>
    <col min="14621" max="14621" width="10.28515625" style="689" bestFit="1" customWidth="1"/>
    <col min="14622" max="14622" width="12" style="689" customWidth="1"/>
    <col min="14623" max="14624" width="9.140625" style="689"/>
    <col min="14625" max="14625" width="12" style="689" customWidth="1"/>
    <col min="14626" max="14626" width="11" style="689" customWidth="1"/>
    <col min="14627" max="14627" width="9.140625" style="689"/>
    <col min="14628" max="14628" width="12.42578125" style="689" customWidth="1"/>
    <col min="14629" max="14848" width="9.140625" style="689"/>
    <col min="14849" max="14849" width="57.140625" style="689" bestFit="1" customWidth="1"/>
    <col min="14850" max="14850" width="12.140625" style="689" customWidth="1"/>
    <col min="14851" max="14851" width="14.140625" style="689" customWidth="1"/>
    <col min="14852" max="14852" width="12.85546875" style="689" customWidth="1"/>
    <col min="14853" max="14853" width="11.42578125" style="689" customWidth="1"/>
    <col min="14854" max="14854" width="2.28515625" style="689" customWidth="1"/>
    <col min="14855" max="14855" width="12.85546875" style="689" customWidth="1"/>
    <col min="14856" max="14856" width="11.85546875" style="689" customWidth="1"/>
    <col min="14857" max="14857" width="1.7109375" style="689" customWidth="1"/>
    <col min="14858" max="14858" width="8.28515625" style="689" customWidth="1"/>
    <col min="14859" max="14859" width="13" style="689" customWidth="1"/>
    <col min="14860" max="14860" width="11.140625" style="689" customWidth="1"/>
    <col min="14861" max="14861" width="4.42578125" style="689" customWidth="1"/>
    <col min="14862" max="14862" width="9.140625" style="689"/>
    <col min="14863" max="14863" width="10.28515625" style="689" customWidth="1"/>
    <col min="14864" max="14864" width="11" style="689" customWidth="1"/>
    <col min="14865" max="14865" width="7.5703125" style="689" customWidth="1"/>
    <col min="14866" max="14866" width="9.140625" style="689"/>
    <col min="14867" max="14867" width="11.7109375" style="689" customWidth="1"/>
    <col min="14868" max="14868" width="12.140625" style="689" bestFit="1" customWidth="1"/>
    <col min="14869" max="14869" width="7.5703125" style="689" customWidth="1"/>
    <col min="14870" max="14870" width="9.140625" style="689"/>
    <col min="14871" max="14871" width="11.7109375" style="689" customWidth="1"/>
    <col min="14872" max="14872" width="12.140625" style="689" bestFit="1" customWidth="1"/>
    <col min="14873" max="14873" width="7.5703125" style="689" customWidth="1"/>
    <col min="14874" max="14874" width="9.140625" style="689"/>
    <col min="14875" max="14875" width="11.42578125" style="689" customWidth="1"/>
    <col min="14876" max="14876" width="9.140625" style="689"/>
    <col min="14877" max="14877" width="10.28515625" style="689" bestFit="1" customWidth="1"/>
    <col min="14878" max="14878" width="12" style="689" customWidth="1"/>
    <col min="14879" max="14880" width="9.140625" style="689"/>
    <col min="14881" max="14881" width="12" style="689" customWidth="1"/>
    <col min="14882" max="14882" width="11" style="689" customWidth="1"/>
    <col min="14883" max="14883" width="9.140625" style="689"/>
    <col min="14884" max="14884" width="12.42578125" style="689" customWidth="1"/>
    <col min="14885" max="15104" width="9.140625" style="689"/>
    <col min="15105" max="15105" width="57.140625" style="689" bestFit="1" customWidth="1"/>
    <col min="15106" max="15106" width="12.140625" style="689" customWidth="1"/>
    <col min="15107" max="15107" width="14.140625" style="689" customWidth="1"/>
    <col min="15108" max="15108" width="12.85546875" style="689" customWidth="1"/>
    <col min="15109" max="15109" width="11.42578125" style="689" customWidth="1"/>
    <col min="15110" max="15110" width="2.28515625" style="689" customWidth="1"/>
    <col min="15111" max="15111" width="12.85546875" style="689" customWidth="1"/>
    <col min="15112" max="15112" width="11.85546875" style="689" customWidth="1"/>
    <col min="15113" max="15113" width="1.7109375" style="689" customWidth="1"/>
    <col min="15114" max="15114" width="8.28515625" style="689" customWidth="1"/>
    <col min="15115" max="15115" width="13" style="689" customWidth="1"/>
    <col min="15116" max="15116" width="11.140625" style="689" customWidth="1"/>
    <col min="15117" max="15117" width="4.42578125" style="689" customWidth="1"/>
    <col min="15118" max="15118" width="9.140625" style="689"/>
    <col min="15119" max="15119" width="10.28515625" style="689" customWidth="1"/>
    <col min="15120" max="15120" width="11" style="689" customWidth="1"/>
    <col min="15121" max="15121" width="7.5703125" style="689" customWidth="1"/>
    <col min="15122" max="15122" width="9.140625" style="689"/>
    <col min="15123" max="15123" width="11.7109375" style="689" customWidth="1"/>
    <col min="15124" max="15124" width="12.140625" style="689" bestFit="1" customWidth="1"/>
    <col min="15125" max="15125" width="7.5703125" style="689" customWidth="1"/>
    <col min="15126" max="15126" width="9.140625" style="689"/>
    <col min="15127" max="15127" width="11.7109375" style="689" customWidth="1"/>
    <col min="15128" max="15128" width="12.140625" style="689" bestFit="1" customWidth="1"/>
    <col min="15129" max="15129" width="7.5703125" style="689" customWidth="1"/>
    <col min="15130" max="15130" width="9.140625" style="689"/>
    <col min="15131" max="15131" width="11.42578125" style="689" customWidth="1"/>
    <col min="15132" max="15132" width="9.140625" style="689"/>
    <col min="15133" max="15133" width="10.28515625" style="689" bestFit="1" customWidth="1"/>
    <col min="15134" max="15134" width="12" style="689" customWidth="1"/>
    <col min="15135" max="15136" width="9.140625" style="689"/>
    <col min="15137" max="15137" width="12" style="689" customWidth="1"/>
    <col min="15138" max="15138" width="11" style="689" customWidth="1"/>
    <col min="15139" max="15139" width="9.140625" style="689"/>
    <col min="15140" max="15140" width="12.42578125" style="689" customWidth="1"/>
    <col min="15141" max="15360" width="9.140625" style="689"/>
    <col min="15361" max="15361" width="57.140625" style="689" bestFit="1" customWidth="1"/>
    <col min="15362" max="15362" width="12.140625" style="689" customWidth="1"/>
    <col min="15363" max="15363" width="14.140625" style="689" customWidth="1"/>
    <col min="15364" max="15364" width="12.85546875" style="689" customWidth="1"/>
    <col min="15365" max="15365" width="11.42578125" style="689" customWidth="1"/>
    <col min="15366" max="15366" width="2.28515625" style="689" customWidth="1"/>
    <col min="15367" max="15367" width="12.85546875" style="689" customWidth="1"/>
    <col min="15368" max="15368" width="11.85546875" style="689" customWidth="1"/>
    <col min="15369" max="15369" width="1.7109375" style="689" customWidth="1"/>
    <col min="15370" max="15370" width="8.28515625" style="689" customWidth="1"/>
    <col min="15371" max="15371" width="13" style="689" customWidth="1"/>
    <col min="15372" max="15372" width="11.140625" style="689" customWidth="1"/>
    <col min="15373" max="15373" width="4.42578125" style="689" customWidth="1"/>
    <col min="15374" max="15374" width="9.140625" style="689"/>
    <col min="15375" max="15375" width="10.28515625" style="689" customWidth="1"/>
    <col min="15376" max="15376" width="11" style="689" customWidth="1"/>
    <col min="15377" max="15377" width="7.5703125" style="689" customWidth="1"/>
    <col min="15378" max="15378" width="9.140625" style="689"/>
    <col min="15379" max="15379" width="11.7109375" style="689" customWidth="1"/>
    <col min="15380" max="15380" width="12.140625" style="689" bestFit="1" customWidth="1"/>
    <col min="15381" max="15381" width="7.5703125" style="689" customWidth="1"/>
    <col min="15382" max="15382" width="9.140625" style="689"/>
    <col min="15383" max="15383" width="11.7109375" style="689" customWidth="1"/>
    <col min="15384" max="15384" width="12.140625" style="689" bestFit="1" customWidth="1"/>
    <col min="15385" max="15385" width="7.5703125" style="689" customWidth="1"/>
    <col min="15386" max="15386" width="9.140625" style="689"/>
    <col min="15387" max="15387" width="11.42578125" style="689" customWidth="1"/>
    <col min="15388" max="15388" width="9.140625" style="689"/>
    <col min="15389" max="15389" width="10.28515625" style="689" bestFit="1" customWidth="1"/>
    <col min="15390" max="15390" width="12" style="689" customWidth="1"/>
    <col min="15391" max="15392" width="9.140625" style="689"/>
    <col min="15393" max="15393" width="12" style="689" customWidth="1"/>
    <col min="15394" max="15394" width="11" style="689" customWidth="1"/>
    <col min="15395" max="15395" width="9.140625" style="689"/>
    <col min="15396" max="15396" width="12.42578125" style="689" customWidth="1"/>
    <col min="15397" max="15616" width="9.140625" style="689"/>
    <col min="15617" max="15617" width="57.140625" style="689" bestFit="1" customWidth="1"/>
    <col min="15618" max="15618" width="12.140625" style="689" customWidth="1"/>
    <col min="15619" max="15619" width="14.140625" style="689" customWidth="1"/>
    <col min="15620" max="15620" width="12.85546875" style="689" customWidth="1"/>
    <col min="15621" max="15621" width="11.42578125" style="689" customWidth="1"/>
    <col min="15622" max="15622" width="2.28515625" style="689" customWidth="1"/>
    <col min="15623" max="15623" width="12.85546875" style="689" customWidth="1"/>
    <col min="15624" max="15624" width="11.85546875" style="689" customWidth="1"/>
    <col min="15625" max="15625" width="1.7109375" style="689" customWidth="1"/>
    <col min="15626" max="15626" width="8.28515625" style="689" customWidth="1"/>
    <col min="15627" max="15627" width="13" style="689" customWidth="1"/>
    <col min="15628" max="15628" width="11.140625" style="689" customWidth="1"/>
    <col min="15629" max="15629" width="4.42578125" style="689" customWidth="1"/>
    <col min="15630" max="15630" width="9.140625" style="689"/>
    <col min="15631" max="15631" width="10.28515625" style="689" customWidth="1"/>
    <col min="15632" max="15632" width="11" style="689" customWidth="1"/>
    <col min="15633" max="15633" width="7.5703125" style="689" customWidth="1"/>
    <col min="15634" max="15634" width="9.140625" style="689"/>
    <col min="15635" max="15635" width="11.7109375" style="689" customWidth="1"/>
    <col min="15636" max="15636" width="12.140625" style="689" bestFit="1" customWidth="1"/>
    <col min="15637" max="15637" width="7.5703125" style="689" customWidth="1"/>
    <col min="15638" max="15638" width="9.140625" style="689"/>
    <col min="15639" max="15639" width="11.7109375" style="689" customWidth="1"/>
    <col min="15640" max="15640" width="12.140625" style="689" bestFit="1" customWidth="1"/>
    <col min="15641" max="15641" width="7.5703125" style="689" customWidth="1"/>
    <col min="15642" max="15642" width="9.140625" style="689"/>
    <col min="15643" max="15643" width="11.42578125" style="689" customWidth="1"/>
    <col min="15644" max="15644" width="9.140625" style="689"/>
    <col min="15645" max="15645" width="10.28515625" style="689" bestFit="1" customWidth="1"/>
    <col min="15646" max="15646" width="12" style="689" customWidth="1"/>
    <col min="15647" max="15648" width="9.140625" style="689"/>
    <col min="15649" max="15649" width="12" style="689" customWidth="1"/>
    <col min="15650" max="15650" width="11" style="689" customWidth="1"/>
    <col min="15651" max="15651" width="9.140625" style="689"/>
    <col min="15652" max="15652" width="12.42578125" style="689" customWidth="1"/>
    <col min="15653" max="15872" width="9.140625" style="689"/>
    <col min="15873" max="15873" width="57.140625" style="689" bestFit="1" customWidth="1"/>
    <col min="15874" max="15874" width="12.140625" style="689" customWidth="1"/>
    <col min="15875" max="15875" width="14.140625" style="689" customWidth="1"/>
    <col min="15876" max="15876" width="12.85546875" style="689" customWidth="1"/>
    <col min="15877" max="15877" width="11.42578125" style="689" customWidth="1"/>
    <col min="15878" max="15878" width="2.28515625" style="689" customWidth="1"/>
    <col min="15879" max="15879" width="12.85546875" style="689" customWidth="1"/>
    <col min="15880" max="15880" width="11.85546875" style="689" customWidth="1"/>
    <col min="15881" max="15881" width="1.7109375" style="689" customWidth="1"/>
    <col min="15882" max="15882" width="8.28515625" style="689" customWidth="1"/>
    <col min="15883" max="15883" width="13" style="689" customWidth="1"/>
    <col min="15884" max="15884" width="11.140625" style="689" customWidth="1"/>
    <col min="15885" max="15885" width="4.42578125" style="689" customWidth="1"/>
    <col min="15886" max="15886" width="9.140625" style="689"/>
    <col min="15887" max="15887" width="10.28515625" style="689" customWidth="1"/>
    <col min="15888" max="15888" width="11" style="689" customWidth="1"/>
    <col min="15889" max="15889" width="7.5703125" style="689" customWidth="1"/>
    <col min="15890" max="15890" width="9.140625" style="689"/>
    <col min="15891" max="15891" width="11.7109375" style="689" customWidth="1"/>
    <col min="15892" max="15892" width="12.140625" style="689" bestFit="1" customWidth="1"/>
    <col min="15893" max="15893" width="7.5703125" style="689" customWidth="1"/>
    <col min="15894" max="15894" width="9.140625" style="689"/>
    <col min="15895" max="15895" width="11.7109375" style="689" customWidth="1"/>
    <col min="15896" max="15896" width="12.140625" style="689" bestFit="1" customWidth="1"/>
    <col min="15897" max="15897" width="7.5703125" style="689" customWidth="1"/>
    <col min="15898" max="15898" width="9.140625" style="689"/>
    <col min="15899" max="15899" width="11.42578125" style="689" customWidth="1"/>
    <col min="15900" max="15900" width="9.140625" style="689"/>
    <col min="15901" max="15901" width="10.28515625" style="689" bestFit="1" customWidth="1"/>
    <col min="15902" max="15902" width="12" style="689" customWidth="1"/>
    <col min="15903" max="15904" width="9.140625" style="689"/>
    <col min="15905" max="15905" width="12" style="689" customWidth="1"/>
    <col min="15906" max="15906" width="11" style="689" customWidth="1"/>
    <col min="15907" max="15907" width="9.140625" style="689"/>
    <col min="15908" max="15908" width="12.42578125" style="689" customWidth="1"/>
    <col min="15909" max="16128" width="9.140625" style="689"/>
    <col min="16129" max="16129" width="57.140625" style="689" bestFit="1" customWidth="1"/>
    <col min="16130" max="16130" width="12.140625" style="689" customWidth="1"/>
    <col min="16131" max="16131" width="14.140625" style="689" customWidth="1"/>
    <col min="16132" max="16132" width="12.85546875" style="689" customWidth="1"/>
    <col min="16133" max="16133" width="11.42578125" style="689" customWidth="1"/>
    <col min="16134" max="16134" width="2.28515625" style="689" customWidth="1"/>
    <col min="16135" max="16135" width="12.85546875" style="689" customWidth="1"/>
    <col min="16136" max="16136" width="11.85546875" style="689" customWidth="1"/>
    <col min="16137" max="16137" width="1.7109375" style="689" customWidth="1"/>
    <col min="16138" max="16138" width="8.28515625" style="689" customWidth="1"/>
    <col min="16139" max="16139" width="13" style="689" customWidth="1"/>
    <col min="16140" max="16140" width="11.140625" style="689" customWidth="1"/>
    <col min="16141" max="16141" width="4.42578125" style="689" customWidth="1"/>
    <col min="16142" max="16142" width="9.140625" style="689"/>
    <col min="16143" max="16143" width="10.28515625" style="689" customWidth="1"/>
    <col min="16144" max="16144" width="11" style="689" customWidth="1"/>
    <col min="16145" max="16145" width="7.5703125" style="689" customWidth="1"/>
    <col min="16146" max="16146" width="9.140625" style="689"/>
    <col min="16147" max="16147" width="11.7109375" style="689" customWidth="1"/>
    <col min="16148" max="16148" width="12.140625" style="689" bestFit="1" customWidth="1"/>
    <col min="16149" max="16149" width="7.5703125" style="689" customWidth="1"/>
    <col min="16150" max="16150" width="9.140625" style="689"/>
    <col min="16151" max="16151" width="11.7109375" style="689" customWidth="1"/>
    <col min="16152" max="16152" width="12.140625" style="689" bestFit="1" customWidth="1"/>
    <col min="16153" max="16153" width="7.5703125" style="689" customWidth="1"/>
    <col min="16154" max="16154" width="9.140625" style="689"/>
    <col min="16155" max="16155" width="11.42578125" style="689" customWidth="1"/>
    <col min="16156" max="16156" width="9.140625" style="689"/>
    <col min="16157" max="16157" width="10.28515625" style="689" bestFit="1" customWidth="1"/>
    <col min="16158" max="16158" width="12" style="689" customWidth="1"/>
    <col min="16159" max="16160" width="9.140625" style="689"/>
    <col min="16161" max="16161" width="12" style="689" customWidth="1"/>
    <col min="16162" max="16162" width="11" style="689" customWidth="1"/>
    <col min="16163" max="16163" width="9.140625" style="689"/>
    <col min="16164" max="16164" width="12.42578125" style="689" customWidth="1"/>
    <col min="16165" max="16384" width="9.140625" style="689"/>
  </cols>
  <sheetData>
    <row r="1" spans="1:24">
      <c r="A1" s="705" t="s">
        <v>5</v>
      </c>
    </row>
    <row r="2" spans="1:24">
      <c r="A2" s="705" t="s">
        <v>552</v>
      </c>
      <c r="B2" s="690"/>
      <c r="C2" s="691"/>
    </row>
    <row r="3" spans="1:24">
      <c r="A3" s="706" t="s">
        <v>783</v>
      </c>
      <c r="R3" s="427"/>
      <c r="S3" s="692"/>
      <c r="T3" s="692"/>
      <c r="V3" s="427"/>
      <c r="W3" s="692"/>
      <c r="X3" s="692"/>
    </row>
    <row r="4" spans="1:24">
      <c r="A4" s="428"/>
      <c r="G4" s="693"/>
      <c r="R4" s="692"/>
      <c r="S4" s="692"/>
      <c r="T4" s="692"/>
      <c r="V4" s="692"/>
      <c r="W4" s="692"/>
      <c r="X4" s="692"/>
    </row>
    <row r="5" spans="1:24">
      <c r="A5" s="694"/>
      <c r="B5" s="430"/>
      <c r="C5" s="692"/>
      <c r="D5" s="692"/>
      <c r="G5" s="615"/>
      <c r="R5" s="692"/>
      <c r="S5" s="692"/>
      <c r="T5" s="692"/>
      <c r="V5" s="692"/>
      <c r="W5" s="692"/>
      <c r="X5" s="692"/>
    </row>
    <row r="6" spans="1:24" ht="13.5" thickBot="1">
      <c r="A6" s="692" t="s">
        <v>550</v>
      </c>
      <c r="C6" s="692"/>
      <c r="D6" s="431">
        <v>0.35</v>
      </c>
      <c r="G6" s="693"/>
      <c r="R6" s="692"/>
      <c r="S6" s="692"/>
      <c r="T6" s="692"/>
    </row>
    <row r="7" spans="1:24" ht="13.5" thickTop="1">
      <c r="A7" s="692"/>
      <c r="B7" s="692"/>
      <c r="C7" s="692"/>
      <c r="D7" s="692"/>
      <c r="E7" s="695"/>
      <c r="F7" s="695"/>
      <c r="G7" s="693"/>
      <c r="H7" s="695"/>
      <c r="I7" s="696"/>
      <c r="J7" s="692"/>
      <c r="K7" s="695"/>
      <c r="R7" s="692"/>
      <c r="S7" s="692"/>
      <c r="T7" s="692"/>
    </row>
    <row r="8" spans="1:24">
      <c r="A8" s="692"/>
      <c r="B8" s="692"/>
      <c r="C8" s="692"/>
      <c r="D8" s="692"/>
      <c r="E8" s="695"/>
      <c r="F8" s="695"/>
      <c r="G8" s="695"/>
      <c r="H8" s="695"/>
      <c r="I8" s="696"/>
      <c r="J8" s="692"/>
      <c r="K8" s="695"/>
      <c r="R8" s="692"/>
      <c r="S8" s="692"/>
      <c r="T8" s="692"/>
    </row>
    <row r="9" spans="1:24" ht="38.25">
      <c r="A9" s="692" t="s">
        <v>553</v>
      </c>
      <c r="B9" s="697" t="s">
        <v>554</v>
      </c>
      <c r="C9" s="697" t="s">
        <v>555</v>
      </c>
      <c r="D9" s="708" t="s">
        <v>784</v>
      </c>
      <c r="E9" s="695"/>
      <c r="F9" s="695"/>
      <c r="G9" s="695"/>
      <c r="H9" s="695"/>
      <c r="I9" s="696"/>
      <c r="J9" s="692"/>
      <c r="K9" s="695"/>
    </row>
    <row r="10" spans="1:24">
      <c r="A10" s="692"/>
      <c r="B10" s="692"/>
      <c r="C10" s="692"/>
      <c r="D10" s="698"/>
      <c r="E10" s="695"/>
      <c r="F10" s="695"/>
      <c r="G10" s="695"/>
      <c r="H10" s="695"/>
      <c r="I10" s="696"/>
      <c r="J10" s="692"/>
      <c r="K10" s="695"/>
    </row>
    <row r="11" spans="1:24" ht="15">
      <c r="A11" s="692" t="s">
        <v>556</v>
      </c>
      <c r="B11" s="699">
        <v>7.9000000000000001E-2</v>
      </c>
      <c r="C11" s="614">
        <v>0.81856010000000001</v>
      </c>
      <c r="D11" s="698">
        <f t="shared" ref="D11:D16" si="0">B11*C11</f>
        <v>6.4666247900000001E-2</v>
      </c>
      <c r="E11" s="695"/>
      <c r="F11" s="695"/>
      <c r="G11" s="695"/>
      <c r="H11" s="695"/>
      <c r="I11" s="695"/>
      <c r="J11" s="692"/>
      <c r="K11" s="695"/>
    </row>
    <row r="12" spans="1:24">
      <c r="A12" s="692" t="s">
        <v>557</v>
      </c>
      <c r="B12" s="699">
        <v>9.8000000000000004E-2</v>
      </c>
      <c r="C12" s="423">
        <v>4.3278799999999999E-2</v>
      </c>
      <c r="D12" s="698">
        <f t="shared" si="0"/>
        <v>4.2413223999999998E-3</v>
      </c>
      <c r="E12" s="692"/>
      <c r="F12" s="692"/>
      <c r="G12" s="692"/>
      <c r="H12" s="692"/>
      <c r="I12" s="692"/>
      <c r="J12" s="692"/>
      <c r="K12" s="692"/>
    </row>
    <row r="13" spans="1:24">
      <c r="A13" s="692" t="s">
        <v>558</v>
      </c>
      <c r="B13" s="699">
        <v>9.5000000000000001E-2</v>
      </c>
      <c r="C13" s="432">
        <v>2.9047999999999999E-3</v>
      </c>
      <c r="D13" s="698">
        <f t="shared" si="0"/>
        <v>2.75956E-4</v>
      </c>
      <c r="E13" s="692"/>
      <c r="F13" s="692"/>
      <c r="G13" s="692"/>
      <c r="H13" s="692"/>
      <c r="I13" s="692"/>
      <c r="J13" s="692"/>
      <c r="K13" s="692"/>
    </row>
    <row r="14" spans="1:24">
      <c r="A14" s="700" t="s">
        <v>559</v>
      </c>
      <c r="B14" s="422"/>
      <c r="C14" s="423"/>
      <c r="D14" s="698">
        <f t="shared" si="0"/>
        <v>0</v>
      </c>
      <c r="E14" s="692"/>
      <c r="F14" s="692"/>
      <c r="G14" s="692"/>
      <c r="H14" s="692"/>
      <c r="I14" s="692"/>
      <c r="J14" s="692"/>
      <c r="K14" s="692"/>
    </row>
    <row r="15" spans="1:24">
      <c r="A15" s="700" t="s">
        <v>560</v>
      </c>
      <c r="B15" s="701">
        <v>0.06</v>
      </c>
      <c r="C15" s="423">
        <v>8.8264999999999996E-2</v>
      </c>
      <c r="D15" s="698">
        <f t="shared" si="0"/>
        <v>5.2958999999999992E-3</v>
      </c>
      <c r="E15" s="692"/>
      <c r="F15" s="692"/>
      <c r="G15" s="692"/>
      <c r="H15" s="692"/>
      <c r="I15" s="692"/>
      <c r="J15" s="692"/>
      <c r="K15" s="692"/>
    </row>
    <row r="16" spans="1:24">
      <c r="A16" s="702" t="s">
        <v>561</v>
      </c>
      <c r="B16" s="701">
        <v>6.9000000000000006E-2</v>
      </c>
      <c r="C16" s="423">
        <v>0</v>
      </c>
      <c r="D16" s="698">
        <f t="shared" si="0"/>
        <v>0</v>
      </c>
      <c r="E16" s="692"/>
      <c r="F16" s="692"/>
      <c r="G16" s="692"/>
      <c r="H16" s="692"/>
      <c r="I16" s="692"/>
      <c r="J16" s="692"/>
      <c r="K16" s="692"/>
    </row>
    <row r="17" spans="1:11">
      <c r="A17" s="703"/>
      <c r="B17" s="430"/>
      <c r="C17" s="430"/>
      <c r="D17" s="692"/>
      <c r="E17" s="692"/>
      <c r="F17" s="692"/>
      <c r="G17" s="432"/>
      <c r="H17" s="432"/>
      <c r="I17" s="692"/>
      <c r="J17" s="692"/>
      <c r="K17" s="692"/>
    </row>
    <row r="18" spans="1:11" ht="13.5" thickBot="1">
      <c r="A18" s="703"/>
      <c r="B18" s="430"/>
      <c r="C18" s="433">
        <f>SUM(C11:C17)</f>
        <v>0.95300870000000004</v>
      </c>
      <c r="D18" s="707">
        <f>SUM(D11:D17)</f>
        <v>7.4479426299999985E-2</v>
      </c>
      <c r="E18" s="699"/>
      <c r="F18" s="692"/>
      <c r="G18" s="432"/>
      <c r="H18" s="432"/>
      <c r="I18" s="692"/>
      <c r="J18" s="692"/>
      <c r="K18" s="692"/>
    </row>
    <row r="19" spans="1:11" ht="13.5" thickTop="1">
      <c r="A19" s="703"/>
      <c r="B19" s="430"/>
      <c r="C19" s="430"/>
      <c r="D19" s="692"/>
      <c r="E19" s="692"/>
      <c r="F19" s="692"/>
      <c r="G19" s="432"/>
      <c r="H19" s="432"/>
      <c r="I19" s="692"/>
      <c r="J19" s="692"/>
      <c r="K19" s="692"/>
    </row>
    <row r="20" spans="1:11">
      <c r="A20" s="692"/>
      <c r="B20" s="692"/>
      <c r="C20" s="692"/>
      <c r="D20" s="692"/>
      <c r="E20" s="692"/>
      <c r="F20" s="692"/>
      <c r="G20" s="692"/>
      <c r="H20" s="692"/>
      <c r="I20" s="692"/>
      <c r="J20" s="692"/>
      <c r="K20" s="692"/>
    </row>
    <row r="21" spans="1:11">
      <c r="A21" s="704" t="s">
        <v>562</v>
      </c>
      <c r="B21" s="696"/>
      <c r="C21" s="696"/>
      <c r="D21" s="692"/>
      <c r="E21" s="692"/>
      <c r="F21" s="692"/>
      <c r="G21" s="432"/>
      <c r="H21" s="432"/>
      <c r="I21" s="692"/>
      <c r="J21" s="692"/>
      <c r="K21" s="692"/>
    </row>
    <row r="22" spans="1:11">
      <c r="A22" s="692"/>
      <c r="B22" s="692"/>
      <c r="C22" s="692"/>
      <c r="D22" s="692"/>
      <c r="E22" s="692"/>
      <c r="F22" s="692"/>
      <c r="G22" s="692"/>
      <c r="H22" s="692"/>
      <c r="I22" s="692"/>
      <c r="J22" s="692"/>
      <c r="K22" s="692"/>
    </row>
    <row r="23" spans="1:11">
      <c r="A23" s="692" t="s">
        <v>563</v>
      </c>
      <c r="B23" s="692"/>
      <c r="C23" s="692"/>
      <c r="D23" s="692"/>
      <c r="E23" s="692"/>
      <c r="F23" s="692"/>
      <c r="G23" s="692"/>
      <c r="H23" s="692"/>
      <c r="I23" s="692"/>
      <c r="J23" s="692"/>
      <c r="K23" s="692"/>
    </row>
    <row r="24" spans="1:11">
      <c r="A24" s="692"/>
      <c r="B24" s="692"/>
      <c r="C24" s="692"/>
      <c r="D24" s="692"/>
      <c r="E24" s="692"/>
      <c r="F24" s="692"/>
      <c r="G24" s="692"/>
      <c r="H24" s="692"/>
      <c r="I24" s="692"/>
      <c r="J24" s="692"/>
      <c r="K24" s="692"/>
    </row>
    <row r="25" spans="1:11">
      <c r="A25" s="692"/>
      <c r="B25" s="692"/>
      <c r="C25" s="692"/>
      <c r="D25" s="692"/>
      <c r="E25" s="692"/>
      <c r="F25" s="692"/>
      <c r="G25" s="692"/>
      <c r="H25" s="692"/>
      <c r="I25" s="692"/>
      <c r="J25" s="692"/>
      <c r="K25" s="692"/>
    </row>
    <row r="26" spans="1:11">
      <c r="A26" s="692"/>
      <c r="B26" s="692"/>
      <c r="C26" s="692"/>
      <c r="D26" s="692"/>
      <c r="E26" s="692"/>
      <c r="F26" s="692"/>
      <c r="G26" s="692"/>
      <c r="H26" s="692"/>
      <c r="I26" s="692"/>
      <c r="J26" s="692"/>
      <c r="K26" s="692"/>
    </row>
    <row r="27" spans="1:11">
      <c r="A27" s="692"/>
      <c r="B27" s="692"/>
      <c r="C27" s="692"/>
      <c r="D27" s="692"/>
      <c r="E27" s="692"/>
      <c r="F27" s="692"/>
      <c r="G27" s="692"/>
      <c r="H27" s="692"/>
      <c r="I27" s="692"/>
      <c r="J27" s="692"/>
      <c r="K27" s="692"/>
    </row>
  </sheetData>
  <pageMargins left="0" right="0" top="0" bottom="0" header="0.5" footer="0.4"/>
  <pageSetup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zoomScaleNormal="100" workbookViewId="0"/>
  </sheetViews>
  <sheetFormatPr defaultRowHeight="12.75"/>
  <cols>
    <col min="1" max="1" width="52.5703125" style="679" customWidth="1"/>
    <col min="2" max="2" width="13.42578125" style="679" customWidth="1"/>
    <col min="3" max="3" width="15.42578125" style="679" bestFit="1" customWidth="1"/>
    <col min="4" max="4" width="9.140625" style="679"/>
    <col min="5" max="5" width="11.85546875" style="679" bestFit="1" customWidth="1"/>
    <col min="6" max="16384" width="9.140625" style="679"/>
  </cols>
  <sheetData>
    <row r="1" spans="1:5">
      <c r="A1" s="678" t="s">
        <v>5</v>
      </c>
      <c r="B1" s="678"/>
    </row>
    <row r="2" spans="1:5">
      <c r="A2" s="678" t="s">
        <v>774</v>
      </c>
      <c r="B2" s="678"/>
    </row>
    <row r="3" spans="1:5">
      <c r="A3" s="680" t="s">
        <v>783</v>
      </c>
      <c r="B3" s="678"/>
    </row>
    <row r="6" spans="1:5">
      <c r="A6" s="681" t="s">
        <v>775</v>
      </c>
      <c r="B6" s="682"/>
      <c r="C6" s="683">
        <v>235586448.71995199</v>
      </c>
      <c r="E6" s="419">
        <f>ROUND(C6-'ATC Attach O ER13-1181'!I199,2)</f>
        <v>0</v>
      </c>
    </row>
    <row r="8" spans="1:5">
      <c r="A8" s="679" t="s">
        <v>776</v>
      </c>
      <c r="B8" s="418">
        <v>6.0999999999999999E-2</v>
      </c>
      <c r="E8" s="419">
        <f>ROUND(B8-'ATC Attach O ER13-1181'!I270,10)</f>
        <v>0</v>
      </c>
    </row>
    <row r="9" spans="1:5">
      <c r="A9" s="679" t="s">
        <v>777</v>
      </c>
      <c r="B9" s="418">
        <v>8.49161519268469E-2</v>
      </c>
      <c r="E9" s="419">
        <f>ROUND(B9-'ATC Attach O ER13-1181'!I271,10)</f>
        <v>0</v>
      </c>
    </row>
    <row r="10" spans="1:5">
      <c r="A10" s="679" t="s">
        <v>778</v>
      </c>
      <c r="C10" s="684">
        <f>B8/B9</f>
        <v>0.71835567928878763</v>
      </c>
    </row>
    <row r="12" spans="1:5">
      <c r="A12" s="679" t="s">
        <v>779</v>
      </c>
      <c r="C12" s="683">
        <f>C6*C10</f>
        <v>169234863.40145424</v>
      </c>
    </row>
    <row r="14" spans="1:5">
      <c r="A14" s="679" t="s">
        <v>780</v>
      </c>
      <c r="C14" s="685">
        <v>98921602.216561601</v>
      </c>
      <c r="E14" s="419">
        <f>ROUND(C14-'ATC Attach O ER13-1181'!I197,2)</f>
        <v>0</v>
      </c>
    </row>
    <row r="16" spans="1:5">
      <c r="A16" s="679" t="s">
        <v>781</v>
      </c>
      <c r="C16" s="683">
        <f>SUM(C12:C15)</f>
        <v>268156465.61801583</v>
      </c>
      <c r="E16" s="419"/>
    </row>
    <row r="18" spans="1:5">
      <c r="A18" s="679" t="s">
        <v>782</v>
      </c>
      <c r="C18" s="686">
        <v>20278639.017000001</v>
      </c>
      <c r="E18" s="687"/>
    </row>
    <row r="20" spans="1:5" ht="13.5" thickBot="1">
      <c r="A20" s="711" t="s">
        <v>786</v>
      </c>
      <c r="C20" s="707">
        <f>C18/C16</f>
        <v>7.5622413094773425E-2</v>
      </c>
      <c r="E20" s="419">
        <f>ROUND(C20-'ATC Attach O ER13-1181'!D315,10)</f>
        <v>0</v>
      </c>
    </row>
    <row r="21" spans="1:5" ht="13.5" thickTop="1"/>
    <row r="22" spans="1:5">
      <c r="C22" s="688"/>
    </row>
  </sheetData>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4"/>
  <sheetViews>
    <sheetView zoomScale="80" zoomScaleNormal="80" workbookViewId="0">
      <pane xSplit="2" ySplit="11" topLeftCell="C12" activePane="bottomRight" state="frozen"/>
      <selection pane="topRight"/>
      <selection pane="bottomLeft"/>
      <selection pane="bottomRight" activeCell="A2" sqref="A2"/>
    </sheetView>
  </sheetViews>
  <sheetFormatPr defaultRowHeight="12.75" outlineLevelRow="1" outlineLevelCol="1"/>
  <cols>
    <col min="1" max="1" width="9.28515625" style="412" bestFit="1" customWidth="1"/>
    <col min="2" max="2" width="41.5703125" style="412" customWidth="1"/>
    <col min="3" max="3" width="15.85546875" style="412" customWidth="1" outlineLevel="1"/>
    <col min="4" max="4" width="11.7109375" style="412" customWidth="1" outlineLevel="1"/>
    <col min="5" max="5" width="15.28515625" style="412" customWidth="1" outlineLevel="1"/>
    <col min="6" max="6" width="14.7109375" style="412" customWidth="1" outlineLevel="1"/>
    <col min="7" max="7" width="10.28515625" style="412" customWidth="1" outlineLevel="1"/>
    <col min="8" max="8" width="15" style="412" customWidth="1" outlineLevel="1"/>
    <col min="9" max="9" width="14.85546875" style="412" customWidth="1" outlineLevel="1"/>
    <col min="10" max="10" width="16.42578125" style="412" customWidth="1"/>
    <col min="11" max="11" width="12.42578125" style="412" customWidth="1"/>
    <col min="12" max="12" width="14" style="412" customWidth="1"/>
    <col min="13" max="13" width="14.7109375" style="412" customWidth="1"/>
    <col min="14" max="14" width="2.85546875" style="412" customWidth="1"/>
    <col min="15" max="15" width="15" style="412" customWidth="1"/>
    <col min="16" max="16" width="12.85546875" style="412" customWidth="1"/>
    <col min="17" max="17" width="2.85546875" style="412" customWidth="1"/>
    <col min="18" max="18" width="15.140625" style="412" customWidth="1" outlineLevel="1"/>
    <col min="19" max="19" width="9.28515625" style="412" customWidth="1" outlineLevel="1"/>
    <col min="20" max="20" width="16.42578125" style="412" customWidth="1" outlineLevel="1"/>
    <col min="21" max="21" width="19.85546875" style="412" customWidth="1" outlineLevel="1"/>
    <col min="22" max="22" width="9.28515625" style="412" customWidth="1" outlineLevel="1"/>
    <col min="23" max="23" width="16.28515625" style="412" customWidth="1" outlineLevel="1"/>
    <col min="24" max="24" width="12.7109375" style="412" customWidth="1" outlineLevel="1"/>
    <col min="25" max="25" width="14" style="412" customWidth="1"/>
    <col min="26" max="26" width="12.7109375" style="412" customWidth="1"/>
    <col min="27" max="27" width="14" style="412" customWidth="1"/>
    <col min="28" max="28" width="2.85546875" style="412" customWidth="1"/>
    <col min="29" max="29" width="13.5703125" style="412" bestFit="1" customWidth="1"/>
    <col min="30" max="30" width="14.85546875" style="412" bestFit="1" customWidth="1"/>
    <col min="31" max="31" width="13.28515625" style="412" customWidth="1"/>
    <col min="32" max="256" width="9.140625" style="412"/>
    <col min="257" max="257" width="9.28515625" style="412" bestFit="1" customWidth="1"/>
    <col min="258" max="258" width="41.5703125" style="412" customWidth="1"/>
    <col min="259" max="259" width="15.85546875" style="412" customWidth="1"/>
    <col min="260" max="260" width="11.7109375" style="412" customWidth="1"/>
    <col min="261" max="261" width="15.28515625" style="412" customWidth="1"/>
    <col min="262" max="262" width="14.7109375" style="412" customWidth="1"/>
    <col min="263" max="263" width="10.28515625" style="412" customWidth="1"/>
    <col min="264" max="264" width="15" style="412" customWidth="1"/>
    <col min="265" max="265" width="14.85546875" style="412" customWidth="1"/>
    <col min="266" max="266" width="16.42578125" style="412" customWidth="1"/>
    <col min="267" max="267" width="12.42578125" style="412" customWidth="1"/>
    <col min="268" max="268" width="14" style="412" customWidth="1"/>
    <col min="269" max="269" width="14.7109375" style="412" customWidth="1"/>
    <col min="270" max="270" width="2.85546875" style="412" customWidth="1"/>
    <col min="271" max="271" width="15" style="412" customWidth="1"/>
    <col min="272" max="272" width="12.85546875" style="412" customWidth="1"/>
    <col min="273" max="273" width="2.85546875" style="412" customWidth="1"/>
    <col min="274" max="274" width="15.140625" style="412" customWidth="1"/>
    <col min="275" max="275" width="9.28515625" style="412" customWidth="1"/>
    <col min="276" max="276" width="16.42578125" style="412" customWidth="1"/>
    <col min="277" max="277" width="19.85546875" style="412" customWidth="1"/>
    <col min="278" max="278" width="9.28515625" style="412" customWidth="1"/>
    <col min="279" max="279" width="16.28515625" style="412" customWidth="1"/>
    <col min="280" max="280" width="12.7109375" style="412" customWidth="1"/>
    <col min="281" max="281" width="14" style="412" customWidth="1"/>
    <col min="282" max="282" width="12.7109375" style="412" customWidth="1"/>
    <col min="283" max="283" width="14" style="412" customWidth="1"/>
    <col min="284" max="284" width="2.85546875" style="412" customWidth="1"/>
    <col min="285" max="285" width="13.5703125" style="412" bestFit="1" customWidth="1"/>
    <col min="286" max="286" width="14.85546875" style="412" bestFit="1" customWidth="1"/>
    <col min="287" max="287" width="13.28515625" style="412" customWidth="1"/>
    <col min="288" max="512" width="9.140625" style="412"/>
    <col min="513" max="513" width="9.28515625" style="412" bestFit="1" customWidth="1"/>
    <col min="514" max="514" width="41.5703125" style="412" customWidth="1"/>
    <col min="515" max="515" width="15.85546875" style="412" customWidth="1"/>
    <col min="516" max="516" width="11.7109375" style="412" customWidth="1"/>
    <col min="517" max="517" width="15.28515625" style="412" customWidth="1"/>
    <col min="518" max="518" width="14.7109375" style="412" customWidth="1"/>
    <col min="519" max="519" width="10.28515625" style="412" customWidth="1"/>
    <col min="520" max="520" width="15" style="412" customWidth="1"/>
    <col min="521" max="521" width="14.85546875" style="412" customWidth="1"/>
    <col min="522" max="522" width="16.42578125" style="412" customWidth="1"/>
    <col min="523" max="523" width="12.42578125" style="412" customWidth="1"/>
    <col min="524" max="524" width="14" style="412" customWidth="1"/>
    <col min="525" max="525" width="14.7109375" style="412" customWidth="1"/>
    <col min="526" max="526" width="2.85546875" style="412" customWidth="1"/>
    <col min="527" max="527" width="15" style="412" customWidth="1"/>
    <col min="528" max="528" width="12.85546875" style="412" customWidth="1"/>
    <col min="529" max="529" width="2.85546875" style="412" customWidth="1"/>
    <col min="530" max="530" width="15.140625" style="412" customWidth="1"/>
    <col min="531" max="531" width="9.28515625" style="412" customWidth="1"/>
    <col min="532" max="532" width="16.42578125" style="412" customWidth="1"/>
    <col min="533" max="533" width="19.85546875" style="412" customWidth="1"/>
    <col min="534" max="534" width="9.28515625" style="412" customWidth="1"/>
    <col min="535" max="535" width="16.28515625" style="412" customWidth="1"/>
    <col min="536" max="536" width="12.7109375" style="412" customWidth="1"/>
    <col min="537" max="537" width="14" style="412" customWidth="1"/>
    <col min="538" max="538" width="12.7109375" style="412" customWidth="1"/>
    <col min="539" max="539" width="14" style="412" customWidth="1"/>
    <col min="540" max="540" width="2.85546875" style="412" customWidth="1"/>
    <col min="541" max="541" width="13.5703125" style="412" bestFit="1" customWidth="1"/>
    <col min="542" max="542" width="14.85546875" style="412" bestFit="1" customWidth="1"/>
    <col min="543" max="543" width="13.28515625" style="412" customWidth="1"/>
    <col min="544" max="768" width="9.140625" style="412"/>
    <col min="769" max="769" width="9.28515625" style="412" bestFit="1" customWidth="1"/>
    <col min="770" max="770" width="41.5703125" style="412" customWidth="1"/>
    <col min="771" max="771" width="15.85546875" style="412" customWidth="1"/>
    <col min="772" max="772" width="11.7109375" style="412" customWidth="1"/>
    <col min="773" max="773" width="15.28515625" style="412" customWidth="1"/>
    <col min="774" max="774" width="14.7109375" style="412" customWidth="1"/>
    <col min="775" max="775" width="10.28515625" style="412" customWidth="1"/>
    <col min="776" max="776" width="15" style="412" customWidth="1"/>
    <col min="777" max="777" width="14.85546875" style="412" customWidth="1"/>
    <col min="778" max="778" width="16.42578125" style="412" customWidth="1"/>
    <col min="779" max="779" width="12.42578125" style="412" customWidth="1"/>
    <col min="780" max="780" width="14" style="412" customWidth="1"/>
    <col min="781" max="781" width="14.7109375" style="412" customWidth="1"/>
    <col min="782" max="782" width="2.85546875" style="412" customWidth="1"/>
    <col min="783" max="783" width="15" style="412" customWidth="1"/>
    <col min="784" max="784" width="12.85546875" style="412" customWidth="1"/>
    <col min="785" max="785" width="2.85546875" style="412" customWidth="1"/>
    <col min="786" max="786" width="15.140625" style="412" customWidth="1"/>
    <col min="787" max="787" width="9.28515625" style="412" customWidth="1"/>
    <col min="788" max="788" width="16.42578125" style="412" customWidth="1"/>
    <col min="789" max="789" width="19.85546875" style="412" customWidth="1"/>
    <col min="790" max="790" width="9.28515625" style="412" customWidth="1"/>
    <col min="791" max="791" width="16.28515625" style="412" customWidth="1"/>
    <col min="792" max="792" width="12.7109375" style="412" customWidth="1"/>
    <col min="793" max="793" width="14" style="412" customWidth="1"/>
    <col min="794" max="794" width="12.7109375" style="412" customWidth="1"/>
    <col min="795" max="795" width="14" style="412" customWidth="1"/>
    <col min="796" max="796" width="2.85546875" style="412" customWidth="1"/>
    <col min="797" max="797" width="13.5703125" style="412" bestFit="1" customWidth="1"/>
    <col min="798" max="798" width="14.85546875" style="412" bestFit="1" customWidth="1"/>
    <col min="799" max="799" width="13.28515625" style="412" customWidth="1"/>
    <col min="800" max="1024" width="9.140625" style="412"/>
    <col min="1025" max="1025" width="9.28515625" style="412" bestFit="1" customWidth="1"/>
    <col min="1026" max="1026" width="41.5703125" style="412" customWidth="1"/>
    <col min="1027" max="1027" width="15.85546875" style="412" customWidth="1"/>
    <col min="1028" max="1028" width="11.7109375" style="412" customWidth="1"/>
    <col min="1029" max="1029" width="15.28515625" style="412" customWidth="1"/>
    <col min="1030" max="1030" width="14.7109375" style="412" customWidth="1"/>
    <col min="1031" max="1031" width="10.28515625" style="412" customWidth="1"/>
    <col min="1032" max="1032" width="15" style="412" customWidth="1"/>
    <col min="1033" max="1033" width="14.85546875" style="412" customWidth="1"/>
    <col min="1034" max="1034" width="16.42578125" style="412" customWidth="1"/>
    <col min="1035" max="1035" width="12.42578125" style="412" customWidth="1"/>
    <col min="1036" max="1036" width="14" style="412" customWidth="1"/>
    <col min="1037" max="1037" width="14.7109375" style="412" customWidth="1"/>
    <col min="1038" max="1038" width="2.85546875" style="412" customWidth="1"/>
    <col min="1039" max="1039" width="15" style="412" customWidth="1"/>
    <col min="1040" max="1040" width="12.85546875" style="412" customWidth="1"/>
    <col min="1041" max="1041" width="2.85546875" style="412" customWidth="1"/>
    <col min="1042" max="1042" width="15.140625" style="412" customWidth="1"/>
    <col min="1043" max="1043" width="9.28515625" style="412" customWidth="1"/>
    <col min="1044" max="1044" width="16.42578125" style="412" customWidth="1"/>
    <col min="1045" max="1045" width="19.85546875" style="412" customWidth="1"/>
    <col min="1046" max="1046" width="9.28515625" style="412" customWidth="1"/>
    <col min="1047" max="1047" width="16.28515625" style="412" customWidth="1"/>
    <col min="1048" max="1048" width="12.7109375" style="412" customWidth="1"/>
    <col min="1049" max="1049" width="14" style="412" customWidth="1"/>
    <col min="1050" max="1050" width="12.7109375" style="412" customWidth="1"/>
    <col min="1051" max="1051" width="14" style="412" customWidth="1"/>
    <col min="1052" max="1052" width="2.85546875" style="412" customWidth="1"/>
    <col min="1053" max="1053" width="13.5703125" style="412" bestFit="1" customWidth="1"/>
    <col min="1054" max="1054" width="14.85546875" style="412" bestFit="1" customWidth="1"/>
    <col min="1055" max="1055" width="13.28515625" style="412" customWidth="1"/>
    <col min="1056" max="1280" width="9.140625" style="412"/>
    <col min="1281" max="1281" width="9.28515625" style="412" bestFit="1" customWidth="1"/>
    <col min="1282" max="1282" width="41.5703125" style="412" customWidth="1"/>
    <col min="1283" max="1283" width="15.85546875" style="412" customWidth="1"/>
    <col min="1284" max="1284" width="11.7109375" style="412" customWidth="1"/>
    <col min="1285" max="1285" width="15.28515625" style="412" customWidth="1"/>
    <col min="1286" max="1286" width="14.7109375" style="412" customWidth="1"/>
    <col min="1287" max="1287" width="10.28515625" style="412" customWidth="1"/>
    <col min="1288" max="1288" width="15" style="412" customWidth="1"/>
    <col min="1289" max="1289" width="14.85546875" style="412" customWidth="1"/>
    <col min="1290" max="1290" width="16.42578125" style="412" customWidth="1"/>
    <col min="1291" max="1291" width="12.42578125" style="412" customWidth="1"/>
    <col min="1292" max="1292" width="14" style="412" customWidth="1"/>
    <col min="1293" max="1293" width="14.7109375" style="412" customWidth="1"/>
    <col min="1294" max="1294" width="2.85546875" style="412" customWidth="1"/>
    <col min="1295" max="1295" width="15" style="412" customWidth="1"/>
    <col min="1296" max="1296" width="12.85546875" style="412" customWidth="1"/>
    <col min="1297" max="1297" width="2.85546875" style="412" customWidth="1"/>
    <col min="1298" max="1298" width="15.140625" style="412" customWidth="1"/>
    <col min="1299" max="1299" width="9.28515625" style="412" customWidth="1"/>
    <col min="1300" max="1300" width="16.42578125" style="412" customWidth="1"/>
    <col min="1301" max="1301" width="19.85546875" style="412" customWidth="1"/>
    <col min="1302" max="1302" width="9.28515625" style="412" customWidth="1"/>
    <col min="1303" max="1303" width="16.28515625" style="412" customWidth="1"/>
    <col min="1304" max="1304" width="12.7109375" style="412" customWidth="1"/>
    <col min="1305" max="1305" width="14" style="412" customWidth="1"/>
    <col min="1306" max="1306" width="12.7109375" style="412" customWidth="1"/>
    <col min="1307" max="1307" width="14" style="412" customWidth="1"/>
    <col min="1308" max="1308" width="2.85546875" style="412" customWidth="1"/>
    <col min="1309" max="1309" width="13.5703125" style="412" bestFit="1" customWidth="1"/>
    <col min="1310" max="1310" width="14.85546875" style="412" bestFit="1" customWidth="1"/>
    <col min="1311" max="1311" width="13.28515625" style="412" customWidth="1"/>
    <col min="1312" max="1536" width="9.140625" style="412"/>
    <col min="1537" max="1537" width="9.28515625" style="412" bestFit="1" customWidth="1"/>
    <col min="1538" max="1538" width="41.5703125" style="412" customWidth="1"/>
    <col min="1539" max="1539" width="15.85546875" style="412" customWidth="1"/>
    <col min="1540" max="1540" width="11.7109375" style="412" customWidth="1"/>
    <col min="1541" max="1541" width="15.28515625" style="412" customWidth="1"/>
    <col min="1542" max="1542" width="14.7109375" style="412" customWidth="1"/>
    <col min="1543" max="1543" width="10.28515625" style="412" customWidth="1"/>
    <col min="1544" max="1544" width="15" style="412" customWidth="1"/>
    <col min="1545" max="1545" width="14.85546875" style="412" customWidth="1"/>
    <col min="1546" max="1546" width="16.42578125" style="412" customWidth="1"/>
    <col min="1547" max="1547" width="12.42578125" style="412" customWidth="1"/>
    <col min="1548" max="1548" width="14" style="412" customWidth="1"/>
    <col min="1549" max="1549" width="14.7109375" style="412" customWidth="1"/>
    <col min="1550" max="1550" width="2.85546875" style="412" customWidth="1"/>
    <col min="1551" max="1551" width="15" style="412" customWidth="1"/>
    <col min="1552" max="1552" width="12.85546875" style="412" customWidth="1"/>
    <col min="1553" max="1553" width="2.85546875" style="412" customWidth="1"/>
    <col min="1554" max="1554" width="15.140625" style="412" customWidth="1"/>
    <col min="1555" max="1555" width="9.28515625" style="412" customWidth="1"/>
    <col min="1556" max="1556" width="16.42578125" style="412" customWidth="1"/>
    <col min="1557" max="1557" width="19.85546875" style="412" customWidth="1"/>
    <col min="1558" max="1558" width="9.28515625" style="412" customWidth="1"/>
    <col min="1559" max="1559" width="16.28515625" style="412" customWidth="1"/>
    <col min="1560" max="1560" width="12.7109375" style="412" customWidth="1"/>
    <col min="1561" max="1561" width="14" style="412" customWidth="1"/>
    <col min="1562" max="1562" width="12.7109375" style="412" customWidth="1"/>
    <col min="1563" max="1563" width="14" style="412" customWidth="1"/>
    <col min="1564" max="1564" width="2.85546875" style="412" customWidth="1"/>
    <col min="1565" max="1565" width="13.5703125" style="412" bestFit="1" customWidth="1"/>
    <col min="1566" max="1566" width="14.85546875" style="412" bestFit="1" customWidth="1"/>
    <col min="1567" max="1567" width="13.28515625" style="412" customWidth="1"/>
    <col min="1568" max="1792" width="9.140625" style="412"/>
    <col min="1793" max="1793" width="9.28515625" style="412" bestFit="1" customWidth="1"/>
    <col min="1794" max="1794" width="41.5703125" style="412" customWidth="1"/>
    <col min="1795" max="1795" width="15.85546875" style="412" customWidth="1"/>
    <col min="1796" max="1796" width="11.7109375" style="412" customWidth="1"/>
    <col min="1797" max="1797" width="15.28515625" style="412" customWidth="1"/>
    <col min="1798" max="1798" width="14.7109375" style="412" customWidth="1"/>
    <col min="1799" max="1799" width="10.28515625" style="412" customWidth="1"/>
    <col min="1800" max="1800" width="15" style="412" customWidth="1"/>
    <col min="1801" max="1801" width="14.85546875" style="412" customWidth="1"/>
    <col min="1802" max="1802" width="16.42578125" style="412" customWidth="1"/>
    <col min="1803" max="1803" width="12.42578125" style="412" customWidth="1"/>
    <col min="1804" max="1804" width="14" style="412" customWidth="1"/>
    <col min="1805" max="1805" width="14.7109375" style="412" customWidth="1"/>
    <col min="1806" max="1806" width="2.85546875" style="412" customWidth="1"/>
    <col min="1807" max="1807" width="15" style="412" customWidth="1"/>
    <col min="1808" max="1808" width="12.85546875" style="412" customWidth="1"/>
    <col min="1809" max="1809" width="2.85546875" style="412" customWidth="1"/>
    <col min="1810" max="1810" width="15.140625" style="412" customWidth="1"/>
    <col min="1811" max="1811" width="9.28515625" style="412" customWidth="1"/>
    <col min="1812" max="1812" width="16.42578125" style="412" customWidth="1"/>
    <col min="1813" max="1813" width="19.85546875" style="412" customWidth="1"/>
    <col min="1814" max="1814" width="9.28515625" style="412" customWidth="1"/>
    <col min="1815" max="1815" width="16.28515625" style="412" customWidth="1"/>
    <col min="1816" max="1816" width="12.7109375" style="412" customWidth="1"/>
    <col min="1817" max="1817" width="14" style="412" customWidth="1"/>
    <col min="1818" max="1818" width="12.7109375" style="412" customWidth="1"/>
    <col min="1819" max="1819" width="14" style="412" customWidth="1"/>
    <col min="1820" max="1820" width="2.85546875" style="412" customWidth="1"/>
    <col min="1821" max="1821" width="13.5703125" style="412" bestFit="1" customWidth="1"/>
    <col min="1822" max="1822" width="14.85546875" style="412" bestFit="1" customWidth="1"/>
    <col min="1823" max="1823" width="13.28515625" style="412" customWidth="1"/>
    <col min="1824" max="2048" width="9.140625" style="412"/>
    <col min="2049" max="2049" width="9.28515625" style="412" bestFit="1" customWidth="1"/>
    <col min="2050" max="2050" width="41.5703125" style="412" customWidth="1"/>
    <col min="2051" max="2051" width="15.85546875" style="412" customWidth="1"/>
    <col min="2052" max="2052" width="11.7109375" style="412" customWidth="1"/>
    <col min="2053" max="2053" width="15.28515625" style="412" customWidth="1"/>
    <col min="2054" max="2054" width="14.7109375" style="412" customWidth="1"/>
    <col min="2055" max="2055" width="10.28515625" style="412" customWidth="1"/>
    <col min="2056" max="2056" width="15" style="412" customWidth="1"/>
    <col min="2057" max="2057" width="14.85546875" style="412" customWidth="1"/>
    <col min="2058" max="2058" width="16.42578125" style="412" customWidth="1"/>
    <col min="2059" max="2059" width="12.42578125" style="412" customWidth="1"/>
    <col min="2060" max="2060" width="14" style="412" customWidth="1"/>
    <col min="2061" max="2061" width="14.7109375" style="412" customWidth="1"/>
    <col min="2062" max="2062" width="2.85546875" style="412" customWidth="1"/>
    <col min="2063" max="2063" width="15" style="412" customWidth="1"/>
    <col min="2064" max="2064" width="12.85546875" style="412" customWidth="1"/>
    <col min="2065" max="2065" width="2.85546875" style="412" customWidth="1"/>
    <col min="2066" max="2066" width="15.140625" style="412" customWidth="1"/>
    <col min="2067" max="2067" width="9.28515625" style="412" customWidth="1"/>
    <col min="2068" max="2068" width="16.42578125" style="412" customWidth="1"/>
    <col min="2069" max="2069" width="19.85546875" style="412" customWidth="1"/>
    <col min="2070" max="2070" width="9.28515625" style="412" customWidth="1"/>
    <col min="2071" max="2071" width="16.28515625" style="412" customWidth="1"/>
    <col min="2072" max="2072" width="12.7109375" style="412" customWidth="1"/>
    <col min="2073" max="2073" width="14" style="412" customWidth="1"/>
    <col min="2074" max="2074" width="12.7109375" style="412" customWidth="1"/>
    <col min="2075" max="2075" width="14" style="412" customWidth="1"/>
    <col min="2076" max="2076" width="2.85546875" style="412" customWidth="1"/>
    <col min="2077" max="2077" width="13.5703125" style="412" bestFit="1" customWidth="1"/>
    <col min="2078" max="2078" width="14.85546875" style="412" bestFit="1" customWidth="1"/>
    <col min="2079" max="2079" width="13.28515625" style="412" customWidth="1"/>
    <col min="2080" max="2304" width="9.140625" style="412"/>
    <col min="2305" max="2305" width="9.28515625" style="412" bestFit="1" customWidth="1"/>
    <col min="2306" max="2306" width="41.5703125" style="412" customWidth="1"/>
    <col min="2307" max="2307" width="15.85546875" style="412" customWidth="1"/>
    <col min="2308" max="2308" width="11.7109375" style="412" customWidth="1"/>
    <col min="2309" max="2309" width="15.28515625" style="412" customWidth="1"/>
    <col min="2310" max="2310" width="14.7109375" style="412" customWidth="1"/>
    <col min="2311" max="2311" width="10.28515625" style="412" customWidth="1"/>
    <col min="2312" max="2312" width="15" style="412" customWidth="1"/>
    <col min="2313" max="2313" width="14.85546875" style="412" customWidth="1"/>
    <col min="2314" max="2314" width="16.42578125" style="412" customWidth="1"/>
    <col min="2315" max="2315" width="12.42578125" style="412" customWidth="1"/>
    <col min="2316" max="2316" width="14" style="412" customWidth="1"/>
    <col min="2317" max="2317" width="14.7109375" style="412" customWidth="1"/>
    <col min="2318" max="2318" width="2.85546875" style="412" customWidth="1"/>
    <col min="2319" max="2319" width="15" style="412" customWidth="1"/>
    <col min="2320" max="2320" width="12.85546875" style="412" customWidth="1"/>
    <col min="2321" max="2321" width="2.85546875" style="412" customWidth="1"/>
    <col min="2322" max="2322" width="15.140625" style="412" customWidth="1"/>
    <col min="2323" max="2323" width="9.28515625" style="412" customWidth="1"/>
    <col min="2324" max="2324" width="16.42578125" style="412" customWidth="1"/>
    <col min="2325" max="2325" width="19.85546875" style="412" customWidth="1"/>
    <col min="2326" max="2326" width="9.28515625" style="412" customWidth="1"/>
    <col min="2327" max="2327" width="16.28515625" style="412" customWidth="1"/>
    <col min="2328" max="2328" width="12.7109375" style="412" customWidth="1"/>
    <col min="2329" max="2329" width="14" style="412" customWidth="1"/>
    <col min="2330" max="2330" width="12.7109375" style="412" customWidth="1"/>
    <col min="2331" max="2331" width="14" style="412" customWidth="1"/>
    <col min="2332" max="2332" width="2.85546875" style="412" customWidth="1"/>
    <col min="2333" max="2333" width="13.5703125" style="412" bestFit="1" customWidth="1"/>
    <col min="2334" max="2334" width="14.85546875" style="412" bestFit="1" customWidth="1"/>
    <col min="2335" max="2335" width="13.28515625" style="412" customWidth="1"/>
    <col min="2336" max="2560" width="9.140625" style="412"/>
    <col min="2561" max="2561" width="9.28515625" style="412" bestFit="1" customWidth="1"/>
    <col min="2562" max="2562" width="41.5703125" style="412" customWidth="1"/>
    <col min="2563" max="2563" width="15.85546875" style="412" customWidth="1"/>
    <col min="2564" max="2564" width="11.7109375" style="412" customWidth="1"/>
    <col min="2565" max="2565" width="15.28515625" style="412" customWidth="1"/>
    <col min="2566" max="2566" width="14.7109375" style="412" customWidth="1"/>
    <col min="2567" max="2567" width="10.28515625" style="412" customWidth="1"/>
    <col min="2568" max="2568" width="15" style="412" customWidth="1"/>
    <col min="2569" max="2569" width="14.85546875" style="412" customWidth="1"/>
    <col min="2570" max="2570" width="16.42578125" style="412" customWidth="1"/>
    <col min="2571" max="2571" width="12.42578125" style="412" customWidth="1"/>
    <col min="2572" max="2572" width="14" style="412" customWidth="1"/>
    <col min="2573" max="2573" width="14.7109375" style="412" customWidth="1"/>
    <col min="2574" max="2574" width="2.85546875" style="412" customWidth="1"/>
    <col min="2575" max="2575" width="15" style="412" customWidth="1"/>
    <col min="2576" max="2576" width="12.85546875" style="412" customWidth="1"/>
    <col min="2577" max="2577" width="2.85546875" style="412" customWidth="1"/>
    <col min="2578" max="2578" width="15.140625" style="412" customWidth="1"/>
    <col min="2579" max="2579" width="9.28515625" style="412" customWidth="1"/>
    <col min="2580" max="2580" width="16.42578125" style="412" customWidth="1"/>
    <col min="2581" max="2581" width="19.85546875" style="412" customWidth="1"/>
    <col min="2582" max="2582" width="9.28515625" style="412" customWidth="1"/>
    <col min="2583" max="2583" width="16.28515625" style="412" customWidth="1"/>
    <col min="2584" max="2584" width="12.7109375" style="412" customWidth="1"/>
    <col min="2585" max="2585" width="14" style="412" customWidth="1"/>
    <col min="2586" max="2586" width="12.7109375" style="412" customWidth="1"/>
    <col min="2587" max="2587" width="14" style="412" customWidth="1"/>
    <col min="2588" max="2588" width="2.85546875" style="412" customWidth="1"/>
    <col min="2589" max="2589" width="13.5703125" style="412" bestFit="1" customWidth="1"/>
    <col min="2590" max="2590" width="14.85546875" style="412" bestFit="1" customWidth="1"/>
    <col min="2591" max="2591" width="13.28515625" style="412" customWidth="1"/>
    <col min="2592" max="2816" width="9.140625" style="412"/>
    <col min="2817" max="2817" width="9.28515625" style="412" bestFit="1" customWidth="1"/>
    <col min="2818" max="2818" width="41.5703125" style="412" customWidth="1"/>
    <col min="2819" max="2819" width="15.85546875" style="412" customWidth="1"/>
    <col min="2820" max="2820" width="11.7109375" style="412" customWidth="1"/>
    <col min="2821" max="2821" width="15.28515625" style="412" customWidth="1"/>
    <col min="2822" max="2822" width="14.7109375" style="412" customWidth="1"/>
    <col min="2823" max="2823" width="10.28515625" style="412" customWidth="1"/>
    <col min="2824" max="2824" width="15" style="412" customWidth="1"/>
    <col min="2825" max="2825" width="14.85546875" style="412" customWidth="1"/>
    <col min="2826" max="2826" width="16.42578125" style="412" customWidth="1"/>
    <col min="2827" max="2827" width="12.42578125" style="412" customWidth="1"/>
    <col min="2828" max="2828" width="14" style="412" customWidth="1"/>
    <col min="2829" max="2829" width="14.7109375" style="412" customWidth="1"/>
    <col min="2830" max="2830" width="2.85546875" style="412" customWidth="1"/>
    <col min="2831" max="2831" width="15" style="412" customWidth="1"/>
    <col min="2832" max="2832" width="12.85546875" style="412" customWidth="1"/>
    <col min="2833" max="2833" width="2.85546875" style="412" customWidth="1"/>
    <col min="2834" max="2834" width="15.140625" style="412" customWidth="1"/>
    <col min="2835" max="2835" width="9.28515625" style="412" customWidth="1"/>
    <col min="2836" max="2836" width="16.42578125" style="412" customWidth="1"/>
    <col min="2837" max="2837" width="19.85546875" style="412" customWidth="1"/>
    <col min="2838" max="2838" width="9.28515625" style="412" customWidth="1"/>
    <col min="2839" max="2839" width="16.28515625" style="412" customWidth="1"/>
    <col min="2840" max="2840" width="12.7109375" style="412" customWidth="1"/>
    <col min="2841" max="2841" width="14" style="412" customWidth="1"/>
    <col min="2842" max="2842" width="12.7109375" style="412" customWidth="1"/>
    <col min="2843" max="2843" width="14" style="412" customWidth="1"/>
    <col min="2844" max="2844" width="2.85546875" style="412" customWidth="1"/>
    <col min="2845" max="2845" width="13.5703125" style="412" bestFit="1" customWidth="1"/>
    <col min="2846" max="2846" width="14.85546875" style="412" bestFit="1" customWidth="1"/>
    <col min="2847" max="2847" width="13.28515625" style="412" customWidth="1"/>
    <col min="2848" max="3072" width="9.140625" style="412"/>
    <col min="3073" max="3073" width="9.28515625" style="412" bestFit="1" customWidth="1"/>
    <col min="3074" max="3074" width="41.5703125" style="412" customWidth="1"/>
    <col min="3075" max="3075" width="15.85546875" style="412" customWidth="1"/>
    <col min="3076" max="3076" width="11.7109375" style="412" customWidth="1"/>
    <col min="3077" max="3077" width="15.28515625" style="412" customWidth="1"/>
    <col min="3078" max="3078" width="14.7109375" style="412" customWidth="1"/>
    <col min="3079" max="3079" width="10.28515625" style="412" customWidth="1"/>
    <col min="3080" max="3080" width="15" style="412" customWidth="1"/>
    <col min="3081" max="3081" width="14.85546875" style="412" customWidth="1"/>
    <col min="3082" max="3082" width="16.42578125" style="412" customWidth="1"/>
    <col min="3083" max="3083" width="12.42578125" style="412" customWidth="1"/>
    <col min="3084" max="3084" width="14" style="412" customWidth="1"/>
    <col min="3085" max="3085" width="14.7109375" style="412" customWidth="1"/>
    <col min="3086" max="3086" width="2.85546875" style="412" customWidth="1"/>
    <col min="3087" max="3087" width="15" style="412" customWidth="1"/>
    <col min="3088" max="3088" width="12.85546875" style="412" customWidth="1"/>
    <col min="3089" max="3089" width="2.85546875" style="412" customWidth="1"/>
    <col min="3090" max="3090" width="15.140625" style="412" customWidth="1"/>
    <col min="3091" max="3091" width="9.28515625" style="412" customWidth="1"/>
    <col min="3092" max="3092" width="16.42578125" style="412" customWidth="1"/>
    <col min="3093" max="3093" width="19.85546875" style="412" customWidth="1"/>
    <col min="3094" max="3094" width="9.28515625" style="412" customWidth="1"/>
    <col min="3095" max="3095" width="16.28515625" style="412" customWidth="1"/>
    <col min="3096" max="3096" width="12.7109375" style="412" customWidth="1"/>
    <col min="3097" max="3097" width="14" style="412" customWidth="1"/>
    <col min="3098" max="3098" width="12.7109375" style="412" customWidth="1"/>
    <col min="3099" max="3099" width="14" style="412" customWidth="1"/>
    <col min="3100" max="3100" width="2.85546875" style="412" customWidth="1"/>
    <col min="3101" max="3101" width="13.5703125" style="412" bestFit="1" customWidth="1"/>
    <col min="3102" max="3102" width="14.85546875" style="412" bestFit="1" customWidth="1"/>
    <col min="3103" max="3103" width="13.28515625" style="412" customWidth="1"/>
    <col min="3104" max="3328" width="9.140625" style="412"/>
    <col min="3329" max="3329" width="9.28515625" style="412" bestFit="1" customWidth="1"/>
    <col min="3330" max="3330" width="41.5703125" style="412" customWidth="1"/>
    <col min="3331" max="3331" width="15.85546875" style="412" customWidth="1"/>
    <col min="3332" max="3332" width="11.7109375" style="412" customWidth="1"/>
    <col min="3333" max="3333" width="15.28515625" style="412" customWidth="1"/>
    <col min="3334" max="3334" width="14.7109375" style="412" customWidth="1"/>
    <col min="3335" max="3335" width="10.28515625" style="412" customWidth="1"/>
    <col min="3336" max="3336" width="15" style="412" customWidth="1"/>
    <col min="3337" max="3337" width="14.85546875" style="412" customWidth="1"/>
    <col min="3338" max="3338" width="16.42578125" style="412" customWidth="1"/>
    <col min="3339" max="3339" width="12.42578125" style="412" customWidth="1"/>
    <col min="3340" max="3340" width="14" style="412" customWidth="1"/>
    <col min="3341" max="3341" width="14.7109375" style="412" customWidth="1"/>
    <col min="3342" max="3342" width="2.85546875" style="412" customWidth="1"/>
    <col min="3343" max="3343" width="15" style="412" customWidth="1"/>
    <col min="3344" max="3344" width="12.85546875" style="412" customWidth="1"/>
    <col min="3345" max="3345" width="2.85546875" style="412" customWidth="1"/>
    <col min="3346" max="3346" width="15.140625" style="412" customWidth="1"/>
    <col min="3347" max="3347" width="9.28515625" style="412" customWidth="1"/>
    <col min="3348" max="3348" width="16.42578125" style="412" customWidth="1"/>
    <col min="3349" max="3349" width="19.85546875" style="412" customWidth="1"/>
    <col min="3350" max="3350" width="9.28515625" style="412" customWidth="1"/>
    <col min="3351" max="3351" width="16.28515625" style="412" customWidth="1"/>
    <col min="3352" max="3352" width="12.7109375" style="412" customWidth="1"/>
    <col min="3353" max="3353" width="14" style="412" customWidth="1"/>
    <col min="3354" max="3354" width="12.7109375" style="412" customWidth="1"/>
    <col min="3355" max="3355" width="14" style="412" customWidth="1"/>
    <col min="3356" max="3356" width="2.85546875" style="412" customWidth="1"/>
    <col min="3357" max="3357" width="13.5703125" style="412" bestFit="1" customWidth="1"/>
    <col min="3358" max="3358" width="14.85546875" style="412" bestFit="1" customWidth="1"/>
    <col min="3359" max="3359" width="13.28515625" style="412" customWidth="1"/>
    <col min="3360" max="3584" width="9.140625" style="412"/>
    <col min="3585" max="3585" width="9.28515625" style="412" bestFit="1" customWidth="1"/>
    <col min="3586" max="3586" width="41.5703125" style="412" customWidth="1"/>
    <col min="3587" max="3587" width="15.85546875" style="412" customWidth="1"/>
    <col min="3588" max="3588" width="11.7109375" style="412" customWidth="1"/>
    <col min="3589" max="3589" width="15.28515625" style="412" customWidth="1"/>
    <col min="3590" max="3590" width="14.7109375" style="412" customWidth="1"/>
    <col min="3591" max="3591" width="10.28515625" style="412" customWidth="1"/>
    <col min="3592" max="3592" width="15" style="412" customWidth="1"/>
    <col min="3593" max="3593" width="14.85546875" style="412" customWidth="1"/>
    <col min="3594" max="3594" width="16.42578125" style="412" customWidth="1"/>
    <col min="3595" max="3595" width="12.42578125" style="412" customWidth="1"/>
    <col min="3596" max="3596" width="14" style="412" customWidth="1"/>
    <col min="3597" max="3597" width="14.7109375" style="412" customWidth="1"/>
    <col min="3598" max="3598" width="2.85546875" style="412" customWidth="1"/>
    <col min="3599" max="3599" width="15" style="412" customWidth="1"/>
    <col min="3600" max="3600" width="12.85546875" style="412" customWidth="1"/>
    <col min="3601" max="3601" width="2.85546875" style="412" customWidth="1"/>
    <col min="3602" max="3602" width="15.140625" style="412" customWidth="1"/>
    <col min="3603" max="3603" width="9.28515625" style="412" customWidth="1"/>
    <col min="3604" max="3604" width="16.42578125" style="412" customWidth="1"/>
    <col min="3605" max="3605" width="19.85546875" style="412" customWidth="1"/>
    <col min="3606" max="3606" width="9.28515625" style="412" customWidth="1"/>
    <col min="3607" max="3607" width="16.28515625" style="412" customWidth="1"/>
    <col min="3608" max="3608" width="12.7109375" style="412" customWidth="1"/>
    <col min="3609" max="3609" width="14" style="412" customWidth="1"/>
    <col min="3610" max="3610" width="12.7109375" style="412" customWidth="1"/>
    <col min="3611" max="3611" width="14" style="412" customWidth="1"/>
    <col min="3612" max="3612" width="2.85546875" style="412" customWidth="1"/>
    <col min="3613" max="3613" width="13.5703125" style="412" bestFit="1" customWidth="1"/>
    <col min="3614" max="3614" width="14.85546875" style="412" bestFit="1" customWidth="1"/>
    <col min="3615" max="3615" width="13.28515625" style="412" customWidth="1"/>
    <col min="3616" max="3840" width="9.140625" style="412"/>
    <col min="3841" max="3841" width="9.28515625" style="412" bestFit="1" customWidth="1"/>
    <col min="3842" max="3842" width="41.5703125" style="412" customWidth="1"/>
    <col min="3843" max="3843" width="15.85546875" style="412" customWidth="1"/>
    <col min="3844" max="3844" width="11.7109375" style="412" customWidth="1"/>
    <col min="3845" max="3845" width="15.28515625" style="412" customWidth="1"/>
    <col min="3846" max="3846" width="14.7109375" style="412" customWidth="1"/>
    <col min="3847" max="3847" width="10.28515625" style="412" customWidth="1"/>
    <col min="3848" max="3848" width="15" style="412" customWidth="1"/>
    <col min="3849" max="3849" width="14.85546875" style="412" customWidth="1"/>
    <col min="3850" max="3850" width="16.42578125" style="412" customWidth="1"/>
    <col min="3851" max="3851" width="12.42578125" style="412" customWidth="1"/>
    <col min="3852" max="3852" width="14" style="412" customWidth="1"/>
    <col min="3853" max="3853" width="14.7109375" style="412" customWidth="1"/>
    <col min="3854" max="3854" width="2.85546875" style="412" customWidth="1"/>
    <col min="3855" max="3855" width="15" style="412" customWidth="1"/>
    <col min="3856" max="3856" width="12.85546875" style="412" customWidth="1"/>
    <col min="3857" max="3857" width="2.85546875" style="412" customWidth="1"/>
    <col min="3858" max="3858" width="15.140625" style="412" customWidth="1"/>
    <col min="3859" max="3859" width="9.28515625" style="412" customWidth="1"/>
    <col min="3860" max="3860" width="16.42578125" style="412" customWidth="1"/>
    <col min="3861" max="3861" width="19.85546875" style="412" customWidth="1"/>
    <col min="3862" max="3862" width="9.28515625" style="412" customWidth="1"/>
    <col min="3863" max="3863" width="16.28515625" style="412" customWidth="1"/>
    <col min="3864" max="3864" width="12.7109375" style="412" customWidth="1"/>
    <col min="3865" max="3865" width="14" style="412" customWidth="1"/>
    <col min="3866" max="3866" width="12.7109375" style="412" customWidth="1"/>
    <col min="3867" max="3867" width="14" style="412" customWidth="1"/>
    <col min="3868" max="3868" width="2.85546875" style="412" customWidth="1"/>
    <col min="3869" max="3869" width="13.5703125" style="412" bestFit="1" customWidth="1"/>
    <col min="3870" max="3870" width="14.85546875" style="412" bestFit="1" customWidth="1"/>
    <col min="3871" max="3871" width="13.28515625" style="412" customWidth="1"/>
    <col min="3872" max="4096" width="9.140625" style="412"/>
    <col min="4097" max="4097" width="9.28515625" style="412" bestFit="1" customWidth="1"/>
    <col min="4098" max="4098" width="41.5703125" style="412" customWidth="1"/>
    <col min="4099" max="4099" width="15.85546875" style="412" customWidth="1"/>
    <col min="4100" max="4100" width="11.7109375" style="412" customWidth="1"/>
    <col min="4101" max="4101" width="15.28515625" style="412" customWidth="1"/>
    <col min="4102" max="4102" width="14.7109375" style="412" customWidth="1"/>
    <col min="4103" max="4103" width="10.28515625" style="412" customWidth="1"/>
    <col min="4104" max="4104" width="15" style="412" customWidth="1"/>
    <col min="4105" max="4105" width="14.85546875" style="412" customWidth="1"/>
    <col min="4106" max="4106" width="16.42578125" style="412" customWidth="1"/>
    <col min="4107" max="4107" width="12.42578125" style="412" customWidth="1"/>
    <col min="4108" max="4108" width="14" style="412" customWidth="1"/>
    <col min="4109" max="4109" width="14.7109375" style="412" customWidth="1"/>
    <col min="4110" max="4110" width="2.85546875" style="412" customWidth="1"/>
    <col min="4111" max="4111" width="15" style="412" customWidth="1"/>
    <col min="4112" max="4112" width="12.85546875" style="412" customWidth="1"/>
    <col min="4113" max="4113" width="2.85546875" style="412" customWidth="1"/>
    <col min="4114" max="4114" width="15.140625" style="412" customWidth="1"/>
    <col min="4115" max="4115" width="9.28515625" style="412" customWidth="1"/>
    <col min="4116" max="4116" width="16.42578125" style="412" customWidth="1"/>
    <col min="4117" max="4117" width="19.85546875" style="412" customWidth="1"/>
    <col min="4118" max="4118" width="9.28515625" style="412" customWidth="1"/>
    <col min="4119" max="4119" width="16.28515625" style="412" customWidth="1"/>
    <col min="4120" max="4120" width="12.7109375" style="412" customWidth="1"/>
    <col min="4121" max="4121" width="14" style="412" customWidth="1"/>
    <col min="4122" max="4122" width="12.7109375" style="412" customWidth="1"/>
    <col min="4123" max="4123" width="14" style="412" customWidth="1"/>
    <col min="4124" max="4124" width="2.85546875" style="412" customWidth="1"/>
    <col min="4125" max="4125" width="13.5703125" style="412" bestFit="1" customWidth="1"/>
    <col min="4126" max="4126" width="14.85546875" style="412" bestFit="1" customWidth="1"/>
    <col min="4127" max="4127" width="13.28515625" style="412" customWidth="1"/>
    <col min="4128" max="4352" width="9.140625" style="412"/>
    <col min="4353" max="4353" width="9.28515625" style="412" bestFit="1" customWidth="1"/>
    <col min="4354" max="4354" width="41.5703125" style="412" customWidth="1"/>
    <col min="4355" max="4355" width="15.85546875" style="412" customWidth="1"/>
    <col min="4356" max="4356" width="11.7109375" style="412" customWidth="1"/>
    <col min="4357" max="4357" width="15.28515625" style="412" customWidth="1"/>
    <col min="4358" max="4358" width="14.7109375" style="412" customWidth="1"/>
    <col min="4359" max="4359" width="10.28515625" style="412" customWidth="1"/>
    <col min="4360" max="4360" width="15" style="412" customWidth="1"/>
    <col min="4361" max="4361" width="14.85546875" style="412" customWidth="1"/>
    <col min="4362" max="4362" width="16.42578125" style="412" customWidth="1"/>
    <col min="4363" max="4363" width="12.42578125" style="412" customWidth="1"/>
    <col min="4364" max="4364" width="14" style="412" customWidth="1"/>
    <col min="4365" max="4365" width="14.7109375" style="412" customWidth="1"/>
    <col min="4366" max="4366" width="2.85546875" style="412" customWidth="1"/>
    <col min="4367" max="4367" width="15" style="412" customWidth="1"/>
    <col min="4368" max="4368" width="12.85546875" style="412" customWidth="1"/>
    <col min="4369" max="4369" width="2.85546875" style="412" customWidth="1"/>
    <col min="4370" max="4370" width="15.140625" style="412" customWidth="1"/>
    <col min="4371" max="4371" width="9.28515625" style="412" customWidth="1"/>
    <col min="4372" max="4372" width="16.42578125" style="412" customWidth="1"/>
    <col min="4373" max="4373" width="19.85546875" style="412" customWidth="1"/>
    <col min="4374" max="4374" width="9.28515625" style="412" customWidth="1"/>
    <col min="4375" max="4375" width="16.28515625" style="412" customWidth="1"/>
    <col min="4376" max="4376" width="12.7109375" style="412" customWidth="1"/>
    <col min="4377" max="4377" width="14" style="412" customWidth="1"/>
    <col min="4378" max="4378" width="12.7109375" style="412" customWidth="1"/>
    <col min="4379" max="4379" width="14" style="412" customWidth="1"/>
    <col min="4380" max="4380" width="2.85546875" style="412" customWidth="1"/>
    <col min="4381" max="4381" width="13.5703125" style="412" bestFit="1" customWidth="1"/>
    <col min="4382" max="4382" width="14.85546875" style="412" bestFit="1" customWidth="1"/>
    <col min="4383" max="4383" width="13.28515625" style="412" customWidth="1"/>
    <col min="4384" max="4608" width="9.140625" style="412"/>
    <col min="4609" max="4609" width="9.28515625" style="412" bestFit="1" customWidth="1"/>
    <col min="4610" max="4610" width="41.5703125" style="412" customWidth="1"/>
    <col min="4611" max="4611" width="15.85546875" style="412" customWidth="1"/>
    <col min="4612" max="4612" width="11.7109375" style="412" customWidth="1"/>
    <col min="4613" max="4613" width="15.28515625" style="412" customWidth="1"/>
    <col min="4614" max="4614" width="14.7109375" style="412" customWidth="1"/>
    <col min="4615" max="4615" width="10.28515625" style="412" customWidth="1"/>
    <col min="4616" max="4616" width="15" style="412" customWidth="1"/>
    <col min="4617" max="4617" width="14.85546875" style="412" customWidth="1"/>
    <col min="4618" max="4618" width="16.42578125" style="412" customWidth="1"/>
    <col min="4619" max="4619" width="12.42578125" style="412" customWidth="1"/>
    <col min="4620" max="4620" width="14" style="412" customWidth="1"/>
    <col min="4621" max="4621" width="14.7109375" style="412" customWidth="1"/>
    <col min="4622" max="4622" width="2.85546875" style="412" customWidth="1"/>
    <col min="4623" max="4623" width="15" style="412" customWidth="1"/>
    <col min="4624" max="4624" width="12.85546875" style="412" customWidth="1"/>
    <col min="4625" max="4625" width="2.85546875" style="412" customWidth="1"/>
    <col min="4626" max="4626" width="15.140625" style="412" customWidth="1"/>
    <col min="4627" max="4627" width="9.28515625" style="412" customWidth="1"/>
    <col min="4628" max="4628" width="16.42578125" style="412" customWidth="1"/>
    <col min="4629" max="4629" width="19.85546875" style="412" customWidth="1"/>
    <col min="4630" max="4630" width="9.28515625" style="412" customWidth="1"/>
    <col min="4631" max="4631" width="16.28515625" style="412" customWidth="1"/>
    <col min="4632" max="4632" width="12.7109375" style="412" customWidth="1"/>
    <col min="4633" max="4633" width="14" style="412" customWidth="1"/>
    <col min="4634" max="4634" width="12.7109375" style="412" customWidth="1"/>
    <col min="4635" max="4635" width="14" style="412" customWidth="1"/>
    <col min="4636" max="4636" width="2.85546875" style="412" customWidth="1"/>
    <col min="4637" max="4637" width="13.5703125" style="412" bestFit="1" customWidth="1"/>
    <col min="4638" max="4638" width="14.85546875" style="412" bestFit="1" customWidth="1"/>
    <col min="4639" max="4639" width="13.28515625" style="412" customWidth="1"/>
    <col min="4640" max="4864" width="9.140625" style="412"/>
    <col min="4865" max="4865" width="9.28515625" style="412" bestFit="1" customWidth="1"/>
    <col min="4866" max="4866" width="41.5703125" style="412" customWidth="1"/>
    <col min="4867" max="4867" width="15.85546875" style="412" customWidth="1"/>
    <col min="4868" max="4868" width="11.7109375" style="412" customWidth="1"/>
    <col min="4869" max="4869" width="15.28515625" style="412" customWidth="1"/>
    <col min="4870" max="4870" width="14.7109375" style="412" customWidth="1"/>
    <col min="4871" max="4871" width="10.28515625" style="412" customWidth="1"/>
    <col min="4872" max="4872" width="15" style="412" customWidth="1"/>
    <col min="4873" max="4873" width="14.85546875" style="412" customWidth="1"/>
    <col min="4874" max="4874" width="16.42578125" style="412" customWidth="1"/>
    <col min="4875" max="4875" width="12.42578125" style="412" customWidth="1"/>
    <col min="4876" max="4876" width="14" style="412" customWidth="1"/>
    <col min="4877" max="4877" width="14.7109375" style="412" customWidth="1"/>
    <col min="4878" max="4878" width="2.85546875" style="412" customWidth="1"/>
    <col min="4879" max="4879" width="15" style="412" customWidth="1"/>
    <col min="4880" max="4880" width="12.85546875" style="412" customWidth="1"/>
    <col min="4881" max="4881" width="2.85546875" style="412" customWidth="1"/>
    <col min="4882" max="4882" width="15.140625" style="412" customWidth="1"/>
    <col min="4883" max="4883" width="9.28515625" style="412" customWidth="1"/>
    <col min="4884" max="4884" width="16.42578125" style="412" customWidth="1"/>
    <col min="4885" max="4885" width="19.85546875" style="412" customWidth="1"/>
    <col min="4886" max="4886" width="9.28515625" style="412" customWidth="1"/>
    <col min="4887" max="4887" width="16.28515625" style="412" customWidth="1"/>
    <col min="4888" max="4888" width="12.7109375" style="412" customWidth="1"/>
    <col min="4889" max="4889" width="14" style="412" customWidth="1"/>
    <col min="4890" max="4890" width="12.7109375" style="412" customWidth="1"/>
    <col min="4891" max="4891" width="14" style="412" customWidth="1"/>
    <col min="4892" max="4892" width="2.85546875" style="412" customWidth="1"/>
    <col min="4893" max="4893" width="13.5703125" style="412" bestFit="1" customWidth="1"/>
    <col min="4894" max="4894" width="14.85546875" style="412" bestFit="1" customWidth="1"/>
    <col min="4895" max="4895" width="13.28515625" style="412" customWidth="1"/>
    <col min="4896" max="5120" width="9.140625" style="412"/>
    <col min="5121" max="5121" width="9.28515625" style="412" bestFit="1" customWidth="1"/>
    <col min="5122" max="5122" width="41.5703125" style="412" customWidth="1"/>
    <col min="5123" max="5123" width="15.85546875" style="412" customWidth="1"/>
    <col min="5124" max="5124" width="11.7109375" style="412" customWidth="1"/>
    <col min="5125" max="5125" width="15.28515625" style="412" customWidth="1"/>
    <col min="5126" max="5126" width="14.7109375" style="412" customWidth="1"/>
    <col min="5127" max="5127" width="10.28515625" style="412" customWidth="1"/>
    <col min="5128" max="5128" width="15" style="412" customWidth="1"/>
    <col min="5129" max="5129" width="14.85546875" style="412" customWidth="1"/>
    <col min="5130" max="5130" width="16.42578125" style="412" customWidth="1"/>
    <col min="5131" max="5131" width="12.42578125" style="412" customWidth="1"/>
    <col min="5132" max="5132" width="14" style="412" customWidth="1"/>
    <col min="5133" max="5133" width="14.7109375" style="412" customWidth="1"/>
    <col min="5134" max="5134" width="2.85546875" style="412" customWidth="1"/>
    <col min="5135" max="5135" width="15" style="412" customWidth="1"/>
    <col min="5136" max="5136" width="12.85546875" style="412" customWidth="1"/>
    <col min="5137" max="5137" width="2.85546875" style="412" customWidth="1"/>
    <col min="5138" max="5138" width="15.140625" style="412" customWidth="1"/>
    <col min="5139" max="5139" width="9.28515625" style="412" customWidth="1"/>
    <col min="5140" max="5140" width="16.42578125" style="412" customWidth="1"/>
    <col min="5141" max="5141" width="19.85546875" style="412" customWidth="1"/>
    <col min="5142" max="5142" width="9.28515625" style="412" customWidth="1"/>
    <col min="5143" max="5143" width="16.28515625" style="412" customWidth="1"/>
    <col min="5144" max="5144" width="12.7109375" style="412" customWidth="1"/>
    <col min="5145" max="5145" width="14" style="412" customWidth="1"/>
    <col min="5146" max="5146" width="12.7109375" style="412" customWidth="1"/>
    <col min="5147" max="5147" width="14" style="412" customWidth="1"/>
    <col min="5148" max="5148" width="2.85546875" style="412" customWidth="1"/>
    <col min="5149" max="5149" width="13.5703125" style="412" bestFit="1" customWidth="1"/>
    <col min="5150" max="5150" width="14.85546875" style="412" bestFit="1" customWidth="1"/>
    <col min="5151" max="5151" width="13.28515625" style="412" customWidth="1"/>
    <col min="5152" max="5376" width="9.140625" style="412"/>
    <col min="5377" max="5377" width="9.28515625" style="412" bestFit="1" customWidth="1"/>
    <col min="5378" max="5378" width="41.5703125" style="412" customWidth="1"/>
    <col min="5379" max="5379" width="15.85546875" style="412" customWidth="1"/>
    <col min="5380" max="5380" width="11.7109375" style="412" customWidth="1"/>
    <col min="5381" max="5381" width="15.28515625" style="412" customWidth="1"/>
    <col min="5382" max="5382" width="14.7109375" style="412" customWidth="1"/>
    <col min="5383" max="5383" width="10.28515625" style="412" customWidth="1"/>
    <col min="5384" max="5384" width="15" style="412" customWidth="1"/>
    <col min="5385" max="5385" width="14.85546875" style="412" customWidth="1"/>
    <col min="5386" max="5386" width="16.42578125" style="412" customWidth="1"/>
    <col min="5387" max="5387" width="12.42578125" style="412" customWidth="1"/>
    <col min="5388" max="5388" width="14" style="412" customWidth="1"/>
    <col min="5389" max="5389" width="14.7109375" style="412" customWidth="1"/>
    <col min="5390" max="5390" width="2.85546875" style="412" customWidth="1"/>
    <col min="5391" max="5391" width="15" style="412" customWidth="1"/>
    <col min="5392" max="5392" width="12.85546875" style="412" customWidth="1"/>
    <col min="5393" max="5393" width="2.85546875" style="412" customWidth="1"/>
    <col min="5394" max="5394" width="15.140625" style="412" customWidth="1"/>
    <col min="5395" max="5395" width="9.28515625" style="412" customWidth="1"/>
    <col min="5396" max="5396" width="16.42578125" style="412" customWidth="1"/>
    <col min="5397" max="5397" width="19.85546875" style="412" customWidth="1"/>
    <col min="5398" max="5398" width="9.28515625" style="412" customWidth="1"/>
    <col min="5399" max="5399" width="16.28515625" style="412" customWidth="1"/>
    <col min="5400" max="5400" width="12.7109375" style="412" customWidth="1"/>
    <col min="5401" max="5401" width="14" style="412" customWidth="1"/>
    <col min="5402" max="5402" width="12.7109375" style="412" customWidth="1"/>
    <col min="5403" max="5403" width="14" style="412" customWidth="1"/>
    <col min="5404" max="5404" width="2.85546875" style="412" customWidth="1"/>
    <col min="5405" max="5405" width="13.5703125" style="412" bestFit="1" customWidth="1"/>
    <col min="5406" max="5406" width="14.85546875" style="412" bestFit="1" customWidth="1"/>
    <col min="5407" max="5407" width="13.28515625" style="412" customWidth="1"/>
    <col min="5408" max="5632" width="9.140625" style="412"/>
    <col min="5633" max="5633" width="9.28515625" style="412" bestFit="1" customWidth="1"/>
    <col min="5634" max="5634" width="41.5703125" style="412" customWidth="1"/>
    <col min="5635" max="5635" width="15.85546875" style="412" customWidth="1"/>
    <col min="5636" max="5636" width="11.7109375" style="412" customWidth="1"/>
    <col min="5637" max="5637" width="15.28515625" style="412" customWidth="1"/>
    <col min="5638" max="5638" width="14.7109375" style="412" customWidth="1"/>
    <col min="5639" max="5639" width="10.28515625" style="412" customWidth="1"/>
    <col min="5640" max="5640" width="15" style="412" customWidth="1"/>
    <col min="5641" max="5641" width="14.85546875" style="412" customWidth="1"/>
    <col min="5642" max="5642" width="16.42578125" style="412" customWidth="1"/>
    <col min="5643" max="5643" width="12.42578125" style="412" customWidth="1"/>
    <col min="5644" max="5644" width="14" style="412" customWidth="1"/>
    <col min="5645" max="5645" width="14.7109375" style="412" customWidth="1"/>
    <col min="5646" max="5646" width="2.85546875" style="412" customWidth="1"/>
    <col min="5647" max="5647" width="15" style="412" customWidth="1"/>
    <col min="5648" max="5648" width="12.85546875" style="412" customWidth="1"/>
    <col min="5649" max="5649" width="2.85546875" style="412" customWidth="1"/>
    <col min="5650" max="5650" width="15.140625" style="412" customWidth="1"/>
    <col min="5651" max="5651" width="9.28515625" style="412" customWidth="1"/>
    <col min="5652" max="5652" width="16.42578125" style="412" customWidth="1"/>
    <col min="5653" max="5653" width="19.85546875" style="412" customWidth="1"/>
    <col min="5654" max="5654" width="9.28515625" style="412" customWidth="1"/>
    <col min="5655" max="5655" width="16.28515625" style="412" customWidth="1"/>
    <col min="5656" max="5656" width="12.7109375" style="412" customWidth="1"/>
    <col min="5657" max="5657" width="14" style="412" customWidth="1"/>
    <col min="5658" max="5658" width="12.7109375" style="412" customWidth="1"/>
    <col min="5659" max="5659" width="14" style="412" customWidth="1"/>
    <col min="5660" max="5660" width="2.85546875" style="412" customWidth="1"/>
    <col min="5661" max="5661" width="13.5703125" style="412" bestFit="1" customWidth="1"/>
    <col min="5662" max="5662" width="14.85546875" style="412" bestFit="1" customWidth="1"/>
    <col min="5663" max="5663" width="13.28515625" style="412" customWidth="1"/>
    <col min="5664" max="5888" width="9.140625" style="412"/>
    <col min="5889" max="5889" width="9.28515625" style="412" bestFit="1" customWidth="1"/>
    <col min="5890" max="5890" width="41.5703125" style="412" customWidth="1"/>
    <col min="5891" max="5891" width="15.85546875" style="412" customWidth="1"/>
    <col min="5892" max="5892" width="11.7109375" style="412" customWidth="1"/>
    <col min="5893" max="5893" width="15.28515625" style="412" customWidth="1"/>
    <col min="5894" max="5894" width="14.7109375" style="412" customWidth="1"/>
    <col min="5895" max="5895" width="10.28515625" style="412" customWidth="1"/>
    <col min="5896" max="5896" width="15" style="412" customWidth="1"/>
    <col min="5897" max="5897" width="14.85546875" style="412" customWidth="1"/>
    <col min="5898" max="5898" width="16.42578125" style="412" customWidth="1"/>
    <col min="5899" max="5899" width="12.42578125" style="412" customWidth="1"/>
    <col min="5900" max="5900" width="14" style="412" customWidth="1"/>
    <col min="5901" max="5901" width="14.7109375" style="412" customWidth="1"/>
    <col min="5902" max="5902" width="2.85546875" style="412" customWidth="1"/>
    <col min="5903" max="5903" width="15" style="412" customWidth="1"/>
    <col min="5904" max="5904" width="12.85546875" style="412" customWidth="1"/>
    <col min="5905" max="5905" width="2.85546875" style="412" customWidth="1"/>
    <col min="5906" max="5906" width="15.140625" style="412" customWidth="1"/>
    <col min="5907" max="5907" width="9.28515625" style="412" customWidth="1"/>
    <col min="5908" max="5908" width="16.42578125" style="412" customWidth="1"/>
    <col min="5909" max="5909" width="19.85546875" style="412" customWidth="1"/>
    <col min="5910" max="5910" width="9.28515625" style="412" customWidth="1"/>
    <col min="5911" max="5911" width="16.28515625" style="412" customWidth="1"/>
    <col min="5912" max="5912" width="12.7109375" style="412" customWidth="1"/>
    <col min="5913" max="5913" width="14" style="412" customWidth="1"/>
    <col min="5914" max="5914" width="12.7109375" style="412" customWidth="1"/>
    <col min="5915" max="5915" width="14" style="412" customWidth="1"/>
    <col min="5916" max="5916" width="2.85546875" style="412" customWidth="1"/>
    <col min="5917" max="5917" width="13.5703125" style="412" bestFit="1" customWidth="1"/>
    <col min="5918" max="5918" width="14.85546875" style="412" bestFit="1" customWidth="1"/>
    <col min="5919" max="5919" width="13.28515625" style="412" customWidth="1"/>
    <col min="5920" max="6144" width="9.140625" style="412"/>
    <col min="6145" max="6145" width="9.28515625" style="412" bestFit="1" customWidth="1"/>
    <col min="6146" max="6146" width="41.5703125" style="412" customWidth="1"/>
    <col min="6147" max="6147" width="15.85546875" style="412" customWidth="1"/>
    <col min="6148" max="6148" width="11.7109375" style="412" customWidth="1"/>
    <col min="6149" max="6149" width="15.28515625" style="412" customWidth="1"/>
    <col min="6150" max="6150" width="14.7109375" style="412" customWidth="1"/>
    <col min="6151" max="6151" width="10.28515625" style="412" customWidth="1"/>
    <col min="6152" max="6152" width="15" style="412" customWidth="1"/>
    <col min="6153" max="6153" width="14.85546875" style="412" customWidth="1"/>
    <col min="6154" max="6154" width="16.42578125" style="412" customWidth="1"/>
    <col min="6155" max="6155" width="12.42578125" style="412" customWidth="1"/>
    <col min="6156" max="6156" width="14" style="412" customWidth="1"/>
    <col min="6157" max="6157" width="14.7109375" style="412" customWidth="1"/>
    <col min="6158" max="6158" width="2.85546875" style="412" customWidth="1"/>
    <col min="6159" max="6159" width="15" style="412" customWidth="1"/>
    <col min="6160" max="6160" width="12.85546875" style="412" customWidth="1"/>
    <col min="6161" max="6161" width="2.85546875" style="412" customWidth="1"/>
    <col min="6162" max="6162" width="15.140625" style="412" customWidth="1"/>
    <col min="6163" max="6163" width="9.28515625" style="412" customWidth="1"/>
    <col min="6164" max="6164" width="16.42578125" style="412" customWidth="1"/>
    <col min="6165" max="6165" width="19.85546875" style="412" customWidth="1"/>
    <col min="6166" max="6166" width="9.28515625" style="412" customWidth="1"/>
    <col min="6167" max="6167" width="16.28515625" style="412" customWidth="1"/>
    <col min="6168" max="6168" width="12.7109375" style="412" customWidth="1"/>
    <col min="6169" max="6169" width="14" style="412" customWidth="1"/>
    <col min="6170" max="6170" width="12.7109375" style="412" customWidth="1"/>
    <col min="6171" max="6171" width="14" style="412" customWidth="1"/>
    <col min="6172" max="6172" width="2.85546875" style="412" customWidth="1"/>
    <col min="6173" max="6173" width="13.5703125" style="412" bestFit="1" customWidth="1"/>
    <col min="6174" max="6174" width="14.85546875" style="412" bestFit="1" customWidth="1"/>
    <col min="6175" max="6175" width="13.28515625" style="412" customWidth="1"/>
    <col min="6176" max="6400" width="9.140625" style="412"/>
    <col min="6401" max="6401" width="9.28515625" style="412" bestFit="1" customWidth="1"/>
    <col min="6402" max="6402" width="41.5703125" style="412" customWidth="1"/>
    <col min="6403" max="6403" width="15.85546875" style="412" customWidth="1"/>
    <col min="6404" max="6404" width="11.7109375" style="412" customWidth="1"/>
    <col min="6405" max="6405" width="15.28515625" style="412" customWidth="1"/>
    <col min="6406" max="6406" width="14.7109375" style="412" customWidth="1"/>
    <col min="6407" max="6407" width="10.28515625" style="412" customWidth="1"/>
    <col min="6408" max="6408" width="15" style="412" customWidth="1"/>
    <col min="6409" max="6409" width="14.85546875" style="412" customWidth="1"/>
    <col min="6410" max="6410" width="16.42578125" style="412" customWidth="1"/>
    <col min="6411" max="6411" width="12.42578125" style="412" customWidth="1"/>
    <col min="6412" max="6412" width="14" style="412" customWidth="1"/>
    <col min="6413" max="6413" width="14.7109375" style="412" customWidth="1"/>
    <col min="6414" max="6414" width="2.85546875" style="412" customWidth="1"/>
    <col min="6415" max="6415" width="15" style="412" customWidth="1"/>
    <col min="6416" max="6416" width="12.85546875" style="412" customWidth="1"/>
    <col min="6417" max="6417" width="2.85546875" style="412" customWidth="1"/>
    <col min="6418" max="6418" width="15.140625" style="412" customWidth="1"/>
    <col min="6419" max="6419" width="9.28515625" style="412" customWidth="1"/>
    <col min="6420" max="6420" width="16.42578125" style="412" customWidth="1"/>
    <col min="6421" max="6421" width="19.85546875" style="412" customWidth="1"/>
    <col min="6422" max="6422" width="9.28515625" style="412" customWidth="1"/>
    <col min="6423" max="6423" width="16.28515625" style="412" customWidth="1"/>
    <col min="6424" max="6424" width="12.7109375" style="412" customWidth="1"/>
    <col min="6425" max="6425" width="14" style="412" customWidth="1"/>
    <col min="6426" max="6426" width="12.7109375" style="412" customWidth="1"/>
    <col min="6427" max="6427" width="14" style="412" customWidth="1"/>
    <col min="6428" max="6428" width="2.85546875" style="412" customWidth="1"/>
    <col min="6429" max="6429" width="13.5703125" style="412" bestFit="1" customWidth="1"/>
    <col min="6430" max="6430" width="14.85546875" style="412" bestFit="1" customWidth="1"/>
    <col min="6431" max="6431" width="13.28515625" style="412" customWidth="1"/>
    <col min="6432" max="6656" width="9.140625" style="412"/>
    <col min="6657" max="6657" width="9.28515625" style="412" bestFit="1" customWidth="1"/>
    <col min="6658" max="6658" width="41.5703125" style="412" customWidth="1"/>
    <col min="6659" max="6659" width="15.85546875" style="412" customWidth="1"/>
    <col min="6660" max="6660" width="11.7109375" style="412" customWidth="1"/>
    <col min="6661" max="6661" width="15.28515625" style="412" customWidth="1"/>
    <col min="6662" max="6662" width="14.7109375" style="412" customWidth="1"/>
    <col min="6663" max="6663" width="10.28515625" style="412" customWidth="1"/>
    <col min="6664" max="6664" width="15" style="412" customWidth="1"/>
    <col min="6665" max="6665" width="14.85546875" style="412" customWidth="1"/>
    <col min="6666" max="6666" width="16.42578125" style="412" customWidth="1"/>
    <col min="6667" max="6667" width="12.42578125" style="412" customWidth="1"/>
    <col min="6668" max="6668" width="14" style="412" customWidth="1"/>
    <col min="6669" max="6669" width="14.7109375" style="412" customWidth="1"/>
    <col min="6670" max="6670" width="2.85546875" style="412" customWidth="1"/>
    <col min="6671" max="6671" width="15" style="412" customWidth="1"/>
    <col min="6672" max="6672" width="12.85546875" style="412" customWidth="1"/>
    <col min="6673" max="6673" width="2.85546875" style="412" customWidth="1"/>
    <col min="6674" max="6674" width="15.140625" style="412" customWidth="1"/>
    <col min="6675" max="6675" width="9.28515625" style="412" customWidth="1"/>
    <col min="6676" max="6676" width="16.42578125" style="412" customWidth="1"/>
    <col min="6677" max="6677" width="19.85546875" style="412" customWidth="1"/>
    <col min="6678" max="6678" width="9.28515625" style="412" customWidth="1"/>
    <col min="6679" max="6679" width="16.28515625" style="412" customWidth="1"/>
    <col min="6680" max="6680" width="12.7109375" style="412" customWidth="1"/>
    <col min="6681" max="6681" width="14" style="412" customWidth="1"/>
    <col min="6682" max="6682" width="12.7109375" style="412" customWidth="1"/>
    <col min="6683" max="6683" width="14" style="412" customWidth="1"/>
    <col min="6684" max="6684" width="2.85546875" style="412" customWidth="1"/>
    <col min="6685" max="6685" width="13.5703125" style="412" bestFit="1" customWidth="1"/>
    <col min="6686" max="6686" width="14.85546875" style="412" bestFit="1" customWidth="1"/>
    <col min="6687" max="6687" width="13.28515625" style="412" customWidth="1"/>
    <col min="6688" max="6912" width="9.140625" style="412"/>
    <col min="6913" max="6913" width="9.28515625" style="412" bestFit="1" customWidth="1"/>
    <col min="6914" max="6914" width="41.5703125" style="412" customWidth="1"/>
    <col min="6915" max="6915" width="15.85546875" style="412" customWidth="1"/>
    <col min="6916" max="6916" width="11.7109375" style="412" customWidth="1"/>
    <col min="6917" max="6917" width="15.28515625" style="412" customWidth="1"/>
    <col min="6918" max="6918" width="14.7109375" style="412" customWidth="1"/>
    <col min="6919" max="6919" width="10.28515625" style="412" customWidth="1"/>
    <col min="6920" max="6920" width="15" style="412" customWidth="1"/>
    <col min="6921" max="6921" width="14.85546875" style="412" customWidth="1"/>
    <col min="6922" max="6922" width="16.42578125" style="412" customWidth="1"/>
    <col min="6923" max="6923" width="12.42578125" style="412" customWidth="1"/>
    <col min="6924" max="6924" width="14" style="412" customWidth="1"/>
    <col min="6925" max="6925" width="14.7109375" style="412" customWidth="1"/>
    <col min="6926" max="6926" width="2.85546875" style="412" customWidth="1"/>
    <col min="6927" max="6927" width="15" style="412" customWidth="1"/>
    <col min="6928" max="6928" width="12.85546875" style="412" customWidth="1"/>
    <col min="6929" max="6929" width="2.85546875" style="412" customWidth="1"/>
    <col min="6930" max="6930" width="15.140625" style="412" customWidth="1"/>
    <col min="6931" max="6931" width="9.28515625" style="412" customWidth="1"/>
    <col min="6932" max="6932" width="16.42578125" style="412" customWidth="1"/>
    <col min="6933" max="6933" width="19.85546875" style="412" customWidth="1"/>
    <col min="6934" max="6934" width="9.28515625" style="412" customWidth="1"/>
    <col min="6935" max="6935" width="16.28515625" style="412" customWidth="1"/>
    <col min="6936" max="6936" width="12.7109375" style="412" customWidth="1"/>
    <col min="6937" max="6937" width="14" style="412" customWidth="1"/>
    <col min="6938" max="6938" width="12.7109375" style="412" customWidth="1"/>
    <col min="6939" max="6939" width="14" style="412" customWidth="1"/>
    <col min="6940" max="6940" width="2.85546875" style="412" customWidth="1"/>
    <col min="6941" max="6941" width="13.5703125" style="412" bestFit="1" customWidth="1"/>
    <col min="6942" max="6942" width="14.85546875" style="412" bestFit="1" customWidth="1"/>
    <col min="6943" max="6943" width="13.28515625" style="412" customWidth="1"/>
    <col min="6944" max="7168" width="9.140625" style="412"/>
    <col min="7169" max="7169" width="9.28515625" style="412" bestFit="1" customWidth="1"/>
    <col min="7170" max="7170" width="41.5703125" style="412" customWidth="1"/>
    <col min="7171" max="7171" width="15.85546875" style="412" customWidth="1"/>
    <col min="7172" max="7172" width="11.7109375" style="412" customWidth="1"/>
    <col min="7173" max="7173" width="15.28515625" style="412" customWidth="1"/>
    <col min="7174" max="7174" width="14.7109375" style="412" customWidth="1"/>
    <col min="7175" max="7175" width="10.28515625" style="412" customWidth="1"/>
    <col min="7176" max="7176" width="15" style="412" customWidth="1"/>
    <col min="7177" max="7177" width="14.85546875" style="412" customWidth="1"/>
    <col min="7178" max="7178" width="16.42578125" style="412" customWidth="1"/>
    <col min="7179" max="7179" width="12.42578125" style="412" customWidth="1"/>
    <col min="7180" max="7180" width="14" style="412" customWidth="1"/>
    <col min="7181" max="7181" width="14.7109375" style="412" customWidth="1"/>
    <col min="7182" max="7182" width="2.85546875" style="412" customWidth="1"/>
    <col min="7183" max="7183" width="15" style="412" customWidth="1"/>
    <col min="7184" max="7184" width="12.85546875" style="412" customWidth="1"/>
    <col min="7185" max="7185" width="2.85546875" style="412" customWidth="1"/>
    <col min="7186" max="7186" width="15.140625" style="412" customWidth="1"/>
    <col min="7187" max="7187" width="9.28515625" style="412" customWidth="1"/>
    <col min="7188" max="7188" width="16.42578125" style="412" customWidth="1"/>
    <col min="7189" max="7189" width="19.85546875" style="412" customWidth="1"/>
    <col min="7190" max="7190" width="9.28515625" style="412" customWidth="1"/>
    <col min="7191" max="7191" width="16.28515625" style="412" customWidth="1"/>
    <col min="7192" max="7192" width="12.7109375" style="412" customWidth="1"/>
    <col min="7193" max="7193" width="14" style="412" customWidth="1"/>
    <col min="7194" max="7194" width="12.7109375" style="412" customWidth="1"/>
    <col min="7195" max="7195" width="14" style="412" customWidth="1"/>
    <col min="7196" max="7196" width="2.85546875" style="412" customWidth="1"/>
    <col min="7197" max="7197" width="13.5703125" style="412" bestFit="1" customWidth="1"/>
    <col min="7198" max="7198" width="14.85546875" style="412" bestFit="1" customWidth="1"/>
    <col min="7199" max="7199" width="13.28515625" style="412" customWidth="1"/>
    <col min="7200" max="7424" width="9.140625" style="412"/>
    <col min="7425" max="7425" width="9.28515625" style="412" bestFit="1" customWidth="1"/>
    <col min="7426" max="7426" width="41.5703125" style="412" customWidth="1"/>
    <col min="7427" max="7427" width="15.85546875" style="412" customWidth="1"/>
    <col min="7428" max="7428" width="11.7109375" style="412" customWidth="1"/>
    <col min="7429" max="7429" width="15.28515625" style="412" customWidth="1"/>
    <col min="7430" max="7430" width="14.7109375" style="412" customWidth="1"/>
    <col min="7431" max="7431" width="10.28515625" style="412" customWidth="1"/>
    <col min="7432" max="7432" width="15" style="412" customWidth="1"/>
    <col min="7433" max="7433" width="14.85546875" style="412" customWidth="1"/>
    <col min="7434" max="7434" width="16.42578125" style="412" customWidth="1"/>
    <col min="7435" max="7435" width="12.42578125" style="412" customWidth="1"/>
    <col min="7436" max="7436" width="14" style="412" customWidth="1"/>
    <col min="7437" max="7437" width="14.7109375" style="412" customWidth="1"/>
    <col min="7438" max="7438" width="2.85546875" style="412" customWidth="1"/>
    <col min="7439" max="7439" width="15" style="412" customWidth="1"/>
    <col min="7440" max="7440" width="12.85546875" style="412" customWidth="1"/>
    <col min="7441" max="7441" width="2.85546875" style="412" customWidth="1"/>
    <col min="7442" max="7442" width="15.140625" style="412" customWidth="1"/>
    <col min="7443" max="7443" width="9.28515625" style="412" customWidth="1"/>
    <col min="7444" max="7444" width="16.42578125" style="412" customWidth="1"/>
    <col min="7445" max="7445" width="19.85546875" style="412" customWidth="1"/>
    <col min="7446" max="7446" width="9.28515625" style="412" customWidth="1"/>
    <col min="7447" max="7447" width="16.28515625" style="412" customWidth="1"/>
    <col min="7448" max="7448" width="12.7109375" style="412" customWidth="1"/>
    <col min="7449" max="7449" width="14" style="412" customWidth="1"/>
    <col min="7450" max="7450" width="12.7109375" style="412" customWidth="1"/>
    <col min="7451" max="7451" width="14" style="412" customWidth="1"/>
    <col min="7452" max="7452" width="2.85546875" style="412" customWidth="1"/>
    <col min="7453" max="7453" width="13.5703125" style="412" bestFit="1" customWidth="1"/>
    <col min="7454" max="7454" width="14.85546875" style="412" bestFit="1" customWidth="1"/>
    <col min="7455" max="7455" width="13.28515625" style="412" customWidth="1"/>
    <col min="7456" max="7680" width="9.140625" style="412"/>
    <col min="7681" max="7681" width="9.28515625" style="412" bestFit="1" customWidth="1"/>
    <col min="7682" max="7682" width="41.5703125" style="412" customWidth="1"/>
    <col min="7683" max="7683" width="15.85546875" style="412" customWidth="1"/>
    <col min="7684" max="7684" width="11.7109375" style="412" customWidth="1"/>
    <col min="7685" max="7685" width="15.28515625" style="412" customWidth="1"/>
    <col min="7686" max="7686" width="14.7109375" style="412" customWidth="1"/>
    <col min="7687" max="7687" width="10.28515625" style="412" customWidth="1"/>
    <col min="7688" max="7688" width="15" style="412" customWidth="1"/>
    <col min="7689" max="7689" width="14.85546875" style="412" customWidth="1"/>
    <col min="7690" max="7690" width="16.42578125" style="412" customWidth="1"/>
    <col min="7691" max="7691" width="12.42578125" style="412" customWidth="1"/>
    <col min="7692" max="7692" width="14" style="412" customWidth="1"/>
    <col min="7693" max="7693" width="14.7109375" style="412" customWidth="1"/>
    <col min="7694" max="7694" width="2.85546875" style="412" customWidth="1"/>
    <col min="7695" max="7695" width="15" style="412" customWidth="1"/>
    <col min="7696" max="7696" width="12.85546875" style="412" customWidth="1"/>
    <col min="7697" max="7697" width="2.85546875" style="412" customWidth="1"/>
    <col min="7698" max="7698" width="15.140625" style="412" customWidth="1"/>
    <col min="7699" max="7699" width="9.28515625" style="412" customWidth="1"/>
    <col min="7700" max="7700" width="16.42578125" style="412" customWidth="1"/>
    <col min="7701" max="7701" width="19.85546875" style="412" customWidth="1"/>
    <col min="7702" max="7702" width="9.28515625" style="412" customWidth="1"/>
    <col min="7703" max="7703" width="16.28515625" style="412" customWidth="1"/>
    <col min="7704" max="7704" width="12.7109375" style="412" customWidth="1"/>
    <col min="7705" max="7705" width="14" style="412" customWidth="1"/>
    <col min="7706" max="7706" width="12.7109375" style="412" customWidth="1"/>
    <col min="7707" max="7707" width="14" style="412" customWidth="1"/>
    <col min="7708" max="7708" width="2.85546875" style="412" customWidth="1"/>
    <col min="7709" max="7709" width="13.5703125" style="412" bestFit="1" customWidth="1"/>
    <col min="7710" max="7710" width="14.85546875" style="412" bestFit="1" customWidth="1"/>
    <col min="7711" max="7711" width="13.28515625" style="412" customWidth="1"/>
    <col min="7712" max="7936" width="9.140625" style="412"/>
    <col min="7937" max="7937" width="9.28515625" style="412" bestFit="1" customWidth="1"/>
    <col min="7938" max="7938" width="41.5703125" style="412" customWidth="1"/>
    <col min="7939" max="7939" width="15.85546875" style="412" customWidth="1"/>
    <col min="7940" max="7940" width="11.7109375" style="412" customWidth="1"/>
    <col min="7941" max="7941" width="15.28515625" style="412" customWidth="1"/>
    <col min="7942" max="7942" width="14.7109375" style="412" customWidth="1"/>
    <col min="7943" max="7943" width="10.28515625" style="412" customWidth="1"/>
    <col min="7944" max="7944" width="15" style="412" customWidth="1"/>
    <col min="7945" max="7945" width="14.85546875" style="412" customWidth="1"/>
    <col min="7946" max="7946" width="16.42578125" style="412" customWidth="1"/>
    <col min="7947" max="7947" width="12.42578125" style="412" customWidth="1"/>
    <col min="7948" max="7948" width="14" style="412" customWidth="1"/>
    <col min="7949" max="7949" width="14.7109375" style="412" customWidth="1"/>
    <col min="7950" max="7950" width="2.85546875" style="412" customWidth="1"/>
    <col min="7951" max="7951" width="15" style="412" customWidth="1"/>
    <col min="7952" max="7952" width="12.85546875" style="412" customWidth="1"/>
    <col min="7953" max="7953" width="2.85546875" style="412" customWidth="1"/>
    <col min="7954" max="7954" width="15.140625" style="412" customWidth="1"/>
    <col min="7955" max="7955" width="9.28515625" style="412" customWidth="1"/>
    <col min="7956" max="7956" width="16.42578125" style="412" customWidth="1"/>
    <col min="7957" max="7957" width="19.85546875" style="412" customWidth="1"/>
    <col min="7958" max="7958" width="9.28515625" style="412" customWidth="1"/>
    <col min="7959" max="7959" width="16.28515625" style="412" customWidth="1"/>
    <col min="7960" max="7960" width="12.7109375" style="412" customWidth="1"/>
    <col min="7961" max="7961" width="14" style="412" customWidth="1"/>
    <col min="7962" max="7962" width="12.7109375" style="412" customWidth="1"/>
    <col min="7963" max="7963" width="14" style="412" customWidth="1"/>
    <col min="7964" max="7964" width="2.85546875" style="412" customWidth="1"/>
    <col min="7965" max="7965" width="13.5703125" style="412" bestFit="1" customWidth="1"/>
    <col min="7966" max="7966" width="14.85546875" style="412" bestFit="1" customWidth="1"/>
    <col min="7967" max="7967" width="13.28515625" style="412" customWidth="1"/>
    <col min="7968" max="8192" width="9.140625" style="412"/>
    <col min="8193" max="8193" width="9.28515625" style="412" bestFit="1" customWidth="1"/>
    <col min="8194" max="8194" width="41.5703125" style="412" customWidth="1"/>
    <col min="8195" max="8195" width="15.85546875" style="412" customWidth="1"/>
    <col min="8196" max="8196" width="11.7109375" style="412" customWidth="1"/>
    <col min="8197" max="8197" width="15.28515625" style="412" customWidth="1"/>
    <col min="8198" max="8198" width="14.7109375" style="412" customWidth="1"/>
    <col min="8199" max="8199" width="10.28515625" style="412" customWidth="1"/>
    <col min="8200" max="8200" width="15" style="412" customWidth="1"/>
    <col min="8201" max="8201" width="14.85546875" style="412" customWidth="1"/>
    <col min="8202" max="8202" width="16.42578125" style="412" customWidth="1"/>
    <col min="8203" max="8203" width="12.42578125" style="412" customWidth="1"/>
    <col min="8204" max="8204" width="14" style="412" customWidth="1"/>
    <col min="8205" max="8205" width="14.7109375" style="412" customWidth="1"/>
    <col min="8206" max="8206" width="2.85546875" style="412" customWidth="1"/>
    <col min="8207" max="8207" width="15" style="412" customWidth="1"/>
    <col min="8208" max="8208" width="12.85546875" style="412" customWidth="1"/>
    <col min="8209" max="8209" width="2.85546875" style="412" customWidth="1"/>
    <col min="8210" max="8210" width="15.140625" style="412" customWidth="1"/>
    <col min="8211" max="8211" width="9.28515625" style="412" customWidth="1"/>
    <col min="8212" max="8212" width="16.42578125" style="412" customWidth="1"/>
    <col min="8213" max="8213" width="19.85546875" style="412" customWidth="1"/>
    <col min="8214" max="8214" width="9.28515625" style="412" customWidth="1"/>
    <col min="8215" max="8215" width="16.28515625" style="412" customWidth="1"/>
    <col min="8216" max="8216" width="12.7109375" style="412" customWidth="1"/>
    <col min="8217" max="8217" width="14" style="412" customWidth="1"/>
    <col min="8218" max="8218" width="12.7109375" style="412" customWidth="1"/>
    <col min="8219" max="8219" width="14" style="412" customWidth="1"/>
    <col min="8220" max="8220" width="2.85546875" style="412" customWidth="1"/>
    <col min="8221" max="8221" width="13.5703125" style="412" bestFit="1" customWidth="1"/>
    <col min="8222" max="8222" width="14.85546875" style="412" bestFit="1" customWidth="1"/>
    <col min="8223" max="8223" width="13.28515625" style="412" customWidth="1"/>
    <col min="8224" max="8448" width="9.140625" style="412"/>
    <col min="8449" max="8449" width="9.28515625" style="412" bestFit="1" customWidth="1"/>
    <col min="8450" max="8450" width="41.5703125" style="412" customWidth="1"/>
    <col min="8451" max="8451" width="15.85546875" style="412" customWidth="1"/>
    <col min="8452" max="8452" width="11.7109375" style="412" customWidth="1"/>
    <col min="8453" max="8453" width="15.28515625" style="412" customWidth="1"/>
    <col min="8454" max="8454" width="14.7109375" style="412" customWidth="1"/>
    <col min="8455" max="8455" width="10.28515625" style="412" customWidth="1"/>
    <col min="8456" max="8456" width="15" style="412" customWidth="1"/>
    <col min="8457" max="8457" width="14.85546875" style="412" customWidth="1"/>
    <col min="8458" max="8458" width="16.42578125" style="412" customWidth="1"/>
    <col min="8459" max="8459" width="12.42578125" style="412" customWidth="1"/>
    <col min="8460" max="8460" width="14" style="412" customWidth="1"/>
    <col min="8461" max="8461" width="14.7109375" style="412" customWidth="1"/>
    <col min="8462" max="8462" width="2.85546875" style="412" customWidth="1"/>
    <col min="8463" max="8463" width="15" style="412" customWidth="1"/>
    <col min="8464" max="8464" width="12.85546875" style="412" customWidth="1"/>
    <col min="8465" max="8465" width="2.85546875" style="412" customWidth="1"/>
    <col min="8466" max="8466" width="15.140625" style="412" customWidth="1"/>
    <col min="8467" max="8467" width="9.28515625" style="412" customWidth="1"/>
    <col min="8468" max="8468" width="16.42578125" style="412" customWidth="1"/>
    <col min="8469" max="8469" width="19.85546875" style="412" customWidth="1"/>
    <col min="8470" max="8470" width="9.28515625" style="412" customWidth="1"/>
    <col min="8471" max="8471" width="16.28515625" style="412" customWidth="1"/>
    <col min="8472" max="8472" width="12.7109375" style="412" customWidth="1"/>
    <col min="8473" max="8473" width="14" style="412" customWidth="1"/>
    <col min="8474" max="8474" width="12.7109375" style="412" customWidth="1"/>
    <col min="8475" max="8475" width="14" style="412" customWidth="1"/>
    <col min="8476" max="8476" width="2.85546875" style="412" customWidth="1"/>
    <col min="8477" max="8477" width="13.5703125" style="412" bestFit="1" customWidth="1"/>
    <col min="8478" max="8478" width="14.85546875" style="412" bestFit="1" customWidth="1"/>
    <col min="8479" max="8479" width="13.28515625" style="412" customWidth="1"/>
    <col min="8480" max="8704" width="9.140625" style="412"/>
    <col min="8705" max="8705" width="9.28515625" style="412" bestFit="1" customWidth="1"/>
    <col min="8706" max="8706" width="41.5703125" style="412" customWidth="1"/>
    <col min="8707" max="8707" width="15.85546875" style="412" customWidth="1"/>
    <col min="8708" max="8708" width="11.7109375" style="412" customWidth="1"/>
    <col min="8709" max="8709" width="15.28515625" style="412" customWidth="1"/>
    <col min="8710" max="8710" width="14.7109375" style="412" customWidth="1"/>
    <col min="8711" max="8711" width="10.28515625" style="412" customWidth="1"/>
    <col min="8712" max="8712" width="15" style="412" customWidth="1"/>
    <col min="8713" max="8713" width="14.85546875" style="412" customWidth="1"/>
    <col min="8714" max="8714" width="16.42578125" style="412" customWidth="1"/>
    <col min="8715" max="8715" width="12.42578125" style="412" customWidth="1"/>
    <col min="8716" max="8716" width="14" style="412" customWidth="1"/>
    <col min="8717" max="8717" width="14.7109375" style="412" customWidth="1"/>
    <col min="8718" max="8718" width="2.85546875" style="412" customWidth="1"/>
    <col min="8719" max="8719" width="15" style="412" customWidth="1"/>
    <col min="8720" max="8720" width="12.85546875" style="412" customWidth="1"/>
    <col min="8721" max="8721" width="2.85546875" style="412" customWidth="1"/>
    <col min="8722" max="8722" width="15.140625" style="412" customWidth="1"/>
    <col min="8723" max="8723" width="9.28515625" style="412" customWidth="1"/>
    <col min="8724" max="8724" width="16.42578125" style="412" customWidth="1"/>
    <col min="8725" max="8725" width="19.85546875" style="412" customWidth="1"/>
    <col min="8726" max="8726" width="9.28515625" style="412" customWidth="1"/>
    <col min="8727" max="8727" width="16.28515625" style="412" customWidth="1"/>
    <col min="8728" max="8728" width="12.7109375" style="412" customWidth="1"/>
    <col min="8729" max="8729" width="14" style="412" customWidth="1"/>
    <col min="8730" max="8730" width="12.7109375" style="412" customWidth="1"/>
    <col min="8731" max="8731" width="14" style="412" customWidth="1"/>
    <col min="8732" max="8732" width="2.85546875" style="412" customWidth="1"/>
    <col min="8733" max="8733" width="13.5703125" style="412" bestFit="1" customWidth="1"/>
    <col min="8734" max="8734" width="14.85546875" style="412" bestFit="1" customWidth="1"/>
    <col min="8735" max="8735" width="13.28515625" style="412" customWidth="1"/>
    <col min="8736" max="8960" width="9.140625" style="412"/>
    <col min="8961" max="8961" width="9.28515625" style="412" bestFit="1" customWidth="1"/>
    <col min="8962" max="8962" width="41.5703125" style="412" customWidth="1"/>
    <col min="8963" max="8963" width="15.85546875" style="412" customWidth="1"/>
    <col min="8964" max="8964" width="11.7109375" style="412" customWidth="1"/>
    <col min="8965" max="8965" width="15.28515625" style="412" customWidth="1"/>
    <col min="8966" max="8966" width="14.7109375" style="412" customWidth="1"/>
    <col min="8967" max="8967" width="10.28515625" style="412" customWidth="1"/>
    <col min="8968" max="8968" width="15" style="412" customWidth="1"/>
    <col min="8969" max="8969" width="14.85546875" style="412" customWidth="1"/>
    <col min="8970" max="8970" width="16.42578125" style="412" customWidth="1"/>
    <col min="8971" max="8971" width="12.42578125" style="412" customWidth="1"/>
    <col min="8972" max="8972" width="14" style="412" customWidth="1"/>
    <col min="8973" max="8973" width="14.7109375" style="412" customWidth="1"/>
    <col min="8974" max="8974" width="2.85546875" style="412" customWidth="1"/>
    <col min="8975" max="8975" width="15" style="412" customWidth="1"/>
    <col min="8976" max="8976" width="12.85546875" style="412" customWidth="1"/>
    <col min="8977" max="8977" width="2.85546875" style="412" customWidth="1"/>
    <col min="8978" max="8978" width="15.140625" style="412" customWidth="1"/>
    <col min="8979" max="8979" width="9.28515625" style="412" customWidth="1"/>
    <col min="8980" max="8980" width="16.42578125" style="412" customWidth="1"/>
    <col min="8981" max="8981" width="19.85546875" style="412" customWidth="1"/>
    <col min="8982" max="8982" width="9.28515625" style="412" customWidth="1"/>
    <col min="8983" max="8983" width="16.28515625" style="412" customWidth="1"/>
    <col min="8984" max="8984" width="12.7109375" style="412" customWidth="1"/>
    <col min="8985" max="8985" width="14" style="412" customWidth="1"/>
    <col min="8986" max="8986" width="12.7109375" style="412" customWidth="1"/>
    <col min="8987" max="8987" width="14" style="412" customWidth="1"/>
    <col min="8988" max="8988" width="2.85546875" style="412" customWidth="1"/>
    <col min="8989" max="8989" width="13.5703125" style="412" bestFit="1" customWidth="1"/>
    <col min="8990" max="8990" width="14.85546875" style="412" bestFit="1" customWidth="1"/>
    <col min="8991" max="8991" width="13.28515625" style="412" customWidth="1"/>
    <col min="8992" max="9216" width="9.140625" style="412"/>
    <col min="9217" max="9217" width="9.28515625" style="412" bestFit="1" customWidth="1"/>
    <col min="9218" max="9218" width="41.5703125" style="412" customWidth="1"/>
    <col min="9219" max="9219" width="15.85546875" style="412" customWidth="1"/>
    <col min="9220" max="9220" width="11.7109375" style="412" customWidth="1"/>
    <col min="9221" max="9221" width="15.28515625" style="412" customWidth="1"/>
    <col min="9222" max="9222" width="14.7109375" style="412" customWidth="1"/>
    <col min="9223" max="9223" width="10.28515625" style="412" customWidth="1"/>
    <col min="9224" max="9224" width="15" style="412" customWidth="1"/>
    <col min="9225" max="9225" width="14.85546875" style="412" customWidth="1"/>
    <col min="9226" max="9226" width="16.42578125" style="412" customWidth="1"/>
    <col min="9227" max="9227" width="12.42578125" style="412" customWidth="1"/>
    <col min="9228" max="9228" width="14" style="412" customWidth="1"/>
    <col min="9229" max="9229" width="14.7109375" style="412" customWidth="1"/>
    <col min="9230" max="9230" width="2.85546875" style="412" customWidth="1"/>
    <col min="9231" max="9231" width="15" style="412" customWidth="1"/>
    <col min="9232" max="9232" width="12.85546875" style="412" customWidth="1"/>
    <col min="9233" max="9233" width="2.85546875" style="412" customWidth="1"/>
    <col min="9234" max="9234" width="15.140625" style="412" customWidth="1"/>
    <col min="9235" max="9235" width="9.28515625" style="412" customWidth="1"/>
    <col min="9236" max="9236" width="16.42578125" style="412" customWidth="1"/>
    <col min="9237" max="9237" width="19.85546875" style="412" customWidth="1"/>
    <col min="9238" max="9238" width="9.28515625" style="412" customWidth="1"/>
    <col min="9239" max="9239" width="16.28515625" style="412" customWidth="1"/>
    <col min="9240" max="9240" width="12.7109375" style="412" customWidth="1"/>
    <col min="9241" max="9241" width="14" style="412" customWidth="1"/>
    <col min="9242" max="9242" width="12.7109375" style="412" customWidth="1"/>
    <col min="9243" max="9243" width="14" style="412" customWidth="1"/>
    <col min="9244" max="9244" width="2.85546875" style="412" customWidth="1"/>
    <col min="9245" max="9245" width="13.5703125" style="412" bestFit="1" customWidth="1"/>
    <col min="9246" max="9246" width="14.85546875" style="412" bestFit="1" customWidth="1"/>
    <col min="9247" max="9247" width="13.28515625" style="412" customWidth="1"/>
    <col min="9248" max="9472" width="9.140625" style="412"/>
    <col min="9473" max="9473" width="9.28515625" style="412" bestFit="1" customWidth="1"/>
    <col min="9474" max="9474" width="41.5703125" style="412" customWidth="1"/>
    <col min="9475" max="9475" width="15.85546875" style="412" customWidth="1"/>
    <col min="9476" max="9476" width="11.7109375" style="412" customWidth="1"/>
    <col min="9477" max="9477" width="15.28515625" style="412" customWidth="1"/>
    <col min="9478" max="9478" width="14.7109375" style="412" customWidth="1"/>
    <col min="9479" max="9479" width="10.28515625" style="412" customWidth="1"/>
    <col min="9480" max="9480" width="15" style="412" customWidth="1"/>
    <col min="9481" max="9481" width="14.85546875" style="412" customWidth="1"/>
    <col min="9482" max="9482" width="16.42578125" style="412" customWidth="1"/>
    <col min="9483" max="9483" width="12.42578125" style="412" customWidth="1"/>
    <col min="9484" max="9484" width="14" style="412" customWidth="1"/>
    <col min="9485" max="9485" width="14.7109375" style="412" customWidth="1"/>
    <col min="9486" max="9486" width="2.85546875" style="412" customWidth="1"/>
    <col min="9487" max="9487" width="15" style="412" customWidth="1"/>
    <col min="9488" max="9488" width="12.85546875" style="412" customWidth="1"/>
    <col min="9489" max="9489" width="2.85546875" style="412" customWidth="1"/>
    <col min="9490" max="9490" width="15.140625" style="412" customWidth="1"/>
    <col min="9491" max="9491" width="9.28515625" style="412" customWidth="1"/>
    <col min="9492" max="9492" width="16.42578125" style="412" customWidth="1"/>
    <col min="9493" max="9493" width="19.85546875" style="412" customWidth="1"/>
    <col min="9494" max="9494" width="9.28515625" style="412" customWidth="1"/>
    <col min="9495" max="9495" width="16.28515625" style="412" customWidth="1"/>
    <col min="9496" max="9496" width="12.7109375" style="412" customWidth="1"/>
    <col min="9497" max="9497" width="14" style="412" customWidth="1"/>
    <col min="9498" max="9498" width="12.7109375" style="412" customWidth="1"/>
    <col min="9499" max="9499" width="14" style="412" customWidth="1"/>
    <col min="9500" max="9500" width="2.85546875" style="412" customWidth="1"/>
    <col min="9501" max="9501" width="13.5703125" style="412" bestFit="1" customWidth="1"/>
    <col min="9502" max="9502" width="14.85546875" style="412" bestFit="1" customWidth="1"/>
    <col min="9503" max="9503" width="13.28515625" style="412" customWidth="1"/>
    <col min="9504" max="9728" width="9.140625" style="412"/>
    <col min="9729" max="9729" width="9.28515625" style="412" bestFit="1" customWidth="1"/>
    <col min="9730" max="9730" width="41.5703125" style="412" customWidth="1"/>
    <col min="9731" max="9731" width="15.85546875" style="412" customWidth="1"/>
    <col min="9732" max="9732" width="11.7109375" style="412" customWidth="1"/>
    <col min="9733" max="9733" width="15.28515625" style="412" customWidth="1"/>
    <col min="9734" max="9734" width="14.7109375" style="412" customWidth="1"/>
    <col min="9735" max="9735" width="10.28515625" style="412" customWidth="1"/>
    <col min="9736" max="9736" width="15" style="412" customWidth="1"/>
    <col min="9737" max="9737" width="14.85546875" style="412" customWidth="1"/>
    <col min="9738" max="9738" width="16.42578125" style="412" customWidth="1"/>
    <col min="9739" max="9739" width="12.42578125" style="412" customWidth="1"/>
    <col min="9740" max="9740" width="14" style="412" customWidth="1"/>
    <col min="9741" max="9741" width="14.7109375" style="412" customWidth="1"/>
    <col min="9742" max="9742" width="2.85546875" style="412" customWidth="1"/>
    <col min="9743" max="9743" width="15" style="412" customWidth="1"/>
    <col min="9744" max="9744" width="12.85546875" style="412" customWidth="1"/>
    <col min="9745" max="9745" width="2.85546875" style="412" customWidth="1"/>
    <col min="9746" max="9746" width="15.140625" style="412" customWidth="1"/>
    <col min="9747" max="9747" width="9.28515625" style="412" customWidth="1"/>
    <col min="9748" max="9748" width="16.42578125" style="412" customWidth="1"/>
    <col min="9749" max="9749" width="19.85546875" style="412" customWidth="1"/>
    <col min="9750" max="9750" width="9.28515625" style="412" customWidth="1"/>
    <col min="9751" max="9751" width="16.28515625" style="412" customWidth="1"/>
    <col min="9752" max="9752" width="12.7109375" style="412" customWidth="1"/>
    <col min="9753" max="9753" width="14" style="412" customWidth="1"/>
    <col min="9754" max="9754" width="12.7109375" style="412" customWidth="1"/>
    <col min="9755" max="9755" width="14" style="412" customWidth="1"/>
    <col min="9756" max="9756" width="2.85546875" style="412" customWidth="1"/>
    <col min="9757" max="9757" width="13.5703125" style="412" bestFit="1" customWidth="1"/>
    <col min="9758" max="9758" width="14.85546875" style="412" bestFit="1" customWidth="1"/>
    <col min="9759" max="9759" width="13.28515625" style="412" customWidth="1"/>
    <col min="9760" max="9984" width="9.140625" style="412"/>
    <col min="9985" max="9985" width="9.28515625" style="412" bestFit="1" customWidth="1"/>
    <col min="9986" max="9986" width="41.5703125" style="412" customWidth="1"/>
    <col min="9987" max="9987" width="15.85546875" style="412" customWidth="1"/>
    <col min="9988" max="9988" width="11.7109375" style="412" customWidth="1"/>
    <col min="9989" max="9989" width="15.28515625" style="412" customWidth="1"/>
    <col min="9990" max="9990" width="14.7109375" style="412" customWidth="1"/>
    <col min="9991" max="9991" width="10.28515625" style="412" customWidth="1"/>
    <col min="9992" max="9992" width="15" style="412" customWidth="1"/>
    <col min="9993" max="9993" width="14.85546875" style="412" customWidth="1"/>
    <col min="9994" max="9994" width="16.42578125" style="412" customWidth="1"/>
    <col min="9995" max="9995" width="12.42578125" style="412" customWidth="1"/>
    <col min="9996" max="9996" width="14" style="412" customWidth="1"/>
    <col min="9997" max="9997" width="14.7109375" style="412" customWidth="1"/>
    <col min="9998" max="9998" width="2.85546875" style="412" customWidth="1"/>
    <col min="9999" max="9999" width="15" style="412" customWidth="1"/>
    <col min="10000" max="10000" width="12.85546875" style="412" customWidth="1"/>
    <col min="10001" max="10001" width="2.85546875" style="412" customWidth="1"/>
    <col min="10002" max="10002" width="15.140625" style="412" customWidth="1"/>
    <col min="10003" max="10003" width="9.28515625" style="412" customWidth="1"/>
    <col min="10004" max="10004" width="16.42578125" style="412" customWidth="1"/>
    <col min="10005" max="10005" width="19.85546875" style="412" customWidth="1"/>
    <col min="10006" max="10006" width="9.28515625" style="412" customWidth="1"/>
    <col min="10007" max="10007" width="16.28515625" style="412" customWidth="1"/>
    <col min="10008" max="10008" width="12.7109375" style="412" customWidth="1"/>
    <col min="10009" max="10009" width="14" style="412" customWidth="1"/>
    <col min="10010" max="10010" width="12.7109375" style="412" customWidth="1"/>
    <col min="10011" max="10011" width="14" style="412" customWidth="1"/>
    <col min="10012" max="10012" width="2.85546875" style="412" customWidth="1"/>
    <col min="10013" max="10013" width="13.5703125" style="412" bestFit="1" customWidth="1"/>
    <col min="10014" max="10014" width="14.85546875" style="412" bestFit="1" customWidth="1"/>
    <col min="10015" max="10015" width="13.28515625" style="412" customWidth="1"/>
    <col min="10016" max="10240" width="9.140625" style="412"/>
    <col min="10241" max="10241" width="9.28515625" style="412" bestFit="1" customWidth="1"/>
    <col min="10242" max="10242" width="41.5703125" style="412" customWidth="1"/>
    <col min="10243" max="10243" width="15.85546875" style="412" customWidth="1"/>
    <col min="10244" max="10244" width="11.7109375" style="412" customWidth="1"/>
    <col min="10245" max="10245" width="15.28515625" style="412" customWidth="1"/>
    <col min="10246" max="10246" width="14.7109375" style="412" customWidth="1"/>
    <col min="10247" max="10247" width="10.28515625" style="412" customWidth="1"/>
    <col min="10248" max="10248" width="15" style="412" customWidth="1"/>
    <col min="10249" max="10249" width="14.85546875" style="412" customWidth="1"/>
    <col min="10250" max="10250" width="16.42578125" style="412" customWidth="1"/>
    <col min="10251" max="10251" width="12.42578125" style="412" customWidth="1"/>
    <col min="10252" max="10252" width="14" style="412" customWidth="1"/>
    <col min="10253" max="10253" width="14.7109375" style="412" customWidth="1"/>
    <col min="10254" max="10254" width="2.85546875" style="412" customWidth="1"/>
    <col min="10255" max="10255" width="15" style="412" customWidth="1"/>
    <col min="10256" max="10256" width="12.85546875" style="412" customWidth="1"/>
    <col min="10257" max="10257" width="2.85546875" style="412" customWidth="1"/>
    <col min="10258" max="10258" width="15.140625" style="412" customWidth="1"/>
    <col min="10259" max="10259" width="9.28515625" style="412" customWidth="1"/>
    <col min="10260" max="10260" width="16.42578125" style="412" customWidth="1"/>
    <col min="10261" max="10261" width="19.85546875" style="412" customWidth="1"/>
    <col min="10262" max="10262" width="9.28515625" style="412" customWidth="1"/>
    <col min="10263" max="10263" width="16.28515625" style="412" customWidth="1"/>
    <col min="10264" max="10264" width="12.7109375" style="412" customWidth="1"/>
    <col min="10265" max="10265" width="14" style="412" customWidth="1"/>
    <col min="10266" max="10266" width="12.7109375" style="412" customWidth="1"/>
    <col min="10267" max="10267" width="14" style="412" customWidth="1"/>
    <col min="10268" max="10268" width="2.85546875" style="412" customWidth="1"/>
    <col min="10269" max="10269" width="13.5703125" style="412" bestFit="1" customWidth="1"/>
    <col min="10270" max="10270" width="14.85546875" style="412" bestFit="1" customWidth="1"/>
    <col min="10271" max="10271" width="13.28515625" style="412" customWidth="1"/>
    <col min="10272" max="10496" width="9.140625" style="412"/>
    <col min="10497" max="10497" width="9.28515625" style="412" bestFit="1" customWidth="1"/>
    <col min="10498" max="10498" width="41.5703125" style="412" customWidth="1"/>
    <col min="10499" max="10499" width="15.85546875" style="412" customWidth="1"/>
    <col min="10500" max="10500" width="11.7109375" style="412" customWidth="1"/>
    <col min="10501" max="10501" width="15.28515625" style="412" customWidth="1"/>
    <col min="10502" max="10502" width="14.7109375" style="412" customWidth="1"/>
    <col min="10503" max="10503" width="10.28515625" style="412" customWidth="1"/>
    <col min="10504" max="10504" width="15" style="412" customWidth="1"/>
    <col min="10505" max="10505" width="14.85546875" style="412" customWidth="1"/>
    <col min="10506" max="10506" width="16.42578125" style="412" customWidth="1"/>
    <col min="10507" max="10507" width="12.42578125" style="412" customWidth="1"/>
    <col min="10508" max="10508" width="14" style="412" customWidth="1"/>
    <col min="10509" max="10509" width="14.7109375" style="412" customWidth="1"/>
    <col min="10510" max="10510" width="2.85546875" style="412" customWidth="1"/>
    <col min="10511" max="10511" width="15" style="412" customWidth="1"/>
    <col min="10512" max="10512" width="12.85546875" style="412" customWidth="1"/>
    <col min="10513" max="10513" width="2.85546875" style="412" customWidth="1"/>
    <col min="10514" max="10514" width="15.140625" style="412" customWidth="1"/>
    <col min="10515" max="10515" width="9.28515625" style="412" customWidth="1"/>
    <col min="10516" max="10516" width="16.42578125" style="412" customWidth="1"/>
    <col min="10517" max="10517" width="19.85546875" style="412" customWidth="1"/>
    <col min="10518" max="10518" width="9.28515625" style="412" customWidth="1"/>
    <col min="10519" max="10519" width="16.28515625" style="412" customWidth="1"/>
    <col min="10520" max="10520" width="12.7109375" style="412" customWidth="1"/>
    <col min="10521" max="10521" width="14" style="412" customWidth="1"/>
    <col min="10522" max="10522" width="12.7109375" style="412" customWidth="1"/>
    <col min="10523" max="10523" width="14" style="412" customWidth="1"/>
    <col min="10524" max="10524" width="2.85546875" style="412" customWidth="1"/>
    <col min="10525" max="10525" width="13.5703125" style="412" bestFit="1" customWidth="1"/>
    <col min="10526" max="10526" width="14.85546875" style="412" bestFit="1" customWidth="1"/>
    <col min="10527" max="10527" width="13.28515625" style="412" customWidth="1"/>
    <col min="10528" max="10752" width="9.140625" style="412"/>
    <col min="10753" max="10753" width="9.28515625" style="412" bestFit="1" customWidth="1"/>
    <col min="10754" max="10754" width="41.5703125" style="412" customWidth="1"/>
    <col min="10755" max="10755" width="15.85546875" style="412" customWidth="1"/>
    <col min="10756" max="10756" width="11.7109375" style="412" customWidth="1"/>
    <col min="10757" max="10757" width="15.28515625" style="412" customWidth="1"/>
    <col min="10758" max="10758" width="14.7109375" style="412" customWidth="1"/>
    <col min="10759" max="10759" width="10.28515625" style="412" customWidth="1"/>
    <col min="10760" max="10760" width="15" style="412" customWidth="1"/>
    <col min="10761" max="10761" width="14.85546875" style="412" customWidth="1"/>
    <col min="10762" max="10762" width="16.42578125" style="412" customWidth="1"/>
    <col min="10763" max="10763" width="12.42578125" style="412" customWidth="1"/>
    <col min="10764" max="10764" width="14" style="412" customWidth="1"/>
    <col min="10765" max="10765" width="14.7109375" style="412" customWidth="1"/>
    <col min="10766" max="10766" width="2.85546875" style="412" customWidth="1"/>
    <col min="10767" max="10767" width="15" style="412" customWidth="1"/>
    <col min="10768" max="10768" width="12.85546875" style="412" customWidth="1"/>
    <col min="10769" max="10769" width="2.85546875" style="412" customWidth="1"/>
    <col min="10770" max="10770" width="15.140625" style="412" customWidth="1"/>
    <col min="10771" max="10771" width="9.28515625" style="412" customWidth="1"/>
    <col min="10772" max="10772" width="16.42578125" style="412" customWidth="1"/>
    <col min="10773" max="10773" width="19.85546875" style="412" customWidth="1"/>
    <col min="10774" max="10774" width="9.28515625" style="412" customWidth="1"/>
    <col min="10775" max="10775" width="16.28515625" style="412" customWidth="1"/>
    <col min="10776" max="10776" width="12.7109375" style="412" customWidth="1"/>
    <col min="10777" max="10777" width="14" style="412" customWidth="1"/>
    <col min="10778" max="10778" width="12.7109375" style="412" customWidth="1"/>
    <col min="10779" max="10779" width="14" style="412" customWidth="1"/>
    <col min="10780" max="10780" width="2.85546875" style="412" customWidth="1"/>
    <col min="10781" max="10781" width="13.5703125" style="412" bestFit="1" customWidth="1"/>
    <col min="10782" max="10782" width="14.85546875" style="412" bestFit="1" customWidth="1"/>
    <col min="10783" max="10783" width="13.28515625" style="412" customWidth="1"/>
    <col min="10784" max="11008" width="9.140625" style="412"/>
    <col min="11009" max="11009" width="9.28515625" style="412" bestFit="1" customWidth="1"/>
    <col min="11010" max="11010" width="41.5703125" style="412" customWidth="1"/>
    <col min="11011" max="11011" width="15.85546875" style="412" customWidth="1"/>
    <col min="11012" max="11012" width="11.7109375" style="412" customWidth="1"/>
    <col min="11013" max="11013" width="15.28515625" style="412" customWidth="1"/>
    <col min="11014" max="11014" width="14.7109375" style="412" customWidth="1"/>
    <col min="11015" max="11015" width="10.28515625" style="412" customWidth="1"/>
    <col min="11016" max="11016" width="15" style="412" customWidth="1"/>
    <col min="11017" max="11017" width="14.85546875" style="412" customWidth="1"/>
    <col min="11018" max="11018" width="16.42578125" style="412" customWidth="1"/>
    <col min="11019" max="11019" width="12.42578125" style="412" customWidth="1"/>
    <col min="11020" max="11020" width="14" style="412" customWidth="1"/>
    <col min="11021" max="11021" width="14.7109375" style="412" customWidth="1"/>
    <col min="11022" max="11022" width="2.85546875" style="412" customWidth="1"/>
    <col min="11023" max="11023" width="15" style="412" customWidth="1"/>
    <col min="11024" max="11024" width="12.85546875" style="412" customWidth="1"/>
    <col min="11025" max="11025" width="2.85546875" style="412" customWidth="1"/>
    <col min="11026" max="11026" width="15.140625" style="412" customWidth="1"/>
    <col min="11027" max="11027" width="9.28515625" style="412" customWidth="1"/>
    <col min="11028" max="11028" width="16.42578125" style="412" customWidth="1"/>
    <col min="11029" max="11029" width="19.85546875" style="412" customWidth="1"/>
    <col min="11030" max="11030" width="9.28515625" style="412" customWidth="1"/>
    <col min="11031" max="11031" width="16.28515625" style="412" customWidth="1"/>
    <col min="11032" max="11032" width="12.7109375" style="412" customWidth="1"/>
    <col min="11033" max="11033" width="14" style="412" customWidth="1"/>
    <col min="11034" max="11034" width="12.7109375" style="412" customWidth="1"/>
    <col min="11035" max="11035" width="14" style="412" customWidth="1"/>
    <col min="11036" max="11036" width="2.85546875" style="412" customWidth="1"/>
    <col min="11037" max="11037" width="13.5703125" style="412" bestFit="1" customWidth="1"/>
    <col min="11038" max="11038" width="14.85546875" style="412" bestFit="1" customWidth="1"/>
    <col min="11039" max="11039" width="13.28515625" style="412" customWidth="1"/>
    <col min="11040" max="11264" width="9.140625" style="412"/>
    <col min="11265" max="11265" width="9.28515625" style="412" bestFit="1" customWidth="1"/>
    <col min="11266" max="11266" width="41.5703125" style="412" customWidth="1"/>
    <col min="11267" max="11267" width="15.85546875" style="412" customWidth="1"/>
    <col min="11268" max="11268" width="11.7109375" style="412" customWidth="1"/>
    <col min="11269" max="11269" width="15.28515625" style="412" customWidth="1"/>
    <col min="11270" max="11270" width="14.7109375" style="412" customWidth="1"/>
    <col min="11271" max="11271" width="10.28515625" style="412" customWidth="1"/>
    <col min="11272" max="11272" width="15" style="412" customWidth="1"/>
    <col min="11273" max="11273" width="14.85546875" style="412" customWidth="1"/>
    <col min="11274" max="11274" width="16.42578125" style="412" customWidth="1"/>
    <col min="11275" max="11275" width="12.42578125" style="412" customWidth="1"/>
    <col min="11276" max="11276" width="14" style="412" customWidth="1"/>
    <col min="11277" max="11277" width="14.7109375" style="412" customWidth="1"/>
    <col min="11278" max="11278" width="2.85546875" style="412" customWidth="1"/>
    <col min="11279" max="11279" width="15" style="412" customWidth="1"/>
    <col min="11280" max="11280" width="12.85546875" style="412" customWidth="1"/>
    <col min="11281" max="11281" width="2.85546875" style="412" customWidth="1"/>
    <col min="11282" max="11282" width="15.140625" style="412" customWidth="1"/>
    <col min="11283" max="11283" width="9.28515625" style="412" customWidth="1"/>
    <col min="11284" max="11284" width="16.42578125" style="412" customWidth="1"/>
    <col min="11285" max="11285" width="19.85546875" style="412" customWidth="1"/>
    <col min="11286" max="11286" width="9.28515625" style="412" customWidth="1"/>
    <col min="11287" max="11287" width="16.28515625" style="412" customWidth="1"/>
    <col min="11288" max="11288" width="12.7109375" style="412" customWidth="1"/>
    <col min="11289" max="11289" width="14" style="412" customWidth="1"/>
    <col min="11290" max="11290" width="12.7109375" style="412" customWidth="1"/>
    <col min="11291" max="11291" width="14" style="412" customWidth="1"/>
    <col min="11292" max="11292" width="2.85546875" style="412" customWidth="1"/>
    <col min="11293" max="11293" width="13.5703125" style="412" bestFit="1" customWidth="1"/>
    <col min="11294" max="11294" width="14.85546875" style="412" bestFit="1" customWidth="1"/>
    <col min="11295" max="11295" width="13.28515625" style="412" customWidth="1"/>
    <col min="11296" max="11520" width="9.140625" style="412"/>
    <col min="11521" max="11521" width="9.28515625" style="412" bestFit="1" customWidth="1"/>
    <col min="11522" max="11522" width="41.5703125" style="412" customWidth="1"/>
    <col min="11523" max="11523" width="15.85546875" style="412" customWidth="1"/>
    <col min="11524" max="11524" width="11.7109375" style="412" customWidth="1"/>
    <col min="11525" max="11525" width="15.28515625" style="412" customWidth="1"/>
    <col min="11526" max="11526" width="14.7109375" style="412" customWidth="1"/>
    <col min="11527" max="11527" width="10.28515625" style="412" customWidth="1"/>
    <col min="11528" max="11528" width="15" style="412" customWidth="1"/>
    <col min="11529" max="11529" width="14.85546875" style="412" customWidth="1"/>
    <col min="11530" max="11530" width="16.42578125" style="412" customWidth="1"/>
    <col min="11531" max="11531" width="12.42578125" style="412" customWidth="1"/>
    <col min="11532" max="11532" width="14" style="412" customWidth="1"/>
    <col min="11533" max="11533" width="14.7109375" style="412" customWidth="1"/>
    <col min="11534" max="11534" width="2.85546875" style="412" customWidth="1"/>
    <col min="11535" max="11535" width="15" style="412" customWidth="1"/>
    <col min="11536" max="11536" width="12.85546875" style="412" customWidth="1"/>
    <col min="11537" max="11537" width="2.85546875" style="412" customWidth="1"/>
    <col min="11538" max="11538" width="15.140625" style="412" customWidth="1"/>
    <col min="11539" max="11539" width="9.28515625" style="412" customWidth="1"/>
    <col min="11540" max="11540" width="16.42578125" style="412" customWidth="1"/>
    <col min="11541" max="11541" width="19.85546875" style="412" customWidth="1"/>
    <col min="11542" max="11542" width="9.28515625" style="412" customWidth="1"/>
    <col min="11543" max="11543" width="16.28515625" style="412" customWidth="1"/>
    <col min="11544" max="11544" width="12.7109375" style="412" customWidth="1"/>
    <col min="11545" max="11545" width="14" style="412" customWidth="1"/>
    <col min="11546" max="11546" width="12.7109375" style="412" customWidth="1"/>
    <col min="11547" max="11547" width="14" style="412" customWidth="1"/>
    <col min="11548" max="11548" width="2.85546875" style="412" customWidth="1"/>
    <col min="11549" max="11549" width="13.5703125" style="412" bestFit="1" customWidth="1"/>
    <col min="11550" max="11550" width="14.85546875" style="412" bestFit="1" customWidth="1"/>
    <col min="11551" max="11551" width="13.28515625" style="412" customWidth="1"/>
    <col min="11552" max="11776" width="9.140625" style="412"/>
    <col min="11777" max="11777" width="9.28515625" style="412" bestFit="1" customWidth="1"/>
    <col min="11778" max="11778" width="41.5703125" style="412" customWidth="1"/>
    <col min="11779" max="11779" width="15.85546875" style="412" customWidth="1"/>
    <col min="11780" max="11780" width="11.7109375" style="412" customWidth="1"/>
    <col min="11781" max="11781" width="15.28515625" style="412" customWidth="1"/>
    <col min="11782" max="11782" width="14.7109375" style="412" customWidth="1"/>
    <col min="11783" max="11783" width="10.28515625" style="412" customWidth="1"/>
    <col min="11784" max="11784" width="15" style="412" customWidth="1"/>
    <col min="11785" max="11785" width="14.85546875" style="412" customWidth="1"/>
    <col min="11786" max="11786" width="16.42578125" style="412" customWidth="1"/>
    <col min="11787" max="11787" width="12.42578125" style="412" customWidth="1"/>
    <col min="11788" max="11788" width="14" style="412" customWidth="1"/>
    <col min="11789" max="11789" width="14.7109375" style="412" customWidth="1"/>
    <col min="11790" max="11790" width="2.85546875" style="412" customWidth="1"/>
    <col min="11791" max="11791" width="15" style="412" customWidth="1"/>
    <col min="11792" max="11792" width="12.85546875" style="412" customWidth="1"/>
    <col min="11793" max="11793" width="2.85546875" style="412" customWidth="1"/>
    <col min="11794" max="11794" width="15.140625" style="412" customWidth="1"/>
    <col min="11795" max="11795" width="9.28515625" style="412" customWidth="1"/>
    <col min="11796" max="11796" width="16.42578125" style="412" customWidth="1"/>
    <col min="11797" max="11797" width="19.85546875" style="412" customWidth="1"/>
    <col min="11798" max="11798" width="9.28515625" style="412" customWidth="1"/>
    <col min="11799" max="11799" width="16.28515625" style="412" customWidth="1"/>
    <col min="11800" max="11800" width="12.7109375" style="412" customWidth="1"/>
    <col min="11801" max="11801" width="14" style="412" customWidth="1"/>
    <col min="11802" max="11802" width="12.7109375" style="412" customWidth="1"/>
    <col min="11803" max="11803" width="14" style="412" customWidth="1"/>
    <col min="11804" max="11804" width="2.85546875" style="412" customWidth="1"/>
    <col min="11805" max="11805" width="13.5703125" style="412" bestFit="1" customWidth="1"/>
    <col min="11806" max="11806" width="14.85546875" style="412" bestFit="1" customWidth="1"/>
    <col min="11807" max="11807" width="13.28515625" style="412" customWidth="1"/>
    <col min="11808" max="12032" width="9.140625" style="412"/>
    <col min="12033" max="12033" width="9.28515625" style="412" bestFit="1" customWidth="1"/>
    <col min="12034" max="12034" width="41.5703125" style="412" customWidth="1"/>
    <col min="12035" max="12035" width="15.85546875" style="412" customWidth="1"/>
    <col min="12036" max="12036" width="11.7109375" style="412" customWidth="1"/>
    <col min="12037" max="12037" width="15.28515625" style="412" customWidth="1"/>
    <col min="12038" max="12038" width="14.7109375" style="412" customWidth="1"/>
    <col min="12039" max="12039" width="10.28515625" style="412" customWidth="1"/>
    <col min="12040" max="12040" width="15" style="412" customWidth="1"/>
    <col min="12041" max="12041" width="14.85546875" style="412" customWidth="1"/>
    <col min="12042" max="12042" width="16.42578125" style="412" customWidth="1"/>
    <col min="12043" max="12043" width="12.42578125" style="412" customWidth="1"/>
    <col min="12044" max="12044" width="14" style="412" customWidth="1"/>
    <col min="12045" max="12045" width="14.7109375" style="412" customWidth="1"/>
    <col min="12046" max="12046" width="2.85546875" style="412" customWidth="1"/>
    <col min="12047" max="12047" width="15" style="412" customWidth="1"/>
    <col min="12048" max="12048" width="12.85546875" style="412" customWidth="1"/>
    <col min="12049" max="12049" width="2.85546875" style="412" customWidth="1"/>
    <col min="12050" max="12050" width="15.140625" style="412" customWidth="1"/>
    <col min="12051" max="12051" width="9.28515625" style="412" customWidth="1"/>
    <col min="12052" max="12052" width="16.42578125" style="412" customWidth="1"/>
    <col min="12053" max="12053" width="19.85546875" style="412" customWidth="1"/>
    <col min="12054" max="12054" width="9.28515625" style="412" customWidth="1"/>
    <col min="12055" max="12055" width="16.28515625" style="412" customWidth="1"/>
    <col min="12056" max="12056" width="12.7109375" style="412" customWidth="1"/>
    <col min="12057" max="12057" width="14" style="412" customWidth="1"/>
    <col min="12058" max="12058" width="12.7109375" style="412" customWidth="1"/>
    <col min="12059" max="12059" width="14" style="412" customWidth="1"/>
    <col min="12060" max="12060" width="2.85546875" style="412" customWidth="1"/>
    <col min="12061" max="12061" width="13.5703125" style="412" bestFit="1" customWidth="1"/>
    <col min="12062" max="12062" width="14.85546875" style="412" bestFit="1" customWidth="1"/>
    <col min="12063" max="12063" width="13.28515625" style="412" customWidth="1"/>
    <col min="12064" max="12288" width="9.140625" style="412"/>
    <col min="12289" max="12289" width="9.28515625" style="412" bestFit="1" customWidth="1"/>
    <col min="12290" max="12290" width="41.5703125" style="412" customWidth="1"/>
    <col min="12291" max="12291" width="15.85546875" style="412" customWidth="1"/>
    <col min="12292" max="12292" width="11.7109375" style="412" customWidth="1"/>
    <col min="12293" max="12293" width="15.28515625" style="412" customWidth="1"/>
    <col min="12294" max="12294" width="14.7109375" style="412" customWidth="1"/>
    <col min="12295" max="12295" width="10.28515625" style="412" customWidth="1"/>
    <col min="12296" max="12296" width="15" style="412" customWidth="1"/>
    <col min="12297" max="12297" width="14.85546875" style="412" customWidth="1"/>
    <col min="12298" max="12298" width="16.42578125" style="412" customWidth="1"/>
    <col min="12299" max="12299" width="12.42578125" style="412" customWidth="1"/>
    <col min="12300" max="12300" width="14" style="412" customWidth="1"/>
    <col min="12301" max="12301" width="14.7109375" style="412" customWidth="1"/>
    <col min="12302" max="12302" width="2.85546875" style="412" customWidth="1"/>
    <col min="12303" max="12303" width="15" style="412" customWidth="1"/>
    <col min="12304" max="12304" width="12.85546875" style="412" customWidth="1"/>
    <col min="12305" max="12305" width="2.85546875" style="412" customWidth="1"/>
    <col min="12306" max="12306" width="15.140625" style="412" customWidth="1"/>
    <col min="12307" max="12307" width="9.28515625" style="412" customWidth="1"/>
    <col min="12308" max="12308" width="16.42578125" style="412" customWidth="1"/>
    <col min="12309" max="12309" width="19.85546875" style="412" customWidth="1"/>
    <col min="12310" max="12310" width="9.28515625" style="412" customWidth="1"/>
    <col min="12311" max="12311" width="16.28515625" style="412" customWidth="1"/>
    <col min="12312" max="12312" width="12.7109375" style="412" customWidth="1"/>
    <col min="12313" max="12313" width="14" style="412" customWidth="1"/>
    <col min="12314" max="12314" width="12.7109375" style="412" customWidth="1"/>
    <col min="12315" max="12315" width="14" style="412" customWidth="1"/>
    <col min="12316" max="12316" width="2.85546875" style="412" customWidth="1"/>
    <col min="12317" max="12317" width="13.5703125" style="412" bestFit="1" customWidth="1"/>
    <col min="12318" max="12318" width="14.85546875" style="412" bestFit="1" customWidth="1"/>
    <col min="12319" max="12319" width="13.28515625" style="412" customWidth="1"/>
    <col min="12320" max="12544" width="9.140625" style="412"/>
    <col min="12545" max="12545" width="9.28515625" style="412" bestFit="1" customWidth="1"/>
    <col min="12546" max="12546" width="41.5703125" style="412" customWidth="1"/>
    <col min="12547" max="12547" width="15.85546875" style="412" customWidth="1"/>
    <col min="12548" max="12548" width="11.7109375" style="412" customWidth="1"/>
    <col min="12549" max="12549" width="15.28515625" style="412" customWidth="1"/>
    <col min="12550" max="12550" width="14.7109375" style="412" customWidth="1"/>
    <col min="12551" max="12551" width="10.28515625" style="412" customWidth="1"/>
    <col min="12552" max="12552" width="15" style="412" customWidth="1"/>
    <col min="12553" max="12553" width="14.85546875" style="412" customWidth="1"/>
    <col min="12554" max="12554" width="16.42578125" style="412" customWidth="1"/>
    <col min="12555" max="12555" width="12.42578125" style="412" customWidth="1"/>
    <col min="12556" max="12556" width="14" style="412" customWidth="1"/>
    <col min="12557" max="12557" width="14.7109375" style="412" customWidth="1"/>
    <col min="12558" max="12558" width="2.85546875" style="412" customWidth="1"/>
    <col min="12559" max="12559" width="15" style="412" customWidth="1"/>
    <col min="12560" max="12560" width="12.85546875" style="412" customWidth="1"/>
    <col min="12561" max="12561" width="2.85546875" style="412" customWidth="1"/>
    <col min="12562" max="12562" width="15.140625" style="412" customWidth="1"/>
    <col min="12563" max="12563" width="9.28515625" style="412" customWidth="1"/>
    <col min="12564" max="12564" width="16.42578125" style="412" customWidth="1"/>
    <col min="12565" max="12565" width="19.85546875" style="412" customWidth="1"/>
    <col min="12566" max="12566" width="9.28515625" style="412" customWidth="1"/>
    <col min="12567" max="12567" width="16.28515625" style="412" customWidth="1"/>
    <col min="12568" max="12568" width="12.7109375" style="412" customWidth="1"/>
    <col min="12569" max="12569" width="14" style="412" customWidth="1"/>
    <col min="12570" max="12570" width="12.7109375" style="412" customWidth="1"/>
    <col min="12571" max="12571" width="14" style="412" customWidth="1"/>
    <col min="12572" max="12572" width="2.85546875" style="412" customWidth="1"/>
    <col min="12573" max="12573" width="13.5703125" style="412" bestFit="1" customWidth="1"/>
    <col min="12574" max="12574" width="14.85546875" style="412" bestFit="1" customWidth="1"/>
    <col min="12575" max="12575" width="13.28515625" style="412" customWidth="1"/>
    <col min="12576" max="12800" width="9.140625" style="412"/>
    <col min="12801" max="12801" width="9.28515625" style="412" bestFit="1" customWidth="1"/>
    <col min="12802" max="12802" width="41.5703125" style="412" customWidth="1"/>
    <col min="12803" max="12803" width="15.85546875" style="412" customWidth="1"/>
    <col min="12804" max="12804" width="11.7109375" style="412" customWidth="1"/>
    <col min="12805" max="12805" width="15.28515625" style="412" customWidth="1"/>
    <col min="12806" max="12806" width="14.7109375" style="412" customWidth="1"/>
    <col min="12807" max="12807" width="10.28515625" style="412" customWidth="1"/>
    <col min="12808" max="12808" width="15" style="412" customWidth="1"/>
    <col min="12809" max="12809" width="14.85546875" style="412" customWidth="1"/>
    <col min="12810" max="12810" width="16.42578125" style="412" customWidth="1"/>
    <col min="12811" max="12811" width="12.42578125" style="412" customWidth="1"/>
    <col min="12812" max="12812" width="14" style="412" customWidth="1"/>
    <col min="12813" max="12813" width="14.7109375" style="412" customWidth="1"/>
    <col min="12814" max="12814" width="2.85546875" style="412" customWidth="1"/>
    <col min="12815" max="12815" width="15" style="412" customWidth="1"/>
    <col min="12816" max="12816" width="12.85546875" style="412" customWidth="1"/>
    <col min="12817" max="12817" width="2.85546875" style="412" customWidth="1"/>
    <col min="12818" max="12818" width="15.140625" style="412" customWidth="1"/>
    <col min="12819" max="12819" width="9.28515625" style="412" customWidth="1"/>
    <col min="12820" max="12820" width="16.42578125" style="412" customWidth="1"/>
    <col min="12821" max="12821" width="19.85546875" style="412" customWidth="1"/>
    <col min="12822" max="12822" width="9.28515625" style="412" customWidth="1"/>
    <col min="12823" max="12823" width="16.28515625" style="412" customWidth="1"/>
    <col min="12824" max="12824" width="12.7109375" style="412" customWidth="1"/>
    <col min="12825" max="12825" width="14" style="412" customWidth="1"/>
    <col min="12826" max="12826" width="12.7109375" style="412" customWidth="1"/>
    <col min="12827" max="12827" width="14" style="412" customWidth="1"/>
    <col min="12828" max="12828" width="2.85546875" style="412" customWidth="1"/>
    <col min="12829" max="12829" width="13.5703125" style="412" bestFit="1" customWidth="1"/>
    <col min="12830" max="12830" width="14.85546875" style="412" bestFit="1" customWidth="1"/>
    <col min="12831" max="12831" width="13.28515625" style="412" customWidth="1"/>
    <col min="12832" max="13056" width="9.140625" style="412"/>
    <col min="13057" max="13057" width="9.28515625" style="412" bestFit="1" customWidth="1"/>
    <col min="13058" max="13058" width="41.5703125" style="412" customWidth="1"/>
    <col min="13059" max="13059" width="15.85546875" style="412" customWidth="1"/>
    <col min="13060" max="13060" width="11.7109375" style="412" customWidth="1"/>
    <col min="13061" max="13061" width="15.28515625" style="412" customWidth="1"/>
    <col min="13062" max="13062" width="14.7109375" style="412" customWidth="1"/>
    <col min="13063" max="13063" width="10.28515625" style="412" customWidth="1"/>
    <col min="13064" max="13064" width="15" style="412" customWidth="1"/>
    <col min="13065" max="13065" width="14.85546875" style="412" customWidth="1"/>
    <col min="13066" max="13066" width="16.42578125" style="412" customWidth="1"/>
    <col min="13067" max="13067" width="12.42578125" style="412" customWidth="1"/>
    <col min="13068" max="13068" width="14" style="412" customWidth="1"/>
    <col min="13069" max="13069" width="14.7109375" style="412" customWidth="1"/>
    <col min="13070" max="13070" width="2.85546875" style="412" customWidth="1"/>
    <col min="13071" max="13071" width="15" style="412" customWidth="1"/>
    <col min="13072" max="13072" width="12.85546875" style="412" customWidth="1"/>
    <col min="13073" max="13073" width="2.85546875" style="412" customWidth="1"/>
    <col min="13074" max="13074" width="15.140625" style="412" customWidth="1"/>
    <col min="13075" max="13075" width="9.28515625" style="412" customWidth="1"/>
    <col min="13076" max="13076" width="16.42578125" style="412" customWidth="1"/>
    <col min="13077" max="13077" width="19.85546875" style="412" customWidth="1"/>
    <col min="13078" max="13078" width="9.28515625" style="412" customWidth="1"/>
    <col min="13079" max="13079" width="16.28515625" style="412" customWidth="1"/>
    <col min="13080" max="13080" width="12.7109375" style="412" customWidth="1"/>
    <col min="13081" max="13081" width="14" style="412" customWidth="1"/>
    <col min="13082" max="13082" width="12.7109375" style="412" customWidth="1"/>
    <col min="13083" max="13083" width="14" style="412" customWidth="1"/>
    <col min="13084" max="13084" width="2.85546875" style="412" customWidth="1"/>
    <col min="13085" max="13085" width="13.5703125" style="412" bestFit="1" customWidth="1"/>
    <col min="13086" max="13086" width="14.85546875" style="412" bestFit="1" customWidth="1"/>
    <col min="13087" max="13087" width="13.28515625" style="412" customWidth="1"/>
    <col min="13088" max="13312" width="9.140625" style="412"/>
    <col min="13313" max="13313" width="9.28515625" style="412" bestFit="1" customWidth="1"/>
    <col min="13314" max="13314" width="41.5703125" style="412" customWidth="1"/>
    <col min="13315" max="13315" width="15.85546875" style="412" customWidth="1"/>
    <col min="13316" max="13316" width="11.7109375" style="412" customWidth="1"/>
    <col min="13317" max="13317" width="15.28515625" style="412" customWidth="1"/>
    <col min="13318" max="13318" width="14.7109375" style="412" customWidth="1"/>
    <col min="13319" max="13319" width="10.28515625" style="412" customWidth="1"/>
    <col min="13320" max="13320" width="15" style="412" customWidth="1"/>
    <col min="13321" max="13321" width="14.85546875" style="412" customWidth="1"/>
    <col min="13322" max="13322" width="16.42578125" style="412" customWidth="1"/>
    <col min="13323" max="13323" width="12.42578125" style="412" customWidth="1"/>
    <col min="13324" max="13324" width="14" style="412" customWidth="1"/>
    <col min="13325" max="13325" width="14.7109375" style="412" customWidth="1"/>
    <col min="13326" max="13326" width="2.85546875" style="412" customWidth="1"/>
    <col min="13327" max="13327" width="15" style="412" customWidth="1"/>
    <col min="13328" max="13328" width="12.85546875" style="412" customWidth="1"/>
    <col min="13329" max="13329" width="2.85546875" style="412" customWidth="1"/>
    <col min="13330" max="13330" width="15.140625" style="412" customWidth="1"/>
    <col min="13331" max="13331" width="9.28515625" style="412" customWidth="1"/>
    <col min="13332" max="13332" width="16.42578125" style="412" customWidth="1"/>
    <col min="13333" max="13333" width="19.85546875" style="412" customWidth="1"/>
    <col min="13334" max="13334" width="9.28515625" style="412" customWidth="1"/>
    <col min="13335" max="13335" width="16.28515625" style="412" customWidth="1"/>
    <col min="13336" max="13336" width="12.7109375" style="412" customWidth="1"/>
    <col min="13337" max="13337" width="14" style="412" customWidth="1"/>
    <col min="13338" max="13338" width="12.7109375" style="412" customWidth="1"/>
    <col min="13339" max="13339" width="14" style="412" customWidth="1"/>
    <col min="13340" max="13340" width="2.85546875" style="412" customWidth="1"/>
    <col min="13341" max="13341" width="13.5703125" style="412" bestFit="1" customWidth="1"/>
    <col min="13342" max="13342" width="14.85546875" style="412" bestFit="1" customWidth="1"/>
    <col min="13343" max="13343" width="13.28515625" style="412" customWidth="1"/>
    <col min="13344" max="13568" width="9.140625" style="412"/>
    <col min="13569" max="13569" width="9.28515625" style="412" bestFit="1" customWidth="1"/>
    <col min="13570" max="13570" width="41.5703125" style="412" customWidth="1"/>
    <col min="13571" max="13571" width="15.85546875" style="412" customWidth="1"/>
    <col min="13572" max="13572" width="11.7109375" style="412" customWidth="1"/>
    <col min="13573" max="13573" width="15.28515625" style="412" customWidth="1"/>
    <col min="13574" max="13574" width="14.7109375" style="412" customWidth="1"/>
    <col min="13575" max="13575" width="10.28515625" style="412" customWidth="1"/>
    <col min="13576" max="13576" width="15" style="412" customWidth="1"/>
    <col min="13577" max="13577" width="14.85546875" style="412" customWidth="1"/>
    <col min="13578" max="13578" width="16.42578125" style="412" customWidth="1"/>
    <col min="13579" max="13579" width="12.42578125" style="412" customWidth="1"/>
    <col min="13580" max="13580" width="14" style="412" customWidth="1"/>
    <col min="13581" max="13581" width="14.7109375" style="412" customWidth="1"/>
    <col min="13582" max="13582" width="2.85546875" style="412" customWidth="1"/>
    <col min="13583" max="13583" width="15" style="412" customWidth="1"/>
    <col min="13584" max="13584" width="12.85546875" style="412" customWidth="1"/>
    <col min="13585" max="13585" width="2.85546875" style="412" customWidth="1"/>
    <col min="13586" max="13586" width="15.140625" style="412" customWidth="1"/>
    <col min="13587" max="13587" width="9.28515625" style="412" customWidth="1"/>
    <col min="13588" max="13588" width="16.42578125" style="412" customWidth="1"/>
    <col min="13589" max="13589" width="19.85546875" style="412" customWidth="1"/>
    <col min="13590" max="13590" width="9.28515625" style="412" customWidth="1"/>
    <col min="13591" max="13591" width="16.28515625" style="412" customWidth="1"/>
    <col min="13592" max="13592" width="12.7109375" style="412" customWidth="1"/>
    <col min="13593" max="13593" width="14" style="412" customWidth="1"/>
    <col min="13594" max="13594" width="12.7109375" style="412" customWidth="1"/>
    <col min="13595" max="13595" width="14" style="412" customWidth="1"/>
    <col min="13596" max="13596" width="2.85546875" style="412" customWidth="1"/>
    <col min="13597" max="13597" width="13.5703125" style="412" bestFit="1" customWidth="1"/>
    <col min="13598" max="13598" width="14.85546875" style="412" bestFit="1" customWidth="1"/>
    <col min="13599" max="13599" width="13.28515625" style="412" customWidth="1"/>
    <col min="13600" max="13824" width="9.140625" style="412"/>
    <col min="13825" max="13825" width="9.28515625" style="412" bestFit="1" customWidth="1"/>
    <col min="13826" max="13826" width="41.5703125" style="412" customWidth="1"/>
    <col min="13827" max="13827" width="15.85546875" style="412" customWidth="1"/>
    <col min="13828" max="13828" width="11.7109375" style="412" customWidth="1"/>
    <col min="13829" max="13829" width="15.28515625" style="412" customWidth="1"/>
    <col min="13830" max="13830" width="14.7109375" style="412" customWidth="1"/>
    <col min="13831" max="13831" width="10.28515625" style="412" customWidth="1"/>
    <col min="13832" max="13832" width="15" style="412" customWidth="1"/>
    <col min="13833" max="13833" width="14.85546875" style="412" customWidth="1"/>
    <col min="13834" max="13834" width="16.42578125" style="412" customWidth="1"/>
    <col min="13835" max="13835" width="12.42578125" style="412" customWidth="1"/>
    <col min="13836" max="13836" width="14" style="412" customWidth="1"/>
    <col min="13837" max="13837" width="14.7109375" style="412" customWidth="1"/>
    <col min="13838" max="13838" width="2.85546875" style="412" customWidth="1"/>
    <col min="13839" max="13839" width="15" style="412" customWidth="1"/>
    <col min="13840" max="13840" width="12.85546875" style="412" customWidth="1"/>
    <col min="13841" max="13841" width="2.85546875" style="412" customWidth="1"/>
    <col min="13842" max="13842" width="15.140625" style="412" customWidth="1"/>
    <col min="13843" max="13843" width="9.28515625" style="412" customWidth="1"/>
    <col min="13844" max="13844" width="16.42578125" style="412" customWidth="1"/>
    <col min="13845" max="13845" width="19.85546875" style="412" customWidth="1"/>
    <col min="13846" max="13846" width="9.28515625" style="412" customWidth="1"/>
    <col min="13847" max="13847" width="16.28515625" style="412" customWidth="1"/>
    <col min="13848" max="13848" width="12.7109375" style="412" customWidth="1"/>
    <col min="13849" max="13849" width="14" style="412" customWidth="1"/>
    <col min="13850" max="13850" width="12.7109375" style="412" customWidth="1"/>
    <col min="13851" max="13851" width="14" style="412" customWidth="1"/>
    <col min="13852" max="13852" width="2.85546875" style="412" customWidth="1"/>
    <col min="13853" max="13853" width="13.5703125" style="412" bestFit="1" customWidth="1"/>
    <col min="13854" max="13854" width="14.85546875" style="412" bestFit="1" customWidth="1"/>
    <col min="13855" max="13855" width="13.28515625" style="412" customWidth="1"/>
    <col min="13856" max="14080" width="9.140625" style="412"/>
    <col min="14081" max="14081" width="9.28515625" style="412" bestFit="1" customWidth="1"/>
    <col min="14082" max="14082" width="41.5703125" style="412" customWidth="1"/>
    <col min="14083" max="14083" width="15.85546875" style="412" customWidth="1"/>
    <col min="14084" max="14084" width="11.7109375" style="412" customWidth="1"/>
    <col min="14085" max="14085" width="15.28515625" style="412" customWidth="1"/>
    <col min="14086" max="14086" width="14.7109375" style="412" customWidth="1"/>
    <col min="14087" max="14087" width="10.28515625" style="412" customWidth="1"/>
    <col min="14088" max="14088" width="15" style="412" customWidth="1"/>
    <col min="14089" max="14089" width="14.85546875" style="412" customWidth="1"/>
    <col min="14090" max="14090" width="16.42578125" style="412" customWidth="1"/>
    <col min="14091" max="14091" width="12.42578125" style="412" customWidth="1"/>
    <col min="14092" max="14092" width="14" style="412" customWidth="1"/>
    <col min="14093" max="14093" width="14.7109375" style="412" customWidth="1"/>
    <col min="14094" max="14094" width="2.85546875" style="412" customWidth="1"/>
    <col min="14095" max="14095" width="15" style="412" customWidth="1"/>
    <col min="14096" max="14096" width="12.85546875" style="412" customWidth="1"/>
    <col min="14097" max="14097" width="2.85546875" style="412" customWidth="1"/>
    <col min="14098" max="14098" width="15.140625" style="412" customWidth="1"/>
    <col min="14099" max="14099" width="9.28515625" style="412" customWidth="1"/>
    <col min="14100" max="14100" width="16.42578125" style="412" customWidth="1"/>
    <col min="14101" max="14101" width="19.85546875" style="412" customWidth="1"/>
    <col min="14102" max="14102" width="9.28515625" style="412" customWidth="1"/>
    <col min="14103" max="14103" width="16.28515625" style="412" customWidth="1"/>
    <col min="14104" max="14104" width="12.7109375" style="412" customWidth="1"/>
    <col min="14105" max="14105" width="14" style="412" customWidth="1"/>
    <col min="14106" max="14106" width="12.7109375" style="412" customWidth="1"/>
    <col min="14107" max="14107" width="14" style="412" customWidth="1"/>
    <col min="14108" max="14108" width="2.85546875" style="412" customWidth="1"/>
    <col min="14109" max="14109" width="13.5703125" style="412" bestFit="1" customWidth="1"/>
    <col min="14110" max="14110" width="14.85546875" style="412" bestFit="1" customWidth="1"/>
    <col min="14111" max="14111" width="13.28515625" style="412" customWidth="1"/>
    <col min="14112" max="14336" width="9.140625" style="412"/>
    <col min="14337" max="14337" width="9.28515625" style="412" bestFit="1" customWidth="1"/>
    <col min="14338" max="14338" width="41.5703125" style="412" customWidth="1"/>
    <col min="14339" max="14339" width="15.85546875" style="412" customWidth="1"/>
    <col min="14340" max="14340" width="11.7109375" style="412" customWidth="1"/>
    <col min="14341" max="14341" width="15.28515625" style="412" customWidth="1"/>
    <col min="14342" max="14342" width="14.7109375" style="412" customWidth="1"/>
    <col min="14343" max="14343" width="10.28515625" style="412" customWidth="1"/>
    <col min="14344" max="14344" width="15" style="412" customWidth="1"/>
    <col min="14345" max="14345" width="14.85546875" style="412" customWidth="1"/>
    <col min="14346" max="14346" width="16.42578125" style="412" customWidth="1"/>
    <col min="14347" max="14347" width="12.42578125" style="412" customWidth="1"/>
    <col min="14348" max="14348" width="14" style="412" customWidth="1"/>
    <col min="14349" max="14349" width="14.7109375" style="412" customWidth="1"/>
    <col min="14350" max="14350" width="2.85546875" style="412" customWidth="1"/>
    <col min="14351" max="14351" width="15" style="412" customWidth="1"/>
    <col min="14352" max="14352" width="12.85546875" style="412" customWidth="1"/>
    <col min="14353" max="14353" width="2.85546875" style="412" customWidth="1"/>
    <col min="14354" max="14354" width="15.140625" style="412" customWidth="1"/>
    <col min="14355" max="14355" width="9.28515625" style="412" customWidth="1"/>
    <col min="14356" max="14356" width="16.42578125" style="412" customWidth="1"/>
    <col min="14357" max="14357" width="19.85546875" style="412" customWidth="1"/>
    <col min="14358" max="14358" width="9.28515625" style="412" customWidth="1"/>
    <col min="14359" max="14359" width="16.28515625" style="412" customWidth="1"/>
    <col min="14360" max="14360" width="12.7109375" style="412" customWidth="1"/>
    <col min="14361" max="14361" width="14" style="412" customWidth="1"/>
    <col min="14362" max="14362" width="12.7109375" style="412" customWidth="1"/>
    <col min="14363" max="14363" width="14" style="412" customWidth="1"/>
    <col min="14364" max="14364" width="2.85546875" style="412" customWidth="1"/>
    <col min="14365" max="14365" width="13.5703125" style="412" bestFit="1" customWidth="1"/>
    <col min="14366" max="14366" width="14.85546875" style="412" bestFit="1" customWidth="1"/>
    <col min="14367" max="14367" width="13.28515625" style="412" customWidth="1"/>
    <col min="14368" max="14592" width="9.140625" style="412"/>
    <col min="14593" max="14593" width="9.28515625" style="412" bestFit="1" customWidth="1"/>
    <col min="14594" max="14594" width="41.5703125" style="412" customWidth="1"/>
    <col min="14595" max="14595" width="15.85546875" style="412" customWidth="1"/>
    <col min="14596" max="14596" width="11.7109375" style="412" customWidth="1"/>
    <col min="14597" max="14597" width="15.28515625" style="412" customWidth="1"/>
    <col min="14598" max="14598" width="14.7109375" style="412" customWidth="1"/>
    <col min="14599" max="14599" width="10.28515625" style="412" customWidth="1"/>
    <col min="14600" max="14600" width="15" style="412" customWidth="1"/>
    <col min="14601" max="14601" width="14.85546875" style="412" customWidth="1"/>
    <col min="14602" max="14602" width="16.42578125" style="412" customWidth="1"/>
    <col min="14603" max="14603" width="12.42578125" style="412" customWidth="1"/>
    <col min="14604" max="14604" width="14" style="412" customWidth="1"/>
    <col min="14605" max="14605" width="14.7109375" style="412" customWidth="1"/>
    <col min="14606" max="14606" width="2.85546875" style="412" customWidth="1"/>
    <col min="14607" max="14607" width="15" style="412" customWidth="1"/>
    <col min="14608" max="14608" width="12.85546875" style="412" customWidth="1"/>
    <col min="14609" max="14609" width="2.85546875" style="412" customWidth="1"/>
    <col min="14610" max="14610" width="15.140625" style="412" customWidth="1"/>
    <col min="14611" max="14611" width="9.28515625" style="412" customWidth="1"/>
    <col min="14612" max="14612" width="16.42578125" style="412" customWidth="1"/>
    <col min="14613" max="14613" width="19.85546875" style="412" customWidth="1"/>
    <col min="14614" max="14614" width="9.28515625" style="412" customWidth="1"/>
    <col min="14615" max="14615" width="16.28515625" style="412" customWidth="1"/>
    <col min="14616" max="14616" width="12.7109375" style="412" customWidth="1"/>
    <col min="14617" max="14617" width="14" style="412" customWidth="1"/>
    <col min="14618" max="14618" width="12.7109375" style="412" customWidth="1"/>
    <col min="14619" max="14619" width="14" style="412" customWidth="1"/>
    <col min="14620" max="14620" width="2.85546875" style="412" customWidth="1"/>
    <col min="14621" max="14621" width="13.5703125" style="412" bestFit="1" customWidth="1"/>
    <col min="14622" max="14622" width="14.85546875" style="412" bestFit="1" customWidth="1"/>
    <col min="14623" max="14623" width="13.28515625" style="412" customWidth="1"/>
    <col min="14624" max="14848" width="9.140625" style="412"/>
    <col min="14849" max="14849" width="9.28515625" style="412" bestFit="1" customWidth="1"/>
    <col min="14850" max="14850" width="41.5703125" style="412" customWidth="1"/>
    <col min="14851" max="14851" width="15.85546875" style="412" customWidth="1"/>
    <col min="14852" max="14852" width="11.7109375" style="412" customWidth="1"/>
    <col min="14853" max="14853" width="15.28515625" style="412" customWidth="1"/>
    <col min="14854" max="14854" width="14.7109375" style="412" customWidth="1"/>
    <col min="14855" max="14855" width="10.28515625" style="412" customWidth="1"/>
    <col min="14856" max="14856" width="15" style="412" customWidth="1"/>
    <col min="14857" max="14857" width="14.85546875" style="412" customWidth="1"/>
    <col min="14858" max="14858" width="16.42578125" style="412" customWidth="1"/>
    <col min="14859" max="14859" width="12.42578125" style="412" customWidth="1"/>
    <col min="14860" max="14860" width="14" style="412" customWidth="1"/>
    <col min="14861" max="14861" width="14.7109375" style="412" customWidth="1"/>
    <col min="14862" max="14862" width="2.85546875" style="412" customWidth="1"/>
    <col min="14863" max="14863" width="15" style="412" customWidth="1"/>
    <col min="14864" max="14864" width="12.85546875" style="412" customWidth="1"/>
    <col min="14865" max="14865" width="2.85546875" style="412" customWidth="1"/>
    <col min="14866" max="14866" width="15.140625" style="412" customWidth="1"/>
    <col min="14867" max="14867" width="9.28515625" style="412" customWidth="1"/>
    <col min="14868" max="14868" width="16.42578125" style="412" customWidth="1"/>
    <col min="14869" max="14869" width="19.85546875" style="412" customWidth="1"/>
    <col min="14870" max="14870" width="9.28515625" style="412" customWidth="1"/>
    <col min="14871" max="14871" width="16.28515625" style="412" customWidth="1"/>
    <col min="14872" max="14872" width="12.7109375" style="412" customWidth="1"/>
    <col min="14873" max="14873" width="14" style="412" customWidth="1"/>
    <col min="14874" max="14874" width="12.7109375" style="412" customWidth="1"/>
    <col min="14875" max="14875" width="14" style="412" customWidth="1"/>
    <col min="14876" max="14876" width="2.85546875" style="412" customWidth="1"/>
    <col min="14877" max="14877" width="13.5703125" style="412" bestFit="1" customWidth="1"/>
    <col min="14878" max="14878" width="14.85546875" style="412" bestFit="1" customWidth="1"/>
    <col min="14879" max="14879" width="13.28515625" style="412" customWidth="1"/>
    <col min="14880" max="15104" width="9.140625" style="412"/>
    <col min="15105" max="15105" width="9.28515625" style="412" bestFit="1" customWidth="1"/>
    <col min="15106" max="15106" width="41.5703125" style="412" customWidth="1"/>
    <col min="15107" max="15107" width="15.85546875" style="412" customWidth="1"/>
    <col min="15108" max="15108" width="11.7109375" style="412" customWidth="1"/>
    <col min="15109" max="15109" width="15.28515625" style="412" customWidth="1"/>
    <col min="15110" max="15110" width="14.7109375" style="412" customWidth="1"/>
    <col min="15111" max="15111" width="10.28515625" style="412" customWidth="1"/>
    <col min="15112" max="15112" width="15" style="412" customWidth="1"/>
    <col min="15113" max="15113" width="14.85546875" style="412" customWidth="1"/>
    <col min="15114" max="15114" width="16.42578125" style="412" customWidth="1"/>
    <col min="15115" max="15115" width="12.42578125" style="412" customWidth="1"/>
    <col min="15116" max="15116" width="14" style="412" customWidth="1"/>
    <col min="15117" max="15117" width="14.7109375" style="412" customWidth="1"/>
    <col min="15118" max="15118" width="2.85546875" style="412" customWidth="1"/>
    <col min="15119" max="15119" width="15" style="412" customWidth="1"/>
    <col min="15120" max="15120" width="12.85546875" style="412" customWidth="1"/>
    <col min="15121" max="15121" width="2.85546875" style="412" customWidth="1"/>
    <col min="15122" max="15122" width="15.140625" style="412" customWidth="1"/>
    <col min="15123" max="15123" width="9.28515625" style="412" customWidth="1"/>
    <col min="15124" max="15124" width="16.42578125" style="412" customWidth="1"/>
    <col min="15125" max="15125" width="19.85546875" style="412" customWidth="1"/>
    <col min="15126" max="15126" width="9.28515625" style="412" customWidth="1"/>
    <col min="15127" max="15127" width="16.28515625" style="412" customWidth="1"/>
    <col min="15128" max="15128" width="12.7109375" style="412" customWidth="1"/>
    <col min="15129" max="15129" width="14" style="412" customWidth="1"/>
    <col min="15130" max="15130" width="12.7109375" style="412" customWidth="1"/>
    <col min="15131" max="15131" width="14" style="412" customWidth="1"/>
    <col min="15132" max="15132" width="2.85546875" style="412" customWidth="1"/>
    <col min="15133" max="15133" width="13.5703125" style="412" bestFit="1" customWidth="1"/>
    <col min="15134" max="15134" width="14.85546875" style="412" bestFit="1" customWidth="1"/>
    <col min="15135" max="15135" width="13.28515625" style="412" customWidth="1"/>
    <col min="15136" max="15360" width="9.140625" style="412"/>
    <col min="15361" max="15361" width="9.28515625" style="412" bestFit="1" customWidth="1"/>
    <col min="15362" max="15362" width="41.5703125" style="412" customWidth="1"/>
    <col min="15363" max="15363" width="15.85546875" style="412" customWidth="1"/>
    <col min="15364" max="15364" width="11.7109375" style="412" customWidth="1"/>
    <col min="15365" max="15365" width="15.28515625" style="412" customWidth="1"/>
    <col min="15366" max="15366" width="14.7109375" style="412" customWidth="1"/>
    <col min="15367" max="15367" width="10.28515625" style="412" customWidth="1"/>
    <col min="15368" max="15368" width="15" style="412" customWidth="1"/>
    <col min="15369" max="15369" width="14.85546875" style="412" customWidth="1"/>
    <col min="15370" max="15370" width="16.42578125" style="412" customWidth="1"/>
    <col min="15371" max="15371" width="12.42578125" style="412" customWidth="1"/>
    <col min="15372" max="15372" width="14" style="412" customWidth="1"/>
    <col min="15373" max="15373" width="14.7109375" style="412" customWidth="1"/>
    <col min="15374" max="15374" width="2.85546875" style="412" customWidth="1"/>
    <col min="15375" max="15375" width="15" style="412" customWidth="1"/>
    <col min="15376" max="15376" width="12.85546875" style="412" customWidth="1"/>
    <col min="15377" max="15377" width="2.85546875" style="412" customWidth="1"/>
    <col min="15378" max="15378" width="15.140625" style="412" customWidth="1"/>
    <col min="15379" max="15379" width="9.28515625" style="412" customWidth="1"/>
    <col min="15380" max="15380" width="16.42578125" style="412" customWidth="1"/>
    <col min="15381" max="15381" width="19.85546875" style="412" customWidth="1"/>
    <col min="15382" max="15382" width="9.28515625" style="412" customWidth="1"/>
    <col min="15383" max="15383" width="16.28515625" style="412" customWidth="1"/>
    <col min="15384" max="15384" width="12.7109375" style="412" customWidth="1"/>
    <col min="15385" max="15385" width="14" style="412" customWidth="1"/>
    <col min="15386" max="15386" width="12.7109375" style="412" customWidth="1"/>
    <col min="15387" max="15387" width="14" style="412" customWidth="1"/>
    <col min="15388" max="15388" width="2.85546875" style="412" customWidth="1"/>
    <col min="15389" max="15389" width="13.5703125" style="412" bestFit="1" customWidth="1"/>
    <col min="15390" max="15390" width="14.85546875" style="412" bestFit="1" customWidth="1"/>
    <col min="15391" max="15391" width="13.28515625" style="412" customWidth="1"/>
    <col min="15392" max="15616" width="9.140625" style="412"/>
    <col min="15617" max="15617" width="9.28515625" style="412" bestFit="1" customWidth="1"/>
    <col min="15618" max="15618" width="41.5703125" style="412" customWidth="1"/>
    <col min="15619" max="15619" width="15.85546875" style="412" customWidth="1"/>
    <col min="15620" max="15620" width="11.7109375" style="412" customWidth="1"/>
    <col min="15621" max="15621" width="15.28515625" style="412" customWidth="1"/>
    <col min="15622" max="15622" width="14.7109375" style="412" customWidth="1"/>
    <col min="15623" max="15623" width="10.28515625" style="412" customWidth="1"/>
    <col min="15624" max="15624" width="15" style="412" customWidth="1"/>
    <col min="15625" max="15625" width="14.85546875" style="412" customWidth="1"/>
    <col min="15626" max="15626" width="16.42578125" style="412" customWidth="1"/>
    <col min="15627" max="15627" width="12.42578125" style="412" customWidth="1"/>
    <col min="15628" max="15628" width="14" style="412" customWidth="1"/>
    <col min="15629" max="15629" width="14.7109375" style="412" customWidth="1"/>
    <col min="15630" max="15630" width="2.85546875" style="412" customWidth="1"/>
    <col min="15631" max="15631" width="15" style="412" customWidth="1"/>
    <col min="15632" max="15632" width="12.85546875" style="412" customWidth="1"/>
    <col min="15633" max="15633" width="2.85546875" style="412" customWidth="1"/>
    <col min="15634" max="15634" width="15.140625" style="412" customWidth="1"/>
    <col min="15635" max="15635" width="9.28515625" style="412" customWidth="1"/>
    <col min="15636" max="15636" width="16.42578125" style="412" customWidth="1"/>
    <col min="15637" max="15637" width="19.85546875" style="412" customWidth="1"/>
    <col min="15638" max="15638" width="9.28515625" style="412" customWidth="1"/>
    <col min="15639" max="15639" width="16.28515625" style="412" customWidth="1"/>
    <col min="15640" max="15640" width="12.7109375" style="412" customWidth="1"/>
    <col min="15641" max="15641" width="14" style="412" customWidth="1"/>
    <col min="15642" max="15642" width="12.7109375" style="412" customWidth="1"/>
    <col min="15643" max="15643" width="14" style="412" customWidth="1"/>
    <col min="15644" max="15644" width="2.85546875" style="412" customWidth="1"/>
    <col min="15645" max="15645" width="13.5703125" style="412" bestFit="1" customWidth="1"/>
    <col min="15646" max="15646" width="14.85546875" style="412" bestFit="1" customWidth="1"/>
    <col min="15647" max="15647" width="13.28515625" style="412" customWidth="1"/>
    <col min="15648" max="15872" width="9.140625" style="412"/>
    <col min="15873" max="15873" width="9.28515625" style="412" bestFit="1" customWidth="1"/>
    <col min="15874" max="15874" width="41.5703125" style="412" customWidth="1"/>
    <col min="15875" max="15875" width="15.85546875" style="412" customWidth="1"/>
    <col min="15876" max="15876" width="11.7109375" style="412" customWidth="1"/>
    <col min="15877" max="15877" width="15.28515625" style="412" customWidth="1"/>
    <col min="15878" max="15878" width="14.7109375" style="412" customWidth="1"/>
    <col min="15879" max="15879" width="10.28515625" style="412" customWidth="1"/>
    <col min="15880" max="15880" width="15" style="412" customWidth="1"/>
    <col min="15881" max="15881" width="14.85546875" style="412" customWidth="1"/>
    <col min="15882" max="15882" width="16.42578125" style="412" customWidth="1"/>
    <col min="15883" max="15883" width="12.42578125" style="412" customWidth="1"/>
    <col min="15884" max="15884" width="14" style="412" customWidth="1"/>
    <col min="15885" max="15885" width="14.7109375" style="412" customWidth="1"/>
    <col min="15886" max="15886" width="2.85546875" style="412" customWidth="1"/>
    <col min="15887" max="15887" width="15" style="412" customWidth="1"/>
    <col min="15888" max="15888" width="12.85546875" style="412" customWidth="1"/>
    <col min="15889" max="15889" width="2.85546875" style="412" customWidth="1"/>
    <col min="15890" max="15890" width="15.140625" style="412" customWidth="1"/>
    <col min="15891" max="15891" width="9.28515625" style="412" customWidth="1"/>
    <col min="15892" max="15892" width="16.42578125" style="412" customWidth="1"/>
    <col min="15893" max="15893" width="19.85546875" style="412" customWidth="1"/>
    <col min="15894" max="15894" width="9.28515625" style="412" customWidth="1"/>
    <col min="15895" max="15895" width="16.28515625" style="412" customWidth="1"/>
    <col min="15896" max="15896" width="12.7109375" style="412" customWidth="1"/>
    <col min="15897" max="15897" width="14" style="412" customWidth="1"/>
    <col min="15898" max="15898" width="12.7109375" style="412" customWidth="1"/>
    <col min="15899" max="15899" width="14" style="412" customWidth="1"/>
    <col min="15900" max="15900" width="2.85546875" style="412" customWidth="1"/>
    <col min="15901" max="15901" width="13.5703125" style="412" bestFit="1" customWidth="1"/>
    <col min="15902" max="15902" width="14.85546875" style="412" bestFit="1" customWidth="1"/>
    <col min="15903" max="15903" width="13.28515625" style="412" customWidth="1"/>
    <col min="15904" max="16128" width="9.140625" style="412"/>
    <col min="16129" max="16129" width="9.28515625" style="412" bestFit="1" customWidth="1"/>
    <col min="16130" max="16130" width="41.5703125" style="412" customWidth="1"/>
    <col min="16131" max="16131" width="15.85546875" style="412" customWidth="1"/>
    <col min="16132" max="16132" width="11.7109375" style="412" customWidth="1"/>
    <col min="16133" max="16133" width="15.28515625" style="412" customWidth="1"/>
    <col min="16134" max="16134" width="14.7109375" style="412" customWidth="1"/>
    <col min="16135" max="16135" width="10.28515625" style="412" customWidth="1"/>
    <col min="16136" max="16136" width="15" style="412" customWidth="1"/>
    <col min="16137" max="16137" width="14.85546875" style="412" customWidth="1"/>
    <col min="16138" max="16138" width="16.42578125" style="412" customWidth="1"/>
    <col min="16139" max="16139" width="12.42578125" style="412" customWidth="1"/>
    <col min="16140" max="16140" width="14" style="412" customWidth="1"/>
    <col min="16141" max="16141" width="14.7109375" style="412" customWidth="1"/>
    <col min="16142" max="16142" width="2.85546875" style="412" customWidth="1"/>
    <col min="16143" max="16143" width="15" style="412" customWidth="1"/>
    <col min="16144" max="16144" width="12.85546875" style="412" customWidth="1"/>
    <col min="16145" max="16145" width="2.85546875" style="412" customWidth="1"/>
    <col min="16146" max="16146" width="15.140625" style="412" customWidth="1"/>
    <col min="16147" max="16147" width="9.28515625" style="412" customWidth="1"/>
    <col min="16148" max="16148" width="16.42578125" style="412" customWidth="1"/>
    <col min="16149" max="16149" width="19.85546875" style="412" customWidth="1"/>
    <col min="16150" max="16150" width="9.28515625" style="412" customWidth="1"/>
    <col min="16151" max="16151" width="16.28515625" style="412" customWidth="1"/>
    <col min="16152" max="16152" width="12.7109375" style="412" customWidth="1"/>
    <col min="16153" max="16153" width="14" style="412" customWidth="1"/>
    <col min="16154" max="16154" width="12.7109375" style="412" customWidth="1"/>
    <col min="16155" max="16155" width="14" style="412" customWidth="1"/>
    <col min="16156" max="16156" width="2.85546875" style="412" customWidth="1"/>
    <col min="16157" max="16157" width="13.5703125" style="412" bestFit="1" customWidth="1"/>
    <col min="16158" max="16158" width="14.85546875" style="412" bestFit="1" customWidth="1"/>
    <col min="16159" max="16159" width="13.28515625" style="412" customWidth="1"/>
    <col min="16160" max="16384" width="9.140625" style="412"/>
  </cols>
  <sheetData>
    <row r="1" spans="1:35" s="415" customFormat="1" ht="13.5" thickBot="1"/>
    <row r="3" spans="1:35" s="477" customFormat="1" collapsed="1">
      <c r="C3" s="478"/>
      <c r="D3" s="478"/>
      <c r="E3" s="479"/>
      <c r="F3" s="478"/>
      <c r="G3" s="478"/>
      <c r="H3" s="478"/>
      <c r="I3" s="478"/>
      <c r="J3" s="478"/>
      <c r="K3" s="478"/>
      <c r="L3" s="478"/>
      <c r="M3" s="478"/>
      <c r="P3" s="480"/>
      <c r="R3" s="478"/>
      <c r="S3" s="478"/>
      <c r="T3" s="479"/>
      <c r="U3" s="478"/>
      <c r="V3" s="478"/>
      <c r="W3" s="478"/>
      <c r="X3" s="478"/>
      <c r="Y3" s="478"/>
      <c r="Z3" s="478"/>
      <c r="AA3" s="478"/>
      <c r="AB3" s="481"/>
      <c r="AC3" s="482"/>
      <c r="AD3" s="482"/>
      <c r="AE3" s="482"/>
      <c r="AG3" s="483"/>
      <c r="AH3" s="483"/>
    </row>
    <row r="4" spans="1:35" s="477" customFormat="1">
      <c r="A4" s="484" t="s">
        <v>643</v>
      </c>
      <c r="C4" s="743" t="s">
        <v>644</v>
      </c>
      <c r="D4" s="743"/>
      <c r="E4" s="743"/>
      <c r="F4" s="743"/>
      <c r="G4" s="743"/>
      <c r="H4" s="743"/>
      <c r="I4" s="743"/>
      <c r="J4" s="743"/>
      <c r="K4" s="743"/>
      <c r="L4" s="743"/>
      <c r="M4" s="743"/>
      <c r="N4" s="481"/>
      <c r="O4" s="744" t="s">
        <v>645</v>
      </c>
      <c r="P4" s="744"/>
      <c r="R4" s="745" t="s">
        <v>646</v>
      </c>
      <c r="S4" s="745"/>
      <c r="T4" s="745"/>
      <c r="U4" s="745"/>
      <c r="V4" s="745"/>
      <c r="W4" s="745"/>
      <c r="X4" s="745"/>
      <c r="Y4" s="745"/>
      <c r="Z4" s="745"/>
      <c r="AA4" s="745"/>
      <c r="AB4" s="481"/>
      <c r="AC4" s="744" t="s">
        <v>647</v>
      </c>
      <c r="AD4" s="744"/>
      <c r="AE4" s="744"/>
      <c r="AG4" s="483"/>
      <c r="AH4" s="483"/>
    </row>
    <row r="5" spans="1:35" s="477" customFormat="1">
      <c r="A5" s="485"/>
      <c r="C5" s="485"/>
      <c r="D5" s="485"/>
      <c r="E5" s="485"/>
      <c r="F5" s="485"/>
      <c r="G5" s="485"/>
      <c r="H5" s="485"/>
      <c r="I5" s="485"/>
      <c r="J5" s="485"/>
      <c r="K5" s="485"/>
      <c r="L5" s="485"/>
      <c r="M5" s="485"/>
      <c r="N5" s="481"/>
      <c r="O5" s="486">
        <v>56430674.969999999</v>
      </c>
      <c r="P5" s="487" t="s">
        <v>648</v>
      </c>
      <c r="R5" s="488"/>
      <c r="S5" s="488"/>
      <c r="T5" s="488"/>
      <c r="U5" s="488"/>
      <c r="V5" s="488"/>
      <c r="W5" s="488"/>
      <c r="X5" s="488"/>
      <c r="Y5" s="488"/>
      <c r="Z5" s="488"/>
      <c r="AA5" s="488"/>
      <c r="AB5" s="481"/>
      <c r="AC5" s="489"/>
      <c r="AD5" s="489"/>
      <c r="AE5" s="489"/>
      <c r="AG5" s="483"/>
      <c r="AH5" s="483"/>
    </row>
    <row r="6" spans="1:35" s="477" customFormat="1">
      <c r="A6" s="485"/>
      <c r="C6" s="485"/>
      <c r="D6" s="485"/>
      <c r="E6" s="485"/>
      <c r="F6" s="485"/>
      <c r="G6" s="485"/>
      <c r="H6" s="485"/>
      <c r="I6" s="485"/>
      <c r="J6" s="485"/>
      <c r="K6" s="485"/>
      <c r="L6" s="485"/>
      <c r="M6" s="485"/>
      <c r="N6" s="481"/>
      <c r="O6" s="490">
        <v>3763350.3746318477</v>
      </c>
      <c r="P6" s="487" t="s">
        <v>614</v>
      </c>
      <c r="R6" s="488"/>
      <c r="S6" s="488"/>
      <c r="T6" s="488"/>
      <c r="U6" s="488"/>
      <c r="V6" s="488"/>
      <c r="W6" s="488"/>
      <c r="X6" s="488"/>
      <c r="Y6" s="488"/>
      <c r="Z6" s="488"/>
      <c r="AA6" s="488"/>
      <c r="AB6" s="481"/>
      <c r="AC6" s="489"/>
      <c r="AD6" s="491">
        <v>3.2399999999999991E-2</v>
      </c>
      <c r="AE6" s="487" t="s">
        <v>649</v>
      </c>
      <c r="AG6" s="483"/>
      <c r="AH6" s="483"/>
    </row>
    <row r="7" spans="1:35" s="477" customFormat="1">
      <c r="A7" s="492">
        <v>2011</v>
      </c>
      <c r="C7" s="493" t="s">
        <v>650</v>
      </c>
      <c r="D7" s="491">
        <v>4.3831481226849017E-2</v>
      </c>
      <c r="E7" s="494"/>
      <c r="F7" s="493" t="s">
        <v>651</v>
      </c>
      <c r="G7" s="491">
        <v>0.11218370171681213</v>
      </c>
      <c r="H7" s="495"/>
      <c r="I7" s="495"/>
      <c r="J7" s="495"/>
      <c r="K7" s="496"/>
      <c r="L7" s="496"/>
      <c r="M7" s="496"/>
      <c r="N7" s="497"/>
      <c r="O7" s="498">
        <v>60194025.344631843</v>
      </c>
      <c r="P7" s="480"/>
      <c r="R7" s="493" t="s">
        <v>634</v>
      </c>
      <c r="S7" s="491">
        <v>4.3814944916757345E-2</v>
      </c>
      <c r="T7" s="494"/>
      <c r="U7" s="493" t="s">
        <v>635</v>
      </c>
      <c r="V7" s="491">
        <v>0.11026955240943592</v>
      </c>
      <c r="W7" s="495"/>
      <c r="X7" s="495"/>
      <c r="Y7" s="495"/>
      <c r="Z7" s="496"/>
      <c r="AA7" s="487"/>
      <c r="AB7" s="487"/>
      <c r="AC7" s="487"/>
      <c r="AD7" s="486">
        <v>-383064</v>
      </c>
      <c r="AE7" s="487" t="s">
        <v>551</v>
      </c>
      <c r="AG7" s="483"/>
      <c r="AH7" s="483"/>
    </row>
    <row r="8" spans="1:35" s="477" customFormat="1">
      <c r="A8" s="499" t="s">
        <v>286</v>
      </c>
      <c r="B8" s="499" t="s">
        <v>288</v>
      </c>
      <c r="C8" s="500" t="s">
        <v>620</v>
      </c>
      <c r="D8" s="499" t="s">
        <v>621</v>
      </c>
      <c r="E8" s="499" t="s">
        <v>622</v>
      </c>
      <c r="F8" s="499" t="s">
        <v>623</v>
      </c>
      <c r="G8" s="499" t="s">
        <v>624</v>
      </c>
      <c r="H8" s="499" t="s">
        <v>625</v>
      </c>
      <c r="I8" s="499" t="s">
        <v>626</v>
      </c>
      <c r="J8" s="499" t="s">
        <v>290</v>
      </c>
      <c r="K8" s="499" t="s">
        <v>292</v>
      </c>
      <c r="L8" s="499" t="s">
        <v>293</v>
      </c>
      <c r="M8" s="499" t="s">
        <v>295</v>
      </c>
      <c r="N8" s="481"/>
      <c r="O8" s="501">
        <v>0</v>
      </c>
      <c r="P8" s="502" t="s">
        <v>299</v>
      </c>
      <c r="R8" s="499" t="s">
        <v>627</v>
      </c>
      <c r="S8" s="499" t="s">
        <v>628</v>
      </c>
      <c r="T8" s="499" t="s">
        <v>629</v>
      </c>
      <c r="U8" s="499" t="s">
        <v>630</v>
      </c>
      <c r="V8" s="499" t="s">
        <v>631</v>
      </c>
      <c r="W8" s="499" t="s">
        <v>632</v>
      </c>
      <c r="X8" s="499" t="s">
        <v>633</v>
      </c>
      <c r="Y8" s="499" t="s">
        <v>301</v>
      </c>
      <c r="Z8" s="499" t="s">
        <v>303</v>
      </c>
      <c r="AA8" s="499" t="s">
        <v>305</v>
      </c>
      <c r="AB8" s="481"/>
      <c r="AC8" s="501" t="s">
        <v>315</v>
      </c>
      <c r="AD8" s="501" t="s">
        <v>317</v>
      </c>
      <c r="AE8" s="501" t="s">
        <v>319</v>
      </c>
      <c r="AG8" s="483"/>
      <c r="AH8" s="483"/>
    </row>
    <row r="9" spans="1:35" s="511" customFormat="1" ht="38.25">
      <c r="A9" s="503" t="s">
        <v>411</v>
      </c>
      <c r="B9" s="504" t="s">
        <v>410</v>
      </c>
      <c r="C9" s="505" t="s">
        <v>652</v>
      </c>
      <c r="D9" s="505" t="s">
        <v>634</v>
      </c>
      <c r="E9" s="506" t="s">
        <v>413</v>
      </c>
      <c r="F9" s="505" t="s">
        <v>414</v>
      </c>
      <c r="G9" s="505" t="s">
        <v>635</v>
      </c>
      <c r="H9" s="507" t="s">
        <v>415</v>
      </c>
      <c r="I9" s="505" t="s">
        <v>416</v>
      </c>
      <c r="J9" s="508" t="s">
        <v>418</v>
      </c>
      <c r="K9" s="509" t="s">
        <v>653</v>
      </c>
      <c r="L9" s="508" t="s">
        <v>420</v>
      </c>
      <c r="M9" s="508" t="s">
        <v>654</v>
      </c>
      <c r="N9" s="510"/>
      <c r="O9" s="508" t="s">
        <v>636</v>
      </c>
      <c r="P9" s="508" t="s">
        <v>637</v>
      </c>
      <c r="R9" s="512" t="s">
        <v>655</v>
      </c>
      <c r="S9" s="505" t="s">
        <v>634</v>
      </c>
      <c r="T9" s="506" t="s">
        <v>413</v>
      </c>
      <c r="U9" s="505" t="s">
        <v>414</v>
      </c>
      <c r="V9" s="505" t="s">
        <v>635</v>
      </c>
      <c r="W9" s="507" t="s">
        <v>415</v>
      </c>
      <c r="X9" s="505" t="s">
        <v>416</v>
      </c>
      <c r="Y9" s="508" t="s">
        <v>418</v>
      </c>
      <c r="Z9" s="509" t="s">
        <v>653</v>
      </c>
      <c r="AA9" s="508" t="s">
        <v>420</v>
      </c>
      <c r="AB9" s="510"/>
      <c r="AC9" s="508" t="s">
        <v>656</v>
      </c>
      <c r="AD9" s="508" t="s">
        <v>657</v>
      </c>
      <c r="AE9" s="508" t="s">
        <v>658</v>
      </c>
      <c r="AG9" s="483"/>
      <c r="AH9" s="483"/>
      <c r="AI9" s="477"/>
    </row>
    <row r="10" spans="1:35" s="477" customFormat="1" ht="46.5" hidden="1" customHeight="1" outlineLevel="1">
      <c r="A10" s="513"/>
      <c r="B10" s="513"/>
      <c r="C10" s="514"/>
      <c r="D10" s="514"/>
      <c r="E10" s="515"/>
      <c r="F10" s="514"/>
      <c r="G10" s="514"/>
      <c r="H10" s="516"/>
      <c r="I10" s="514"/>
      <c r="J10" s="516"/>
      <c r="K10" s="517"/>
      <c r="L10" s="518"/>
      <c r="M10" s="518"/>
      <c r="N10" s="481"/>
      <c r="O10" s="518"/>
      <c r="P10" s="518"/>
      <c r="R10" s="519"/>
      <c r="S10" s="514"/>
      <c r="T10" s="515"/>
      <c r="U10" s="514"/>
      <c r="V10" s="514"/>
      <c r="W10" s="516"/>
      <c r="X10" s="514"/>
      <c r="Y10" s="516"/>
      <c r="Z10" s="517"/>
      <c r="AA10" s="518"/>
      <c r="AB10" s="481"/>
      <c r="AC10" s="518"/>
      <c r="AD10" s="518"/>
      <c r="AE10" s="518"/>
      <c r="AG10" s="483"/>
      <c r="AH10" s="483"/>
    </row>
    <row r="11" spans="1:35" s="477" customFormat="1" collapsed="1">
      <c r="A11" s="520"/>
      <c r="B11" s="495"/>
      <c r="C11" s="495"/>
      <c r="D11" s="495"/>
      <c r="E11" s="521"/>
      <c r="F11" s="495"/>
      <c r="G11" s="495"/>
      <c r="H11" s="522"/>
      <c r="I11" s="495"/>
      <c r="J11" s="522"/>
      <c r="K11" s="496"/>
      <c r="L11" s="523"/>
      <c r="M11" s="523"/>
      <c r="N11" s="481"/>
      <c r="O11" s="523"/>
      <c r="P11" s="523"/>
      <c r="R11" s="524"/>
      <c r="S11" s="495"/>
      <c r="T11" s="521"/>
      <c r="U11" s="495"/>
      <c r="V11" s="495"/>
      <c r="W11" s="522"/>
      <c r="X11" s="495"/>
      <c r="Y11" s="522"/>
      <c r="Z11" s="496"/>
      <c r="AA11" s="523"/>
      <c r="AB11" s="481"/>
      <c r="AC11" s="523"/>
      <c r="AD11" s="523"/>
      <c r="AE11" s="523"/>
      <c r="AG11" s="483"/>
      <c r="AH11" s="483"/>
    </row>
    <row r="12" spans="1:35" s="477" customFormat="1">
      <c r="A12" s="525">
        <v>345</v>
      </c>
      <c r="B12" s="477" t="s">
        <v>429</v>
      </c>
      <c r="C12" s="486">
        <v>148547194.13000005</v>
      </c>
      <c r="D12" s="526">
        <v>4.3831481226849017E-2</v>
      </c>
      <c r="E12" s="527">
        <v>6511043.5508101936</v>
      </c>
      <c r="F12" s="486">
        <v>138618534.6204741</v>
      </c>
      <c r="G12" s="526">
        <v>0.11218370171681213</v>
      </c>
      <c r="H12" s="528">
        <v>15550740.340284863</v>
      </c>
      <c r="I12" s="486">
        <v>3974730.7503262968</v>
      </c>
      <c r="J12" s="528">
        <v>26036514.641421355</v>
      </c>
      <c r="K12" s="486">
        <v>3841508.5707117375</v>
      </c>
      <c r="L12" s="529">
        <v>29878023.212133095</v>
      </c>
      <c r="M12" s="530">
        <v>0.53659203805779232</v>
      </c>
      <c r="O12" s="529">
        <v>32299634.738578405</v>
      </c>
      <c r="P12" s="530">
        <v>0.53659203805779232</v>
      </c>
      <c r="R12" s="531">
        <v>148698287.55230767</v>
      </c>
      <c r="S12" s="526">
        <v>4.3814944916757345E-2</v>
      </c>
      <c r="T12" s="527">
        <v>6515207.2783205044</v>
      </c>
      <c r="U12" s="531">
        <v>139770916.64000005</v>
      </c>
      <c r="V12" s="526">
        <v>0.11026955240943592</v>
      </c>
      <c r="W12" s="528">
        <v>15412476.417749384</v>
      </c>
      <c r="X12" s="531">
        <v>2884051.7800000003</v>
      </c>
      <c r="Y12" s="528">
        <v>24811735.47606989</v>
      </c>
      <c r="Z12" s="531">
        <v>3841508.5707117375</v>
      </c>
      <c r="AA12" s="529">
        <v>28653244.046781629</v>
      </c>
      <c r="AC12" s="529">
        <v>-3646390.6917967759</v>
      </c>
      <c r="AD12" s="529">
        <v>-236284.98685950422</v>
      </c>
      <c r="AE12" s="529">
        <v>-3882675.67865628</v>
      </c>
      <c r="AG12" s="483"/>
      <c r="AH12" s="483"/>
    </row>
    <row r="13" spans="1:35" s="477" customFormat="1">
      <c r="A13" s="525">
        <v>1453</v>
      </c>
      <c r="B13" s="477" t="s">
        <v>431</v>
      </c>
      <c r="C13" s="486">
        <v>8790688.5299999993</v>
      </c>
      <c r="D13" s="526">
        <v>4.3831481226849017E-2</v>
      </c>
      <c r="E13" s="527">
        <v>385308.89927377197</v>
      </c>
      <c r="F13" s="486">
        <v>8102421.1723549198</v>
      </c>
      <c r="G13" s="526">
        <v>0.11218370171681213</v>
      </c>
      <c r="H13" s="528">
        <v>908959.59998344758</v>
      </c>
      <c r="I13" s="486">
        <v>235215.61764508087</v>
      </c>
      <c r="J13" s="528">
        <v>1529484.1169023004</v>
      </c>
      <c r="K13" s="486">
        <v>162452.59850270822</v>
      </c>
      <c r="L13" s="529">
        <v>1691936.7154050085</v>
      </c>
      <c r="M13" s="530">
        <v>3.038620607320841E-2</v>
      </c>
      <c r="O13" s="529">
        <v>1829068.0584979132</v>
      </c>
      <c r="P13" s="530">
        <v>3.038620607320841E-2</v>
      </c>
      <c r="R13" s="531">
        <v>8772820.6084615402</v>
      </c>
      <c r="S13" s="526">
        <v>4.3814944916757345E-2</v>
      </c>
      <c r="T13" s="527">
        <v>384380.65172433603</v>
      </c>
      <c r="U13" s="531">
        <v>8087959.1784615386</v>
      </c>
      <c r="V13" s="526">
        <v>0.11026955240943592</v>
      </c>
      <c r="W13" s="528">
        <v>891855.63851474295</v>
      </c>
      <c r="X13" s="531">
        <v>261457.56</v>
      </c>
      <c r="Y13" s="528">
        <v>1537693.850239079</v>
      </c>
      <c r="Z13" s="531">
        <v>162452.59850270822</v>
      </c>
      <c r="AA13" s="529">
        <v>1700146.4487417871</v>
      </c>
      <c r="AC13" s="529">
        <v>-128921.60975612607</v>
      </c>
      <c r="AD13" s="529">
        <v>-8354.0803610712301</v>
      </c>
      <c r="AE13" s="529">
        <v>-137275.69011719729</v>
      </c>
      <c r="AG13" s="483"/>
      <c r="AH13" s="483"/>
    </row>
    <row r="14" spans="1:35" s="477" customFormat="1">
      <c r="A14" s="525">
        <v>352</v>
      </c>
      <c r="B14" s="477" t="s">
        <v>433</v>
      </c>
      <c r="C14" s="486">
        <v>92991261.88000001</v>
      </c>
      <c r="D14" s="526">
        <v>4.3831481226849017E-2</v>
      </c>
      <c r="E14" s="527">
        <v>4075944.7493542209</v>
      </c>
      <c r="F14" s="486">
        <v>87476227.208593264</v>
      </c>
      <c r="G14" s="526">
        <v>0.11218370171681213</v>
      </c>
      <c r="H14" s="528">
        <v>9813406.9804809131</v>
      </c>
      <c r="I14" s="486">
        <v>2488200.6709774369</v>
      </c>
      <c r="J14" s="528">
        <v>16377552.40081257</v>
      </c>
      <c r="K14" s="486">
        <v>269532.79042380117</v>
      </c>
      <c r="L14" s="529">
        <v>16647085.191236371</v>
      </c>
      <c r="M14" s="530">
        <v>0.29897203396173017</v>
      </c>
      <c r="O14" s="529">
        <v>17996330.189628519</v>
      </c>
      <c r="P14" s="530">
        <v>0.29897203396173017</v>
      </c>
      <c r="R14" s="531">
        <v>92883232.139999971</v>
      </c>
      <c r="S14" s="526">
        <v>4.3814944916757345E-2</v>
      </c>
      <c r="T14" s="527">
        <v>4069673.6999044842</v>
      </c>
      <c r="U14" s="531">
        <v>87359841.619230762</v>
      </c>
      <c r="V14" s="526">
        <v>0.11026955240943592</v>
      </c>
      <c r="W14" s="528">
        <v>9633130.6339117885</v>
      </c>
      <c r="X14" s="531">
        <v>2876222.1399999997</v>
      </c>
      <c r="Y14" s="528">
        <v>16579026.473816272</v>
      </c>
      <c r="Z14" s="531">
        <v>269532.79042380117</v>
      </c>
      <c r="AA14" s="529">
        <v>16848559.264240071</v>
      </c>
      <c r="AC14" s="529">
        <v>-1147770.9253884479</v>
      </c>
      <c r="AD14" s="529">
        <v>-74375.200285928455</v>
      </c>
      <c r="AE14" s="529">
        <v>-1222146.1256743765</v>
      </c>
      <c r="AG14" s="483"/>
      <c r="AH14" s="483"/>
    </row>
    <row r="15" spans="1:35" s="477" customFormat="1">
      <c r="A15" s="525">
        <v>356</v>
      </c>
      <c r="B15" s="477" t="s">
        <v>435</v>
      </c>
      <c r="C15" s="486">
        <v>49229621.26615385</v>
      </c>
      <c r="D15" s="526">
        <v>4.3831481226849017E-2</v>
      </c>
      <c r="E15" s="527">
        <v>2157807.2203323096</v>
      </c>
      <c r="F15" s="486">
        <v>49193906.513092868</v>
      </c>
      <c r="G15" s="526">
        <v>0.11218370171681213</v>
      </c>
      <c r="H15" s="528">
        <v>5518754.534549552</v>
      </c>
      <c r="I15" s="486">
        <v>34791.041575338291</v>
      </c>
      <c r="J15" s="528">
        <v>7711352.7964572003</v>
      </c>
      <c r="K15" s="486">
        <v>-255800.491343025</v>
      </c>
      <c r="L15" s="529">
        <v>7455552.3051141752</v>
      </c>
      <c r="M15" s="530">
        <v>0.13389741275196201</v>
      </c>
      <c r="O15" s="529">
        <v>8059824.2567722322</v>
      </c>
      <c r="P15" s="530">
        <v>0.13389741275196201</v>
      </c>
      <c r="R15" s="531">
        <v>45238912.581538461</v>
      </c>
      <c r="S15" s="526">
        <v>4.3814944916757345E-2</v>
      </c>
      <c r="T15" s="527">
        <v>1982140.4628541085</v>
      </c>
      <c r="U15" s="531">
        <v>45235917.405942902</v>
      </c>
      <c r="V15" s="526">
        <v>0.11026955240943592</v>
      </c>
      <c r="W15" s="528">
        <v>4988144.365183536</v>
      </c>
      <c r="X15" s="531">
        <v>9263.5490401523239</v>
      </c>
      <c r="Y15" s="528">
        <v>6979548.3770777974</v>
      </c>
      <c r="Z15" s="531">
        <v>-255800.491343025</v>
      </c>
      <c r="AA15" s="529">
        <v>6723747.8857347723</v>
      </c>
      <c r="AC15" s="529">
        <v>-1336076.3710374599</v>
      </c>
      <c r="AD15" s="529">
        <v>-86577.334810582324</v>
      </c>
      <c r="AE15" s="529">
        <v>-1422653.7058480422</v>
      </c>
      <c r="AG15" s="483"/>
      <c r="AH15" s="483"/>
    </row>
    <row r="16" spans="1:35" s="477" customFormat="1">
      <c r="A16" s="525">
        <v>1621</v>
      </c>
      <c r="B16" s="477" t="s">
        <v>437</v>
      </c>
      <c r="C16" s="486">
        <v>0</v>
      </c>
      <c r="D16" s="526">
        <v>4.3831481226849017E-2</v>
      </c>
      <c r="E16" s="527">
        <v>0</v>
      </c>
      <c r="F16" s="486">
        <v>0</v>
      </c>
      <c r="G16" s="526">
        <v>0.11218370171681213</v>
      </c>
      <c r="H16" s="528">
        <v>0</v>
      </c>
      <c r="I16" s="486">
        <v>0</v>
      </c>
      <c r="J16" s="528">
        <v>0</v>
      </c>
      <c r="K16" s="486">
        <v>0</v>
      </c>
      <c r="L16" s="529">
        <v>0</v>
      </c>
      <c r="M16" s="530">
        <v>0</v>
      </c>
      <c r="O16" s="529">
        <v>0</v>
      </c>
      <c r="P16" s="530">
        <v>0</v>
      </c>
      <c r="R16" s="531">
        <v>0</v>
      </c>
      <c r="S16" s="526">
        <v>4.3814944916757345E-2</v>
      </c>
      <c r="T16" s="527">
        <v>0</v>
      </c>
      <c r="U16" s="531">
        <v>0</v>
      </c>
      <c r="V16" s="526">
        <v>0.11026955240943592</v>
      </c>
      <c r="W16" s="528">
        <v>0</v>
      </c>
      <c r="X16" s="531">
        <v>0</v>
      </c>
      <c r="Y16" s="528">
        <v>0</v>
      </c>
      <c r="Z16" s="531">
        <v>0</v>
      </c>
      <c r="AA16" s="529">
        <v>0</v>
      </c>
      <c r="AC16" s="529">
        <v>0</v>
      </c>
      <c r="AD16" s="529">
        <v>0</v>
      </c>
      <c r="AE16" s="529">
        <v>0</v>
      </c>
      <c r="AG16" s="483"/>
      <c r="AH16" s="483"/>
    </row>
    <row r="17" spans="1:34" s="477" customFormat="1">
      <c r="A17" s="525">
        <v>1625</v>
      </c>
      <c r="B17" s="477" t="s">
        <v>659</v>
      </c>
      <c r="C17" s="486">
        <v>0</v>
      </c>
      <c r="D17" s="526">
        <v>4.3831481226849017E-2</v>
      </c>
      <c r="E17" s="527">
        <v>0</v>
      </c>
      <c r="F17" s="486">
        <v>0</v>
      </c>
      <c r="G17" s="526">
        <v>0.11218370171681213</v>
      </c>
      <c r="H17" s="528">
        <v>0</v>
      </c>
      <c r="I17" s="486">
        <v>0</v>
      </c>
      <c r="J17" s="528">
        <v>0</v>
      </c>
      <c r="K17" s="486">
        <v>0</v>
      </c>
      <c r="L17" s="529">
        <v>0</v>
      </c>
      <c r="M17" s="530">
        <v>0</v>
      </c>
      <c r="O17" s="529">
        <v>0</v>
      </c>
      <c r="P17" s="530">
        <v>0</v>
      </c>
      <c r="R17" s="531">
        <v>0</v>
      </c>
      <c r="S17" s="526">
        <v>4.3814944916757345E-2</v>
      </c>
      <c r="T17" s="527">
        <v>0</v>
      </c>
      <c r="U17" s="531">
        <v>0</v>
      </c>
      <c r="V17" s="526">
        <v>0.11026955240943592</v>
      </c>
      <c r="W17" s="528">
        <v>0</v>
      </c>
      <c r="X17" s="531">
        <v>0</v>
      </c>
      <c r="Y17" s="528">
        <v>0</v>
      </c>
      <c r="Z17" s="531">
        <v>0</v>
      </c>
      <c r="AA17" s="529">
        <v>0</v>
      </c>
      <c r="AC17" s="529">
        <v>0</v>
      </c>
      <c r="AD17" s="529">
        <v>0</v>
      </c>
      <c r="AE17" s="529">
        <v>0</v>
      </c>
      <c r="AG17" s="483"/>
      <c r="AH17" s="483"/>
    </row>
    <row r="18" spans="1:34" s="477" customFormat="1">
      <c r="A18" s="525">
        <v>2164</v>
      </c>
      <c r="B18" s="477" t="s">
        <v>660</v>
      </c>
      <c r="C18" s="486">
        <v>0</v>
      </c>
      <c r="D18" s="526">
        <v>4.3831481226849017E-2</v>
      </c>
      <c r="E18" s="527">
        <v>0</v>
      </c>
      <c r="F18" s="486">
        <v>0</v>
      </c>
      <c r="G18" s="526">
        <v>0.11218370171681213</v>
      </c>
      <c r="H18" s="528">
        <v>0</v>
      </c>
      <c r="I18" s="486">
        <v>0</v>
      </c>
      <c r="J18" s="528">
        <v>0</v>
      </c>
      <c r="K18" s="486">
        <v>0</v>
      </c>
      <c r="L18" s="529">
        <v>0</v>
      </c>
      <c r="M18" s="530">
        <v>0</v>
      </c>
      <c r="O18" s="529">
        <v>0</v>
      </c>
      <c r="P18" s="530">
        <v>0</v>
      </c>
      <c r="R18" s="531">
        <v>0</v>
      </c>
      <c r="S18" s="526">
        <v>4.3814944916757345E-2</v>
      </c>
      <c r="T18" s="527">
        <v>0</v>
      </c>
      <c r="U18" s="531">
        <v>0</v>
      </c>
      <c r="V18" s="526">
        <v>0.11026955240943592</v>
      </c>
      <c r="W18" s="528">
        <v>0</v>
      </c>
      <c r="X18" s="531">
        <v>0</v>
      </c>
      <c r="Y18" s="528">
        <v>0</v>
      </c>
      <c r="Z18" s="531">
        <v>0</v>
      </c>
      <c r="AA18" s="529">
        <v>0</v>
      </c>
      <c r="AC18" s="529">
        <v>0</v>
      </c>
      <c r="AD18" s="529">
        <v>0</v>
      </c>
      <c r="AE18" s="529">
        <v>0</v>
      </c>
      <c r="AG18" s="483"/>
      <c r="AH18" s="483"/>
    </row>
    <row r="19" spans="1:34" s="477" customFormat="1">
      <c r="A19" s="525">
        <v>1616</v>
      </c>
      <c r="B19" s="477" t="s">
        <v>440</v>
      </c>
      <c r="C19" s="486">
        <v>1382778.61</v>
      </c>
      <c r="D19" s="526">
        <v>4.3831481226849017E-2</v>
      </c>
      <c r="E19" s="527">
        <v>60609.23468510338</v>
      </c>
      <c r="F19" s="486">
        <v>1273148.1199319304</v>
      </c>
      <c r="G19" s="526">
        <v>0.11218370171681213</v>
      </c>
      <c r="H19" s="528">
        <v>142826.46892776384</v>
      </c>
      <c r="I19" s="486">
        <v>36999.505068069608</v>
      </c>
      <c r="J19" s="528">
        <v>240435.20868093683</v>
      </c>
      <c r="K19" s="486">
        <v>-254343.09366337449</v>
      </c>
      <c r="L19" s="529">
        <v>-13907.884982437652</v>
      </c>
      <c r="M19" s="530">
        <v>-2.4977758049163736E-4</v>
      </c>
      <c r="O19" s="529">
        <v>-15035.11801063444</v>
      </c>
      <c r="P19" s="530">
        <v>-2.4977758049163736E-4</v>
      </c>
      <c r="R19" s="531">
        <v>1382778.6099999999</v>
      </c>
      <c r="S19" s="526">
        <v>4.3814944916757345E-2</v>
      </c>
      <c r="T19" s="527">
        <v>60586.368629220284</v>
      </c>
      <c r="U19" s="531">
        <v>1281922.6657692308</v>
      </c>
      <c r="V19" s="526">
        <v>0.11026955240943592</v>
      </c>
      <c r="W19" s="528">
        <v>141357.038577884</v>
      </c>
      <c r="X19" s="531">
        <v>39106.570000000014</v>
      </c>
      <c r="Y19" s="528">
        <v>241049.9772071043</v>
      </c>
      <c r="Z19" s="531">
        <v>-254343.09366337449</v>
      </c>
      <c r="AA19" s="529">
        <v>-13293.116456270189</v>
      </c>
      <c r="AC19" s="529">
        <v>1742.0015543642512</v>
      </c>
      <c r="AD19" s="529">
        <v>112.8811608992373</v>
      </c>
      <c r="AE19" s="529">
        <v>1854.8827152634885</v>
      </c>
      <c r="AG19" s="483"/>
      <c r="AH19" s="483"/>
    </row>
    <row r="20" spans="1:34" s="477" customFormat="1">
      <c r="A20" s="525">
        <v>2231</v>
      </c>
      <c r="B20" s="477" t="s">
        <v>661</v>
      </c>
      <c r="C20" s="486">
        <v>0</v>
      </c>
      <c r="D20" s="526">
        <v>4.3831481226849017E-2</v>
      </c>
      <c r="E20" s="527">
        <v>0</v>
      </c>
      <c r="F20" s="486">
        <v>0</v>
      </c>
      <c r="G20" s="526">
        <v>0.11218370171681213</v>
      </c>
      <c r="H20" s="528">
        <v>0</v>
      </c>
      <c r="I20" s="486">
        <v>0</v>
      </c>
      <c r="J20" s="528">
        <v>0</v>
      </c>
      <c r="K20" s="486">
        <v>0</v>
      </c>
      <c r="L20" s="529">
        <v>0</v>
      </c>
      <c r="M20" s="530">
        <v>0</v>
      </c>
      <c r="O20" s="529">
        <v>0</v>
      </c>
      <c r="P20" s="530">
        <v>0</v>
      </c>
      <c r="R20" s="531">
        <v>0</v>
      </c>
      <c r="S20" s="526">
        <v>4.3814944916757345E-2</v>
      </c>
      <c r="T20" s="527">
        <v>0</v>
      </c>
      <c r="U20" s="531">
        <v>0</v>
      </c>
      <c r="V20" s="526">
        <v>0.11026955240943592</v>
      </c>
      <c r="W20" s="528">
        <v>0</v>
      </c>
      <c r="X20" s="531">
        <v>0</v>
      </c>
      <c r="Y20" s="528">
        <v>0</v>
      </c>
      <c r="Z20" s="531">
        <v>0</v>
      </c>
      <c r="AA20" s="529">
        <v>0</v>
      </c>
      <c r="AC20" s="529">
        <v>0</v>
      </c>
      <c r="AD20" s="529">
        <v>0</v>
      </c>
      <c r="AE20" s="529">
        <v>0</v>
      </c>
      <c r="AG20" s="483"/>
      <c r="AH20" s="483"/>
    </row>
    <row r="21" spans="1:34" s="477" customFormat="1">
      <c r="A21" s="525">
        <v>2796</v>
      </c>
      <c r="B21" s="477" t="s">
        <v>662</v>
      </c>
      <c r="C21" s="486">
        <v>0</v>
      </c>
      <c r="D21" s="526">
        <v>4.3831481226849017E-2</v>
      </c>
      <c r="E21" s="527">
        <v>0</v>
      </c>
      <c r="F21" s="486">
        <v>0</v>
      </c>
      <c r="G21" s="526">
        <v>0.11218370171681213</v>
      </c>
      <c r="H21" s="528">
        <v>0</v>
      </c>
      <c r="I21" s="486">
        <v>0</v>
      </c>
      <c r="J21" s="528">
        <v>0</v>
      </c>
      <c r="K21" s="486">
        <v>0</v>
      </c>
      <c r="L21" s="529">
        <v>0</v>
      </c>
      <c r="M21" s="530">
        <v>0</v>
      </c>
      <c r="O21" s="529">
        <v>0</v>
      </c>
      <c r="P21" s="530">
        <v>0</v>
      </c>
      <c r="R21" s="531">
        <v>0</v>
      </c>
      <c r="S21" s="526">
        <v>4.3814944916757345E-2</v>
      </c>
      <c r="T21" s="527">
        <v>0</v>
      </c>
      <c r="U21" s="531">
        <v>0</v>
      </c>
      <c r="V21" s="526">
        <v>0.11026955240943592</v>
      </c>
      <c r="W21" s="528">
        <v>0</v>
      </c>
      <c r="X21" s="531">
        <v>0</v>
      </c>
      <c r="Y21" s="528">
        <v>0</v>
      </c>
      <c r="Z21" s="531">
        <v>0</v>
      </c>
      <c r="AA21" s="529">
        <v>0</v>
      </c>
      <c r="AC21" s="529">
        <v>0</v>
      </c>
      <c r="AD21" s="529">
        <v>0</v>
      </c>
      <c r="AE21" s="529">
        <v>0</v>
      </c>
      <c r="AG21" s="483"/>
      <c r="AH21" s="483"/>
    </row>
    <row r="22" spans="1:34" s="477" customFormat="1">
      <c r="A22" s="525" t="s">
        <v>663</v>
      </c>
      <c r="B22" s="477" t="s">
        <v>442</v>
      </c>
      <c r="C22" s="486">
        <v>0</v>
      </c>
      <c r="D22" s="526">
        <v>4.3831481226849017E-2</v>
      </c>
      <c r="E22" s="527">
        <v>0</v>
      </c>
      <c r="F22" s="486">
        <v>0</v>
      </c>
      <c r="G22" s="526">
        <v>0.11218370171681213</v>
      </c>
      <c r="H22" s="528">
        <v>0</v>
      </c>
      <c r="I22" s="486">
        <v>0</v>
      </c>
      <c r="J22" s="528">
        <v>0</v>
      </c>
      <c r="K22" s="486">
        <v>0</v>
      </c>
      <c r="L22" s="529">
        <v>0</v>
      </c>
      <c r="M22" s="530">
        <v>0</v>
      </c>
      <c r="O22" s="529">
        <v>0</v>
      </c>
      <c r="P22" s="530">
        <v>0</v>
      </c>
      <c r="R22" s="531">
        <v>-4231.4269230769232</v>
      </c>
      <c r="S22" s="526">
        <v>4.3814944916757345E-2</v>
      </c>
      <c r="T22" s="527">
        <v>-185.3997375538994</v>
      </c>
      <c r="U22" s="531">
        <v>-4220.5507692307692</v>
      </c>
      <c r="V22" s="526">
        <v>0.11026955240943592</v>
      </c>
      <c r="W22" s="528">
        <v>-465.39824424437739</v>
      </c>
      <c r="X22" s="531">
        <v>-198.24</v>
      </c>
      <c r="Y22" s="528">
        <v>-849.03798179827686</v>
      </c>
      <c r="Z22" s="531">
        <v>0</v>
      </c>
      <c r="AA22" s="529">
        <v>-849.03798179827686</v>
      </c>
      <c r="AC22" s="529">
        <v>-849.03798179827686</v>
      </c>
      <c r="AD22" s="529">
        <v>-55.01739811472914</v>
      </c>
      <c r="AE22" s="529">
        <v>-904.05537991300605</v>
      </c>
      <c r="AG22" s="483"/>
      <c r="AH22" s="483"/>
    </row>
    <row r="23" spans="1:34" s="477" customFormat="1">
      <c r="A23" s="525">
        <v>2455</v>
      </c>
      <c r="B23" s="477" t="s">
        <v>664</v>
      </c>
      <c r="C23" s="486">
        <v>0</v>
      </c>
      <c r="D23" s="526">
        <v>4.3831481226849017E-2</v>
      </c>
      <c r="E23" s="527">
        <v>0</v>
      </c>
      <c r="F23" s="486">
        <v>0</v>
      </c>
      <c r="G23" s="526">
        <v>0.11218370171681213</v>
      </c>
      <c r="H23" s="528">
        <v>0</v>
      </c>
      <c r="I23" s="486">
        <v>0</v>
      </c>
      <c r="J23" s="528">
        <v>0</v>
      </c>
      <c r="K23" s="486">
        <v>0</v>
      </c>
      <c r="L23" s="529">
        <v>0</v>
      </c>
      <c r="M23" s="530">
        <v>0</v>
      </c>
      <c r="O23" s="529">
        <v>0</v>
      </c>
      <c r="P23" s="530">
        <v>0</v>
      </c>
      <c r="R23" s="531">
        <v>0</v>
      </c>
      <c r="S23" s="526">
        <v>4.3814944916757345E-2</v>
      </c>
      <c r="T23" s="527">
        <v>0</v>
      </c>
      <c r="U23" s="531">
        <v>0</v>
      </c>
      <c r="V23" s="526">
        <v>0.11026955240943592</v>
      </c>
      <c r="W23" s="528">
        <v>0</v>
      </c>
      <c r="X23" s="531">
        <v>0</v>
      </c>
      <c r="Y23" s="528">
        <v>0</v>
      </c>
      <c r="Z23" s="531">
        <v>0</v>
      </c>
      <c r="AA23" s="529">
        <v>0</v>
      </c>
      <c r="AC23" s="529">
        <v>0</v>
      </c>
      <c r="AD23" s="529">
        <v>0</v>
      </c>
      <c r="AE23" s="529">
        <v>0</v>
      </c>
      <c r="AG23" s="483"/>
      <c r="AH23" s="483"/>
    </row>
    <row r="24" spans="1:34" s="477" customFormat="1">
      <c r="A24" s="525">
        <v>2837</v>
      </c>
      <c r="B24" s="477" t="s">
        <v>445</v>
      </c>
      <c r="C24" s="486">
        <v>0</v>
      </c>
      <c r="D24" s="526">
        <v>4.3831481226849017E-2</v>
      </c>
      <c r="E24" s="527">
        <v>0</v>
      </c>
      <c r="F24" s="486">
        <v>0</v>
      </c>
      <c r="G24" s="526">
        <v>0.11218370171681213</v>
      </c>
      <c r="H24" s="528">
        <v>0</v>
      </c>
      <c r="I24" s="486">
        <v>0</v>
      </c>
      <c r="J24" s="528">
        <v>0</v>
      </c>
      <c r="K24" s="486">
        <v>0</v>
      </c>
      <c r="L24" s="529">
        <v>0</v>
      </c>
      <c r="M24" s="530">
        <v>0</v>
      </c>
      <c r="O24" s="529">
        <v>0</v>
      </c>
      <c r="P24" s="530">
        <v>0</v>
      </c>
      <c r="R24" s="531">
        <v>0</v>
      </c>
      <c r="S24" s="526">
        <v>4.3814944916757345E-2</v>
      </c>
      <c r="T24" s="527">
        <v>0</v>
      </c>
      <c r="U24" s="531">
        <v>0</v>
      </c>
      <c r="V24" s="526">
        <v>0.11026955240943592</v>
      </c>
      <c r="W24" s="528">
        <v>0</v>
      </c>
      <c r="X24" s="531">
        <v>0</v>
      </c>
      <c r="Y24" s="528">
        <v>0</v>
      </c>
      <c r="Z24" s="531">
        <v>0</v>
      </c>
      <c r="AA24" s="529">
        <v>0</v>
      </c>
      <c r="AC24" s="529">
        <v>0</v>
      </c>
      <c r="AD24" s="529">
        <v>0</v>
      </c>
      <c r="AE24" s="529">
        <v>0</v>
      </c>
      <c r="AG24" s="483"/>
      <c r="AH24" s="483"/>
    </row>
    <row r="25" spans="1:34" s="477" customFormat="1">
      <c r="A25" s="525">
        <v>2793</v>
      </c>
      <c r="B25" s="477" t="s">
        <v>447</v>
      </c>
      <c r="C25" s="486">
        <v>125283.38307692306</v>
      </c>
      <c r="D25" s="526">
        <v>4.3831481226849017E-2</v>
      </c>
      <c r="E25" s="527">
        <v>5491.356253372287</v>
      </c>
      <c r="F25" s="486">
        <v>124724.75388879111</v>
      </c>
      <c r="G25" s="526">
        <v>0.11218370171681213</v>
      </c>
      <c r="H25" s="528">
        <v>13992.084586962947</v>
      </c>
      <c r="I25" s="486">
        <v>2905.1821235262</v>
      </c>
      <c r="J25" s="528">
        <v>22388.622963861435</v>
      </c>
      <c r="K25" s="486">
        <v>0</v>
      </c>
      <c r="L25" s="529">
        <v>22388.622963861435</v>
      </c>
      <c r="M25" s="530">
        <v>4.0208673579875066E-4</v>
      </c>
      <c r="O25" s="529">
        <v>24203.219165410286</v>
      </c>
      <c r="P25" s="530">
        <v>4.0208673579875066E-4</v>
      </c>
      <c r="R25" s="531">
        <v>0</v>
      </c>
      <c r="S25" s="526">
        <v>4.3814944916757345E-2</v>
      </c>
      <c r="T25" s="527">
        <v>0</v>
      </c>
      <c r="U25" s="531">
        <v>0</v>
      </c>
      <c r="V25" s="526">
        <v>0.11026955240943592</v>
      </c>
      <c r="W25" s="528">
        <v>0</v>
      </c>
      <c r="X25" s="531">
        <v>0</v>
      </c>
      <c r="Y25" s="528">
        <v>0</v>
      </c>
      <c r="Z25" s="531">
        <v>0</v>
      </c>
      <c r="AA25" s="529">
        <v>0</v>
      </c>
      <c r="AC25" s="529">
        <v>-24203.219165410286</v>
      </c>
      <c r="AD25" s="529">
        <v>-1568.3611016565746</v>
      </c>
      <c r="AE25" s="529">
        <v>-25771.58026706686</v>
      </c>
      <c r="AG25" s="483"/>
      <c r="AH25" s="483"/>
    </row>
    <row r="26" spans="1:34" s="477" customFormat="1">
      <c r="A26" s="525">
        <v>1950</v>
      </c>
      <c r="B26" s="477" t="s">
        <v>665</v>
      </c>
      <c r="C26" s="486">
        <v>0</v>
      </c>
      <c r="D26" s="526">
        <v>4.3831481226849017E-2</v>
      </c>
      <c r="E26" s="527">
        <v>0</v>
      </c>
      <c r="F26" s="486">
        <v>0</v>
      </c>
      <c r="G26" s="526">
        <v>0.11218370171681213</v>
      </c>
      <c r="H26" s="528">
        <v>0</v>
      </c>
      <c r="I26" s="486">
        <v>0</v>
      </c>
      <c r="J26" s="528">
        <v>0</v>
      </c>
      <c r="K26" s="486">
        <v>0</v>
      </c>
      <c r="L26" s="529">
        <v>0</v>
      </c>
      <c r="M26" s="530">
        <v>0</v>
      </c>
      <c r="O26" s="529">
        <v>0</v>
      </c>
      <c r="P26" s="530">
        <v>0</v>
      </c>
      <c r="R26" s="531">
        <v>1180020.3146153847</v>
      </c>
      <c r="S26" s="526">
        <v>4.3814944916757345E-2</v>
      </c>
      <c r="T26" s="527">
        <v>51702.525085527755</v>
      </c>
      <c r="U26" s="531">
        <v>1160024.4592307692</v>
      </c>
      <c r="V26" s="526">
        <v>0.11026955240943592</v>
      </c>
      <c r="W26" s="528">
        <v>127915.37790337487</v>
      </c>
      <c r="X26" s="531">
        <v>37176.26</v>
      </c>
      <c r="Y26" s="528">
        <v>216794.16298890265</v>
      </c>
      <c r="Z26" s="531">
        <v>0</v>
      </c>
      <c r="AA26" s="529">
        <v>216794.16298890265</v>
      </c>
      <c r="AC26" s="529">
        <v>216794.16298890265</v>
      </c>
      <c r="AD26" s="529">
        <v>14048.194579996754</v>
      </c>
      <c r="AE26" s="529">
        <v>230842.3575688994</v>
      </c>
      <c r="AG26" s="483"/>
      <c r="AH26" s="483"/>
    </row>
    <row r="27" spans="1:34" s="477" customFormat="1">
      <c r="A27" s="525">
        <v>2846</v>
      </c>
      <c r="B27" s="477" t="s">
        <v>666</v>
      </c>
      <c r="C27" s="486">
        <v>0</v>
      </c>
      <c r="D27" s="526">
        <v>4.3831481226849017E-2</v>
      </c>
      <c r="E27" s="527">
        <v>0</v>
      </c>
      <c r="F27" s="486">
        <v>0</v>
      </c>
      <c r="G27" s="526">
        <v>0.11218370171681213</v>
      </c>
      <c r="H27" s="528">
        <v>0</v>
      </c>
      <c r="I27" s="486">
        <v>0</v>
      </c>
      <c r="J27" s="528">
        <v>0</v>
      </c>
      <c r="K27" s="486">
        <v>0</v>
      </c>
      <c r="L27" s="529">
        <v>0</v>
      </c>
      <c r="M27" s="530">
        <v>0</v>
      </c>
      <c r="O27" s="529">
        <v>0</v>
      </c>
      <c r="P27" s="530">
        <v>0</v>
      </c>
      <c r="R27" s="531">
        <v>1000528.5523076925</v>
      </c>
      <c r="S27" s="526">
        <v>4.3814944916757345E-2</v>
      </c>
      <c r="T27" s="527">
        <v>43838.103407004513</v>
      </c>
      <c r="U27" s="531">
        <v>1000528.5523076925</v>
      </c>
      <c r="V27" s="526">
        <v>0.11026955240943592</v>
      </c>
      <c r="W27" s="528">
        <v>110327.83563583014</v>
      </c>
      <c r="X27" s="531">
        <v>0</v>
      </c>
      <c r="Y27" s="528">
        <v>154165.93904283465</v>
      </c>
      <c r="Z27" s="531">
        <v>0</v>
      </c>
      <c r="AA27" s="529">
        <v>154165.93904283465</v>
      </c>
      <c r="AC27" s="529">
        <v>154165.93904283465</v>
      </c>
      <c r="AD27" s="529">
        <v>9989.9050759614838</v>
      </c>
      <c r="AE27" s="529">
        <v>164155.84411879614</v>
      </c>
      <c r="AG27" s="483"/>
      <c r="AH27" s="483"/>
    </row>
    <row r="28" spans="1:34" s="477" customFormat="1">
      <c r="A28" s="525"/>
      <c r="C28" s="486">
        <v>0</v>
      </c>
      <c r="D28" s="526">
        <v>4.3831481226849017E-2</v>
      </c>
      <c r="E28" s="527">
        <v>0</v>
      </c>
      <c r="F28" s="486">
        <v>0</v>
      </c>
      <c r="G28" s="526">
        <v>0.11218370171681213</v>
      </c>
      <c r="H28" s="528">
        <v>0</v>
      </c>
      <c r="I28" s="486">
        <v>0</v>
      </c>
      <c r="J28" s="528">
        <v>0</v>
      </c>
      <c r="K28" s="486">
        <v>0</v>
      </c>
      <c r="L28" s="529">
        <v>0</v>
      </c>
      <c r="M28" s="530">
        <v>0</v>
      </c>
      <c r="O28" s="529">
        <v>0</v>
      </c>
      <c r="P28" s="530">
        <v>0</v>
      </c>
      <c r="R28" s="531">
        <v>0</v>
      </c>
      <c r="S28" s="526">
        <v>4.3814944916757345E-2</v>
      </c>
      <c r="T28" s="527">
        <v>0</v>
      </c>
      <c r="U28" s="531">
        <v>0</v>
      </c>
      <c r="V28" s="526">
        <v>0.11026955240943592</v>
      </c>
      <c r="W28" s="528">
        <v>0</v>
      </c>
      <c r="X28" s="531">
        <v>0</v>
      </c>
      <c r="Y28" s="528">
        <v>0</v>
      </c>
      <c r="Z28" s="531">
        <v>0</v>
      </c>
      <c r="AA28" s="529">
        <v>0</v>
      </c>
      <c r="AC28" s="529">
        <v>0</v>
      </c>
      <c r="AD28" s="529">
        <v>0</v>
      </c>
      <c r="AE28" s="529">
        <v>0</v>
      </c>
      <c r="AG28" s="483"/>
      <c r="AH28" s="483"/>
    </row>
    <row r="29" spans="1:34" s="477" customFormat="1">
      <c r="A29" s="525"/>
      <c r="C29" s="486">
        <v>0</v>
      </c>
      <c r="D29" s="526">
        <v>4.3831481226849017E-2</v>
      </c>
      <c r="E29" s="527">
        <v>0</v>
      </c>
      <c r="F29" s="486">
        <v>0</v>
      </c>
      <c r="G29" s="526">
        <v>0.11218370171681213</v>
      </c>
      <c r="H29" s="528">
        <v>0</v>
      </c>
      <c r="I29" s="486">
        <v>0</v>
      </c>
      <c r="J29" s="528">
        <v>0</v>
      </c>
      <c r="K29" s="486">
        <v>0</v>
      </c>
      <c r="L29" s="529">
        <v>0</v>
      </c>
      <c r="M29" s="530">
        <v>0</v>
      </c>
      <c r="O29" s="529">
        <v>0</v>
      </c>
      <c r="P29" s="530">
        <v>0</v>
      </c>
      <c r="R29" s="531">
        <v>0</v>
      </c>
      <c r="S29" s="526">
        <v>4.3814944916757345E-2</v>
      </c>
      <c r="T29" s="527">
        <v>0</v>
      </c>
      <c r="U29" s="531">
        <v>0</v>
      </c>
      <c r="V29" s="526">
        <v>0.11026955240943592</v>
      </c>
      <c r="W29" s="528">
        <v>0</v>
      </c>
      <c r="X29" s="531">
        <v>0</v>
      </c>
      <c r="Y29" s="528">
        <v>0</v>
      </c>
      <c r="Z29" s="531">
        <v>0</v>
      </c>
      <c r="AA29" s="529">
        <v>0</v>
      </c>
      <c r="AC29" s="529">
        <v>0</v>
      </c>
      <c r="AD29" s="529">
        <v>0</v>
      </c>
      <c r="AE29" s="529">
        <v>0</v>
      </c>
      <c r="AG29" s="483"/>
      <c r="AH29" s="483"/>
    </row>
    <row r="30" spans="1:34" s="477" customFormat="1">
      <c r="A30" s="532"/>
      <c r="E30" s="527"/>
      <c r="H30" s="533"/>
      <c r="J30" s="533"/>
      <c r="L30" s="533"/>
      <c r="M30" s="533"/>
      <c r="O30" s="533"/>
      <c r="P30" s="530"/>
      <c r="R30" s="534"/>
      <c r="T30" s="527"/>
      <c r="W30" s="533"/>
      <c r="Y30" s="533"/>
      <c r="AA30" s="533"/>
      <c r="AC30" s="533"/>
      <c r="AD30" s="533"/>
      <c r="AE30" s="533"/>
      <c r="AG30" s="483"/>
      <c r="AH30" s="483"/>
    </row>
    <row r="31" spans="1:34" s="477" customFormat="1">
      <c r="A31" s="532"/>
      <c r="E31" s="527"/>
      <c r="H31" s="533"/>
      <c r="J31" s="533"/>
      <c r="L31" s="533"/>
      <c r="M31" s="533"/>
      <c r="O31" s="533"/>
      <c r="P31" s="533"/>
      <c r="R31" s="534"/>
      <c r="T31" s="527"/>
      <c r="W31" s="533"/>
      <c r="Y31" s="533"/>
      <c r="AA31" s="533"/>
      <c r="AC31" s="533"/>
      <c r="AD31" s="533"/>
      <c r="AE31" s="533"/>
      <c r="AG31" s="483"/>
      <c r="AH31" s="483"/>
    </row>
    <row r="32" spans="1:34" s="477" customFormat="1">
      <c r="A32" s="532"/>
      <c r="E32" s="527"/>
      <c r="H32" s="533"/>
      <c r="J32" s="533"/>
      <c r="L32" s="533"/>
      <c r="M32" s="533"/>
      <c r="O32" s="533"/>
      <c r="P32" s="533"/>
      <c r="R32" s="534"/>
      <c r="T32" s="527"/>
      <c r="W32" s="533"/>
      <c r="Y32" s="533"/>
      <c r="AA32" s="533"/>
      <c r="AC32" s="533"/>
      <c r="AD32" s="533"/>
      <c r="AE32" s="533"/>
      <c r="AG32" s="483"/>
      <c r="AH32" s="483"/>
    </row>
    <row r="33" spans="1:34" s="477" customFormat="1">
      <c r="A33" s="532"/>
      <c r="E33" s="527"/>
      <c r="H33" s="533"/>
      <c r="J33" s="533"/>
      <c r="L33" s="533"/>
      <c r="M33" s="533"/>
      <c r="O33" s="533"/>
      <c r="P33" s="533"/>
      <c r="R33" s="534"/>
      <c r="T33" s="527"/>
      <c r="W33" s="533"/>
      <c r="Y33" s="533"/>
      <c r="AA33" s="533"/>
      <c r="AC33" s="533"/>
      <c r="AD33" s="533"/>
      <c r="AE33" s="533"/>
      <c r="AG33" s="483"/>
      <c r="AH33" s="483"/>
    </row>
    <row r="34" spans="1:34" s="477" customFormat="1">
      <c r="A34" s="535"/>
      <c r="B34" s="536"/>
      <c r="C34" s="536"/>
      <c r="D34" s="536"/>
      <c r="E34" s="537"/>
      <c r="F34" s="536"/>
      <c r="G34" s="536"/>
      <c r="H34" s="538"/>
      <c r="I34" s="536"/>
      <c r="J34" s="538"/>
      <c r="K34" s="536"/>
      <c r="L34" s="538"/>
      <c r="M34" s="538"/>
      <c r="O34" s="538"/>
      <c r="P34" s="538"/>
      <c r="R34" s="539"/>
      <c r="S34" s="536"/>
      <c r="T34" s="537"/>
      <c r="U34" s="536"/>
      <c r="V34" s="536"/>
      <c r="W34" s="538"/>
      <c r="X34" s="536"/>
      <c r="Y34" s="538"/>
      <c r="Z34" s="536"/>
      <c r="AA34" s="538"/>
      <c r="AC34" s="538"/>
      <c r="AD34" s="538"/>
      <c r="AE34" s="538"/>
      <c r="AG34" s="483"/>
      <c r="AH34" s="483"/>
    </row>
    <row r="35" spans="1:34" s="477" customFormat="1">
      <c r="A35" s="478"/>
      <c r="B35" s="478" t="s">
        <v>459</v>
      </c>
      <c r="C35" s="540"/>
      <c r="D35" s="540"/>
      <c r="E35" s="479"/>
      <c r="F35" s="496"/>
      <c r="G35" s="496"/>
      <c r="H35" s="496"/>
      <c r="I35" s="496"/>
      <c r="J35" s="482">
        <v>51917727.787238218</v>
      </c>
      <c r="K35" s="482">
        <v>3763350.3746318477</v>
      </c>
      <c r="L35" s="482">
        <v>55681078.16187007</v>
      </c>
      <c r="M35" s="541">
        <v>1</v>
      </c>
      <c r="O35" s="482">
        <v>60194025.344631843</v>
      </c>
      <c r="P35" s="541">
        <v>1</v>
      </c>
      <c r="R35" s="540"/>
      <c r="S35" s="540"/>
      <c r="T35" s="479"/>
      <c r="U35" s="496"/>
      <c r="V35" s="496"/>
      <c r="W35" s="496"/>
      <c r="X35" s="496"/>
      <c r="Y35" s="482">
        <v>50519165.218460076</v>
      </c>
      <c r="Z35" s="482">
        <v>3763350.3746318477</v>
      </c>
      <c r="AA35" s="482">
        <v>54282515.593091927</v>
      </c>
      <c r="AC35" s="482">
        <v>-5911509.7515399158</v>
      </c>
      <c r="AD35" s="482">
        <v>-383064.00000000006</v>
      </c>
      <c r="AE35" s="482">
        <v>-6294573.7515399167</v>
      </c>
      <c r="AG35" s="483"/>
      <c r="AH35" s="483"/>
    </row>
    <row r="36" spans="1:34" s="477" customFormat="1">
      <c r="E36" s="494"/>
      <c r="K36" s="542"/>
      <c r="T36" s="494"/>
      <c r="Z36" s="542"/>
      <c r="AG36" s="483"/>
      <c r="AH36" s="483"/>
    </row>
    <row r="37" spans="1:34" s="477" customFormat="1">
      <c r="A37" s="543" t="s">
        <v>562</v>
      </c>
      <c r="B37" s="544"/>
      <c r="E37" s="494"/>
      <c r="J37" s="545"/>
      <c r="K37" s="542"/>
      <c r="T37" s="494"/>
      <c r="Y37" s="545"/>
      <c r="Z37" s="542"/>
      <c r="AG37" s="483"/>
      <c r="AH37" s="483"/>
    </row>
    <row r="38" spans="1:34" s="477" customFormat="1">
      <c r="A38" s="546" t="s">
        <v>638</v>
      </c>
      <c r="E38" s="494"/>
      <c r="K38" s="542"/>
      <c r="T38" s="494"/>
      <c r="Z38" s="542"/>
    </row>
    <row r="39" spans="1:34" s="477" customFormat="1">
      <c r="A39" s="546" t="s">
        <v>639</v>
      </c>
      <c r="E39" s="494"/>
      <c r="I39" s="547" t="s">
        <v>667</v>
      </c>
      <c r="K39" s="542"/>
      <c r="T39" s="494"/>
      <c r="Z39" s="542"/>
    </row>
    <row r="40" spans="1:34" s="477" customFormat="1">
      <c r="A40" s="546" t="s">
        <v>640</v>
      </c>
      <c r="E40" s="494"/>
      <c r="T40" s="494"/>
    </row>
    <row r="41" spans="1:34" s="477" customFormat="1">
      <c r="A41" s="546" t="s">
        <v>641</v>
      </c>
      <c r="E41" s="494"/>
      <c r="T41" s="494"/>
    </row>
    <row r="42" spans="1:34" s="477" customFormat="1">
      <c r="A42" s="546" t="s">
        <v>642</v>
      </c>
      <c r="B42" s="548"/>
      <c r="C42" s="548"/>
      <c r="D42" s="548"/>
      <c r="E42" s="548"/>
      <c r="F42" s="548"/>
      <c r="G42" s="548"/>
      <c r="H42" s="548"/>
      <c r="I42" s="548"/>
      <c r="J42" s="548"/>
      <c r="K42" s="548"/>
      <c r="L42" s="548"/>
    </row>
    <row r="43" spans="1:34" s="477" customFormat="1">
      <c r="A43" s="713" t="s">
        <v>820</v>
      </c>
      <c r="B43" s="548"/>
      <c r="C43" s="548"/>
      <c r="D43" s="548"/>
      <c r="E43" s="548"/>
      <c r="F43" s="548"/>
      <c r="G43" s="548"/>
      <c r="H43" s="548"/>
      <c r="I43" s="548"/>
      <c r="J43" s="548"/>
      <c r="K43" s="548"/>
      <c r="L43" s="548"/>
    </row>
    <row r="44" spans="1:34" s="477" customFormat="1" ht="13.5" thickBot="1">
      <c r="A44" s="549"/>
      <c r="B44" s="550"/>
      <c r="C44" s="550"/>
      <c r="D44" s="550"/>
      <c r="E44" s="550"/>
      <c r="F44" s="550"/>
      <c r="G44" s="550"/>
      <c r="H44" s="550"/>
      <c r="I44" s="550"/>
      <c r="J44" s="550"/>
      <c r="K44" s="550"/>
      <c r="L44" s="550"/>
      <c r="M44" s="549"/>
      <c r="N44" s="549"/>
      <c r="O44" s="549"/>
      <c r="P44" s="549"/>
      <c r="Q44" s="549"/>
      <c r="R44" s="549"/>
      <c r="S44" s="549"/>
      <c r="T44" s="549"/>
      <c r="U44" s="549"/>
      <c r="V44" s="549"/>
      <c r="W44" s="549"/>
      <c r="X44" s="549"/>
      <c r="Y44" s="549"/>
      <c r="Z44" s="549"/>
      <c r="AA44" s="549"/>
      <c r="AB44" s="549"/>
      <c r="AC44" s="549"/>
      <c r="AD44" s="549"/>
      <c r="AE44" s="549"/>
      <c r="AF44" s="549"/>
    </row>
  </sheetData>
  <mergeCells count="4">
    <mergeCell ref="C4:M4"/>
    <mergeCell ref="O4:P4"/>
    <mergeCell ref="R4:AA4"/>
    <mergeCell ref="AC4:AE4"/>
  </mergeCells>
  <hyperlinks>
    <hyperlink ref="I39" r:id="rId1" display="C:\Users\tfigliuzzi\AppData\Financial Planning and Capital Allocation\2013 Budget Planning\OASIS Posting\Attach O, GG, MM - 2013 OASIS 01.03.13.xlsx"/>
  </hyperlinks>
  <pageMargins left="0.7" right="0.7" top="0.75" bottom="0.75" header="0.3" footer="0.3"/>
  <pageSetup scale="26" orientation="landscape" verticalDpi="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sheetData>
    <row r="1" spans="1:11" ht="15.75">
      <c r="A1" s="407" t="s">
        <v>5</v>
      </c>
    </row>
    <row r="2" spans="1:11" ht="15.75">
      <c r="A2" s="405" t="s">
        <v>813</v>
      </c>
    </row>
    <row r="3" spans="1:11" ht="15.75">
      <c r="A3" s="407" t="s">
        <v>546</v>
      </c>
    </row>
    <row r="6" spans="1:11" ht="152.25" customHeight="1">
      <c r="B6" s="746" t="s">
        <v>824</v>
      </c>
      <c r="C6" s="746"/>
      <c r="D6" s="746"/>
      <c r="E6" s="746"/>
      <c r="F6" s="746"/>
      <c r="G6" s="746"/>
      <c r="H6" s="746"/>
      <c r="I6" s="746"/>
      <c r="J6" s="746"/>
      <c r="K6" s="746"/>
    </row>
    <row r="7" spans="1:11">
      <c r="B7" s="712"/>
      <c r="C7" s="712"/>
      <c r="D7" s="712"/>
      <c r="E7" s="712"/>
      <c r="F7" s="712"/>
      <c r="G7" s="712"/>
      <c r="H7" s="712"/>
      <c r="I7" s="712"/>
      <c r="J7" s="712"/>
      <c r="K7" s="712"/>
    </row>
    <row r="8" spans="1:11">
      <c r="B8" s="712"/>
      <c r="C8" s="712"/>
      <c r="D8" s="712"/>
      <c r="E8" s="712"/>
      <c r="F8" s="712"/>
      <c r="G8" s="712"/>
      <c r="H8" s="712"/>
      <c r="I8" s="712"/>
      <c r="J8" s="712"/>
      <c r="K8" s="712"/>
    </row>
    <row r="9" spans="1:11">
      <c r="B9" s="712"/>
      <c r="C9" s="712"/>
      <c r="D9" s="712"/>
      <c r="E9" s="712"/>
      <c r="F9" s="712"/>
      <c r="G9" s="712"/>
      <c r="H9" s="712"/>
      <c r="I9" s="712"/>
      <c r="J9" s="712"/>
      <c r="K9" s="712"/>
    </row>
    <row r="10" spans="1:11">
      <c r="B10" s="712"/>
      <c r="C10" s="712"/>
      <c r="D10" s="712"/>
      <c r="E10" s="712"/>
      <c r="F10" s="712"/>
      <c r="G10" s="712"/>
      <c r="H10" s="712"/>
      <c r="I10" s="712"/>
      <c r="J10" s="712"/>
      <c r="K10" s="712"/>
    </row>
    <row r="11" spans="1:11">
      <c r="B11" s="712"/>
      <c r="C11" s="712"/>
      <c r="D11" s="712"/>
      <c r="E11" s="712"/>
      <c r="F11" s="712"/>
      <c r="G11" s="712"/>
      <c r="H11" s="712"/>
      <c r="I11" s="712"/>
      <c r="J11" s="712"/>
      <c r="K11" s="712"/>
    </row>
    <row r="12" spans="1:11">
      <c r="B12" s="712"/>
      <c r="C12" s="712"/>
      <c r="D12" s="712"/>
      <c r="E12" s="712"/>
      <c r="F12" s="712"/>
      <c r="G12" s="712"/>
      <c r="H12" s="712"/>
      <c r="I12" s="712"/>
      <c r="J12" s="712"/>
      <c r="K12" s="712"/>
    </row>
    <row r="13" spans="1:11">
      <c r="B13" s="712"/>
      <c r="C13" s="712"/>
      <c r="D13" s="712"/>
      <c r="E13" s="712"/>
      <c r="F13" s="712"/>
      <c r="G13" s="712"/>
      <c r="H13" s="712"/>
      <c r="I13" s="712"/>
      <c r="J13" s="712"/>
      <c r="K13" s="712"/>
    </row>
    <row r="14" spans="1:11">
      <c r="B14" s="712"/>
      <c r="C14" s="712"/>
      <c r="D14" s="712"/>
      <c r="E14" s="712"/>
      <c r="F14" s="712"/>
      <c r="G14" s="712"/>
      <c r="H14" s="712"/>
      <c r="I14" s="712"/>
      <c r="J14" s="712"/>
      <c r="K14" s="712"/>
    </row>
    <row r="15" spans="1:11">
      <c r="B15" s="712"/>
      <c r="C15" s="712"/>
      <c r="D15" s="712"/>
      <c r="E15" s="712"/>
      <c r="F15" s="712"/>
      <c r="G15" s="712"/>
      <c r="H15" s="712"/>
      <c r="I15" s="712"/>
      <c r="J15" s="712"/>
      <c r="K15" s="712"/>
    </row>
    <row r="16" spans="1:11">
      <c r="B16" s="712"/>
      <c r="C16" s="712"/>
      <c r="D16" s="712"/>
      <c r="E16" s="712"/>
      <c r="F16" s="712"/>
      <c r="G16" s="712"/>
      <c r="H16" s="712"/>
      <c r="I16" s="712"/>
      <c r="J16" s="712"/>
      <c r="K16" s="712"/>
    </row>
    <row r="17" spans="2:11">
      <c r="B17" s="712"/>
      <c r="C17" s="712"/>
      <c r="D17" s="712"/>
      <c r="E17" s="712"/>
      <c r="F17" s="712"/>
      <c r="G17" s="712"/>
      <c r="H17" s="712"/>
      <c r="I17" s="712"/>
      <c r="J17" s="712"/>
      <c r="K17" s="712"/>
    </row>
    <row r="18" spans="2:11">
      <c r="B18" s="712"/>
      <c r="C18" s="712"/>
      <c r="D18" s="712"/>
      <c r="E18" s="712"/>
      <c r="F18" s="712"/>
      <c r="G18" s="712"/>
      <c r="H18" s="712"/>
      <c r="I18" s="712"/>
      <c r="J18" s="712"/>
      <c r="K18" s="712"/>
    </row>
    <row r="19" spans="2:11">
      <c r="B19" s="712"/>
      <c r="C19" s="712"/>
      <c r="D19" s="712"/>
      <c r="E19" s="712"/>
      <c r="F19" s="712"/>
      <c r="G19" s="712"/>
      <c r="H19" s="712"/>
      <c r="I19" s="712"/>
      <c r="J19" s="712"/>
      <c r="K19" s="712"/>
    </row>
    <row r="20" spans="2:11">
      <c r="B20" s="712"/>
      <c r="C20" s="712"/>
      <c r="D20" s="712"/>
      <c r="E20" s="712"/>
      <c r="F20" s="712"/>
      <c r="G20" s="712"/>
      <c r="H20" s="712"/>
      <c r="I20" s="712"/>
      <c r="J20" s="712"/>
      <c r="K20" s="712"/>
    </row>
  </sheetData>
  <mergeCells count="1">
    <mergeCell ref="B6:K6"/>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K337"/>
  <sheetViews>
    <sheetView topLeftCell="A268" zoomScale="70" zoomScaleNormal="70" zoomScaleSheetLayoutView="85" workbookViewId="0">
      <selection activeCell="A268" sqref="A268"/>
    </sheetView>
  </sheetViews>
  <sheetFormatPr defaultRowHeight="15.75"/>
  <cols>
    <col min="1" max="1" width="5.7109375" style="1" customWidth="1"/>
    <col min="2" max="2" width="35.42578125" style="1" customWidth="1"/>
    <col min="3" max="3" width="42.5703125" style="1" customWidth="1"/>
    <col min="4" max="4" width="16.28515625" style="1" customWidth="1"/>
    <col min="5" max="5" width="5.7109375" style="1" customWidth="1"/>
    <col min="6" max="6" width="7.28515625" style="1" customWidth="1"/>
    <col min="7" max="7" width="16.7109375" style="1" customWidth="1"/>
    <col min="8" max="8" width="4.85546875" style="1" customWidth="1"/>
    <col min="9" max="9" width="16.28515625" style="1" customWidth="1"/>
    <col min="10" max="10" width="2.5703125" style="1" customWidth="1"/>
    <col min="11" max="11" width="11.42578125" style="1" customWidth="1"/>
    <col min="12" max="16384" width="9.140625" style="1"/>
  </cols>
  <sheetData>
    <row r="1" spans="1:11">
      <c r="K1" s="2" t="s">
        <v>0</v>
      </c>
    </row>
    <row r="3" spans="1:11">
      <c r="A3" s="3"/>
      <c r="B3" s="4" t="s">
        <v>1</v>
      </c>
      <c r="C3" s="4"/>
      <c r="D3" s="5" t="s">
        <v>2</v>
      </c>
      <c r="E3" s="4"/>
      <c r="F3" s="4"/>
      <c r="G3" s="6"/>
      <c r="H3" s="7"/>
      <c r="I3" s="8"/>
      <c r="J3" s="9"/>
      <c r="K3" s="10" t="s">
        <v>547</v>
      </c>
    </row>
    <row r="4" spans="1:11">
      <c r="A4" s="3"/>
      <c r="B4" s="4"/>
      <c r="C4" s="12" t="s">
        <v>3</v>
      </c>
      <c r="D4" s="12" t="s">
        <v>4</v>
      </c>
      <c r="E4" s="12"/>
      <c r="F4" s="12"/>
      <c r="G4" s="12"/>
      <c r="H4" s="13"/>
      <c r="I4" s="13"/>
      <c r="J4" s="11"/>
      <c r="K4" s="11"/>
    </row>
    <row r="5" spans="1:11">
      <c r="A5" s="3"/>
      <c r="B5" s="11"/>
      <c r="C5" s="11"/>
      <c r="D5" s="11"/>
      <c r="E5" s="11"/>
      <c r="F5" s="11"/>
      <c r="G5" s="11"/>
      <c r="H5" s="11"/>
      <c r="I5" s="11"/>
      <c r="J5" s="11"/>
      <c r="K5" s="11"/>
    </row>
    <row r="6" spans="1:11">
      <c r="A6" s="720" t="s">
        <v>5</v>
      </c>
      <c r="B6" s="720"/>
      <c r="C6" s="720"/>
      <c r="D6" s="720"/>
      <c r="E6" s="720"/>
      <c r="F6" s="720"/>
      <c r="G6" s="720"/>
      <c r="H6" s="720"/>
      <c r="I6" s="720"/>
      <c r="J6" s="720"/>
      <c r="K6" s="720"/>
    </row>
    <row r="7" spans="1:11">
      <c r="A7" s="14"/>
      <c r="B7" s="15" t="s">
        <v>6</v>
      </c>
      <c r="C7" s="11"/>
      <c r="D7" s="16"/>
      <c r="E7" s="11"/>
      <c r="F7" s="11"/>
      <c r="G7" s="11"/>
      <c r="H7" s="11"/>
      <c r="I7" s="11"/>
      <c r="J7" s="11"/>
      <c r="K7" s="11"/>
    </row>
    <row r="8" spans="1:11">
      <c r="A8" s="14"/>
      <c r="B8" s="15" t="s">
        <v>7</v>
      </c>
      <c r="C8" s="11"/>
      <c r="D8" s="17"/>
      <c r="E8" s="11"/>
      <c r="F8" s="11"/>
      <c r="G8" s="11"/>
      <c r="H8" s="11"/>
      <c r="I8" s="11"/>
      <c r="J8" s="11"/>
      <c r="K8" s="11"/>
    </row>
    <row r="9" spans="1:11">
      <c r="A9" s="14" t="s">
        <v>8</v>
      </c>
      <c r="B9" s="11"/>
      <c r="C9" s="11"/>
      <c r="D9" s="17"/>
      <c r="E9" s="11"/>
      <c r="F9" s="11"/>
      <c r="G9" s="11"/>
      <c r="H9" s="11"/>
      <c r="I9" s="14" t="s">
        <v>9</v>
      </c>
      <c r="J9" s="11"/>
      <c r="K9" s="11"/>
    </row>
    <row r="10" spans="1:11" ht="16.5" thickBot="1">
      <c r="A10" s="18" t="s">
        <v>10</v>
      </c>
      <c r="B10" s="11"/>
      <c r="C10" s="11"/>
      <c r="D10" s="11"/>
      <c r="E10" s="11"/>
      <c r="F10" s="11"/>
      <c r="G10" s="11"/>
      <c r="H10" s="11"/>
      <c r="I10" s="18" t="s">
        <v>11</v>
      </c>
      <c r="J10" s="11"/>
      <c r="K10" s="11"/>
    </row>
    <row r="11" spans="1:11">
      <c r="A11" s="14">
        <v>1</v>
      </c>
      <c r="B11" s="11" t="s">
        <v>12</v>
      </c>
      <c r="C11" s="11"/>
      <c r="D11" s="19"/>
      <c r="E11" s="11"/>
      <c r="F11" s="11"/>
      <c r="G11" s="11"/>
      <c r="H11" s="11"/>
      <c r="I11" s="20">
        <f>+I211</f>
        <v>525474726.6366843</v>
      </c>
      <c r="J11" s="11"/>
      <c r="K11" s="21"/>
    </row>
    <row r="12" spans="1:11">
      <c r="A12" s="14"/>
      <c r="B12" s="11"/>
      <c r="C12" s="11"/>
      <c r="D12" s="11"/>
      <c r="E12" s="11"/>
      <c r="F12" s="11"/>
      <c r="G12" s="11"/>
      <c r="H12" s="11"/>
      <c r="I12" s="19"/>
      <c r="J12" s="11"/>
      <c r="K12" s="11"/>
    </row>
    <row r="13" spans="1:11" ht="16.5" thickBot="1">
      <c r="A13" s="14" t="s">
        <v>3</v>
      </c>
      <c r="B13" s="22" t="s">
        <v>13</v>
      </c>
      <c r="C13" s="23" t="s">
        <v>14</v>
      </c>
      <c r="D13" s="18" t="s">
        <v>15</v>
      </c>
      <c r="E13" s="12"/>
      <c r="F13" s="24" t="s">
        <v>16</v>
      </c>
      <c r="G13" s="24"/>
      <c r="H13" s="11"/>
      <c r="I13" s="19"/>
      <c r="J13" s="11"/>
      <c r="K13" s="11"/>
    </row>
    <row r="14" spans="1:11">
      <c r="A14" s="14">
        <v>2</v>
      </c>
      <c r="B14" s="22" t="s">
        <v>17</v>
      </c>
      <c r="C14" s="12" t="s">
        <v>18</v>
      </c>
      <c r="D14" s="23">
        <f>I280</f>
        <v>1413786.41</v>
      </c>
      <c r="E14" s="12"/>
      <c r="F14" s="12" t="s">
        <v>19</v>
      </c>
      <c r="G14" s="25">
        <f>I231</f>
        <v>1</v>
      </c>
      <c r="H14" s="26"/>
      <c r="I14" s="26">
        <f>+G14*D14</f>
        <v>1413786.41</v>
      </c>
      <c r="J14" s="11"/>
      <c r="K14" s="11"/>
    </row>
    <row r="15" spans="1:11">
      <c r="A15" s="14">
        <v>3</v>
      </c>
      <c r="B15" s="22" t="s">
        <v>20</v>
      </c>
      <c r="C15" s="12" t="s">
        <v>21</v>
      </c>
      <c r="D15" s="23">
        <f>I287</f>
        <v>9598521.2099999785</v>
      </c>
      <c r="E15" s="12"/>
      <c r="F15" s="12" t="s">
        <v>19</v>
      </c>
      <c r="G15" s="25">
        <f>+G14</f>
        <v>1</v>
      </c>
      <c r="H15" s="26"/>
      <c r="I15" s="26">
        <f>+G15*D15</f>
        <v>9598521.2099999785</v>
      </c>
      <c r="J15" s="11"/>
      <c r="K15" s="11"/>
    </row>
    <row r="16" spans="1:11">
      <c r="A16" s="14">
        <v>4</v>
      </c>
      <c r="B16" s="27" t="s">
        <v>22</v>
      </c>
      <c r="C16" s="12"/>
      <c r="D16" s="28">
        <v>0</v>
      </c>
      <c r="E16" s="12"/>
      <c r="F16" s="12" t="s">
        <v>19</v>
      </c>
      <c r="G16" s="25">
        <f>+G15</f>
        <v>1</v>
      </c>
      <c r="H16" s="26"/>
      <c r="I16" s="26">
        <f>+G16*D16</f>
        <v>0</v>
      </c>
      <c r="J16" s="11"/>
      <c r="K16" s="11"/>
    </row>
    <row r="17" spans="1:11" ht="16.5" thickBot="1">
      <c r="A17" s="14">
        <v>5</v>
      </c>
      <c r="B17" s="27" t="s">
        <v>23</v>
      </c>
      <c r="C17" s="12"/>
      <c r="D17" s="28">
        <v>0</v>
      </c>
      <c r="E17" s="12"/>
      <c r="F17" s="12" t="s">
        <v>19</v>
      </c>
      <c r="G17" s="25">
        <f>+G16</f>
        <v>1</v>
      </c>
      <c r="H17" s="26"/>
      <c r="I17" s="29">
        <f>+G17*D17</f>
        <v>0</v>
      </c>
      <c r="J17" s="11"/>
      <c r="K17" s="11"/>
    </row>
    <row r="18" spans="1:11">
      <c r="A18" s="14">
        <v>6</v>
      </c>
      <c r="B18" s="22" t="s">
        <v>24</v>
      </c>
      <c r="C18" s="11"/>
      <c r="D18" s="30" t="s">
        <v>3</v>
      </c>
      <c r="E18" s="12"/>
      <c r="F18" s="12"/>
      <c r="G18" s="25"/>
      <c r="H18" s="26"/>
      <c r="I18" s="26">
        <f>SUM(I14:I17)</f>
        <v>11012307.619999979</v>
      </c>
      <c r="J18" s="11"/>
      <c r="K18" s="11"/>
    </row>
    <row r="19" spans="1:11">
      <c r="A19" s="14"/>
      <c r="B19" s="3"/>
      <c r="C19" s="11"/>
      <c r="D19" s="12" t="s">
        <v>3</v>
      </c>
      <c r="E19" s="11"/>
      <c r="F19" s="11"/>
      <c r="G19" s="31"/>
      <c r="H19" s="11"/>
      <c r="I19" s="3"/>
      <c r="J19" s="11"/>
      <c r="K19" s="11"/>
    </row>
    <row r="20" spans="1:11" ht="16.5" thickBot="1">
      <c r="A20" s="14">
        <v>7</v>
      </c>
      <c r="B20" s="22" t="s">
        <v>25</v>
      </c>
      <c r="C20" s="11" t="s">
        <v>26</v>
      </c>
      <c r="D20" s="30" t="s">
        <v>3</v>
      </c>
      <c r="E20" s="12"/>
      <c r="F20" s="12"/>
      <c r="G20" s="12"/>
      <c r="H20" s="12"/>
      <c r="I20" s="32">
        <f>I11-I18</f>
        <v>514462419.01668429</v>
      </c>
      <c r="J20" s="11"/>
      <c r="K20" s="11"/>
    </row>
    <row r="21" spans="1:11" ht="16.5" thickTop="1">
      <c r="A21" s="14"/>
      <c r="B21" s="3"/>
      <c r="C21" s="11"/>
      <c r="D21" s="30"/>
      <c r="E21" s="12"/>
      <c r="F21" s="12"/>
      <c r="G21" s="12"/>
      <c r="H21" s="12"/>
      <c r="I21" s="3"/>
      <c r="J21" s="11"/>
      <c r="K21" s="11"/>
    </row>
    <row r="22" spans="1:11">
      <c r="A22" s="14"/>
      <c r="B22" s="22" t="s">
        <v>27</v>
      </c>
      <c r="C22" s="11"/>
      <c r="D22" s="19"/>
      <c r="E22" s="11"/>
      <c r="F22" s="11"/>
      <c r="G22" s="11"/>
      <c r="H22" s="11"/>
      <c r="I22" s="19"/>
      <c r="J22" s="11"/>
      <c r="K22" s="11"/>
    </row>
    <row r="23" spans="1:11">
      <c r="A23" s="14">
        <v>8</v>
      </c>
      <c r="B23" s="22" t="s">
        <v>28</v>
      </c>
      <c r="C23" s="3"/>
      <c r="D23" s="19"/>
      <c r="E23" s="11"/>
      <c r="F23" s="11"/>
      <c r="G23" s="33" t="s">
        <v>29</v>
      </c>
      <c r="H23" s="11"/>
      <c r="I23" s="34">
        <v>0</v>
      </c>
      <c r="J23" s="11"/>
      <c r="K23" s="11"/>
    </row>
    <row r="24" spans="1:11">
      <c r="A24" s="14">
        <v>9</v>
      </c>
      <c r="B24" s="22" t="s">
        <v>30</v>
      </c>
      <c r="C24" s="12"/>
      <c r="D24" s="12"/>
      <c r="E24" s="12"/>
      <c r="F24" s="12"/>
      <c r="G24" s="23" t="s">
        <v>31</v>
      </c>
      <c r="H24" s="12"/>
      <c r="I24" s="34">
        <v>0</v>
      </c>
      <c r="J24" s="11"/>
      <c r="K24" s="11"/>
    </row>
    <row r="25" spans="1:11">
      <c r="A25" s="14">
        <v>10</v>
      </c>
      <c r="B25" s="27" t="s">
        <v>32</v>
      </c>
      <c r="C25" s="11"/>
      <c r="D25" s="11"/>
      <c r="E25" s="11"/>
      <c r="F25" s="3"/>
      <c r="G25" s="33" t="s">
        <v>33</v>
      </c>
      <c r="H25" s="11"/>
      <c r="I25" s="34">
        <v>0</v>
      </c>
      <c r="J25" s="11"/>
      <c r="K25" s="11"/>
    </row>
    <row r="26" spans="1:11">
      <c r="A26" s="14">
        <v>11</v>
      </c>
      <c r="B26" s="22" t="s">
        <v>34</v>
      </c>
      <c r="C26" s="11"/>
      <c r="D26" s="11"/>
      <c r="E26" s="11"/>
      <c r="F26" s="3"/>
      <c r="G26" s="33" t="s">
        <v>35</v>
      </c>
      <c r="H26" s="11"/>
      <c r="I26" s="35">
        <v>0</v>
      </c>
      <c r="J26" s="11"/>
      <c r="K26" s="11"/>
    </row>
    <row r="27" spans="1:11">
      <c r="A27" s="14">
        <v>12</v>
      </c>
      <c r="B27" s="27" t="s">
        <v>36</v>
      </c>
      <c r="C27" s="11"/>
      <c r="D27" s="11"/>
      <c r="E27" s="11"/>
      <c r="F27" s="11"/>
      <c r="G27" s="13"/>
      <c r="H27" s="11"/>
      <c r="I27" s="35">
        <v>0</v>
      </c>
      <c r="J27" s="11"/>
      <c r="K27" s="11"/>
    </row>
    <row r="28" spans="1:11">
      <c r="A28" s="14">
        <v>13</v>
      </c>
      <c r="B28" s="27" t="s">
        <v>37</v>
      </c>
      <c r="C28" s="11"/>
      <c r="D28" s="11"/>
      <c r="E28" s="11"/>
      <c r="F28" s="11"/>
      <c r="G28" s="33"/>
      <c r="H28" s="11"/>
      <c r="I28" s="35">
        <v>0</v>
      </c>
      <c r="J28" s="11"/>
      <c r="K28" s="11"/>
    </row>
    <row r="29" spans="1:11" ht="16.5" thickBot="1">
      <c r="A29" s="14">
        <v>14</v>
      </c>
      <c r="B29" s="27" t="s">
        <v>38</v>
      </c>
      <c r="C29" s="11"/>
      <c r="D29" s="11"/>
      <c r="E29" s="11"/>
      <c r="F29" s="11"/>
      <c r="G29" s="13"/>
      <c r="H29" s="11"/>
      <c r="I29" s="36">
        <v>0</v>
      </c>
      <c r="J29" s="11"/>
      <c r="K29" s="11"/>
    </row>
    <row r="30" spans="1:11">
      <c r="A30" s="14">
        <v>15</v>
      </c>
      <c r="B30" s="4" t="s">
        <v>39</v>
      </c>
      <c r="C30" s="11"/>
      <c r="D30" s="11"/>
      <c r="E30" s="11"/>
      <c r="F30" s="11"/>
      <c r="G30" s="11"/>
      <c r="H30" s="11"/>
      <c r="I30" s="19">
        <f>SUM(I23:I29)</f>
        <v>0</v>
      </c>
      <c r="J30" s="11"/>
      <c r="K30" s="11"/>
    </row>
    <row r="31" spans="1:11">
      <c r="A31" s="14"/>
      <c r="B31" s="22"/>
      <c r="C31" s="11"/>
      <c r="D31" s="11"/>
      <c r="E31" s="11"/>
      <c r="F31" s="11"/>
      <c r="G31" s="11"/>
      <c r="H31" s="11"/>
      <c r="I31" s="19"/>
      <c r="J31" s="11"/>
      <c r="K31" s="11"/>
    </row>
    <row r="32" spans="1:11">
      <c r="A32" s="14">
        <v>16</v>
      </c>
      <c r="B32" s="22" t="s">
        <v>40</v>
      </c>
      <c r="C32" s="11" t="s">
        <v>41</v>
      </c>
      <c r="D32" s="37">
        <f>IF(I30&gt;0,I20/I30,0)</f>
        <v>0</v>
      </c>
      <c r="E32" s="11"/>
      <c r="F32" s="11"/>
      <c r="G32" s="11"/>
      <c r="H32" s="11"/>
      <c r="I32" s="3"/>
      <c r="J32" s="11"/>
      <c r="K32" s="11"/>
    </row>
    <row r="33" spans="1:11">
      <c r="A33" s="14">
        <v>17</v>
      </c>
      <c r="B33" s="22" t="s">
        <v>42</v>
      </c>
      <c r="C33" s="11" t="s">
        <v>43</v>
      </c>
      <c r="D33" s="37">
        <f>+D32/12</f>
        <v>0</v>
      </c>
      <c r="E33" s="11"/>
      <c r="F33" s="11"/>
      <c r="G33" s="11"/>
      <c r="H33" s="11"/>
      <c r="I33" s="3"/>
      <c r="J33" s="11"/>
      <c r="K33" s="11"/>
    </row>
    <row r="34" spans="1:11">
      <c r="A34" s="14"/>
      <c r="B34" s="22"/>
      <c r="C34" s="11"/>
      <c r="D34" s="38"/>
      <c r="E34" s="11"/>
      <c r="F34" s="11"/>
      <c r="G34" s="11"/>
      <c r="H34" s="11"/>
      <c r="I34" s="3"/>
      <c r="J34" s="11"/>
      <c r="K34" s="11"/>
    </row>
    <row r="35" spans="1:11">
      <c r="A35" s="14"/>
      <c r="B35" s="22"/>
      <c r="C35" s="11"/>
      <c r="D35" s="39" t="s">
        <v>44</v>
      </c>
      <c r="E35" s="11"/>
      <c r="F35" s="11"/>
      <c r="G35" s="11"/>
      <c r="H35" s="11"/>
      <c r="I35" s="40" t="s">
        <v>45</v>
      </c>
      <c r="J35" s="11"/>
      <c r="K35" s="11"/>
    </row>
    <row r="36" spans="1:11">
      <c r="A36" s="14">
        <v>18</v>
      </c>
      <c r="B36" s="22" t="s">
        <v>46</v>
      </c>
      <c r="C36" s="41" t="s">
        <v>47</v>
      </c>
      <c r="D36" s="37">
        <f>+D32/52</f>
        <v>0</v>
      </c>
      <c r="E36" s="11"/>
      <c r="F36" s="11"/>
      <c r="G36" s="11"/>
      <c r="H36" s="11"/>
      <c r="I36" s="42">
        <f>+D32/52</f>
        <v>0</v>
      </c>
      <c r="J36" s="11"/>
      <c r="K36" s="11"/>
    </row>
    <row r="37" spans="1:11">
      <c r="A37" s="14">
        <v>19</v>
      </c>
      <c r="B37" s="22" t="s">
        <v>48</v>
      </c>
      <c r="C37" s="41" t="s">
        <v>49</v>
      </c>
      <c r="D37" s="37">
        <f>+D36/5</f>
        <v>0</v>
      </c>
      <c r="E37" s="11" t="s">
        <v>50</v>
      </c>
      <c r="F37" s="3"/>
      <c r="G37" s="11"/>
      <c r="H37" s="11"/>
      <c r="I37" s="42">
        <f>+D32/365</f>
        <v>0</v>
      </c>
      <c r="J37" s="11"/>
      <c r="K37" s="11"/>
    </row>
    <row r="38" spans="1:11">
      <c r="A38" s="14">
        <v>20</v>
      </c>
      <c r="B38" s="22" t="s">
        <v>51</v>
      </c>
      <c r="C38" s="41" t="s">
        <v>52</v>
      </c>
      <c r="D38" s="37">
        <f>+D37/16*1000</f>
        <v>0</v>
      </c>
      <c r="E38" s="11" t="s">
        <v>53</v>
      </c>
      <c r="F38" s="3"/>
      <c r="G38" s="11"/>
      <c r="H38" s="11"/>
      <c r="I38" s="42">
        <f>+I37/24*1000</f>
        <v>0</v>
      </c>
      <c r="J38" s="11"/>
      <c r="K38" s="11" t="s">
        <v>3</v>
      </c>
    </row>
    <row r="39" spans="1:11">
      <c r="A39" s="14"/>
      <c r="B39" s="22"/>
      <c r="C39" s="11" t="s">
        <v>54</v>
      </c>
      <c r="D39" s="11"/>
      <c r="E39" s="11" t="s">
        <v>55</v>
      </c>
      <c r="F39" s="3"/>
      <c r="G39" s="11"/>
      <c r="H39" s="11"/>
      <c r="I39" s="3"/>
      <c r="J39" s="11"/>
      <c r="K39" s="11" t="s">
        <v>3</v>
      </c>
    </row>
    <row r="40" spans="1:11">
      <c r="A40" s="14"/>
      <c r="B40" s="22"/>
      <c r="C40" s="11"/>
      <c r="D40" s="11"/>
      <c r="E40" s="11"/>
      <c r="F40" s="3"/>
      <c r="G40" s="11"/>
      <c r="H40" s="11"/>
      <c r="I40" s="3"/>
      <c r="J40" s="11"/>
      <c r="K40" s="11" t="s">
        <v>3</v>
      </c>
    </row>
    <row r="41" spans="1:11">
      <c r="A41" s="14">
        <v>21</v>
      </c>
      <c r="B41" s="22" t="s">
        <v>56</v>
      </c>
      <c r="C41" s="11" t="s">
        <v>57</v>
      </c>
      <c r="D41" s="43">
        <v>0</v>
      </c>
      <c r="E41" s="44" t="s">
        <v>58</v>
      </c>
      <c r="F41" s="44"/>
      <c r="G41" s="44"/>
      <c r="H41" s="44"/>
      <c r="I41" s="44">
        <v>0</v>
      </c>
      <c r="J41" s="44" t="s">
        <v>58</v>
      </c>
      <c r="K41" s="11"/>
    </row>
    <row r="42" spans="1:11">
      <c r="A42" s="14">
        <v>22</v>
      </c>
      <c r="B42" s="22"/>
      <c r="C42" s="11"/>
      <c r="D42" s="43">
        <v>0</v>
      </c>
      <c r="E42" s="44" t="s">
        <v>59</v>
      </c>
      <c r="F42" s="44"/>
      <c r="G42" s="44"/>
      <c r="H42" s="44"/>
      <c r="I42" s="44">
        <v>0</v>
      </c>
      <c r="J42" s="44" t="s">
        <v>59</v>
      </c>
      <c r="K42" s="11"/>
    </row>
    <row r="43" spans="1:11">
      <c r="A43" s="14"/>
      <c r="B43" s="22"/>
      <c r="C43" s="11"/>
      <c r="D43" s="45"/>
      <c r="E43" s="44"/>
      <c r="F43" s="44"/>
      <c r="G43" s="44"/>
      <c r="H43" s="44"/>
      <c r="I43" s="44"/>
      <c r="J43" s="44"/>
      <c r="K43" s="11"/>
    </row>
    <row r="44" spans="1:11">
      <c r="A44" s="14"/>
      <c r="B44" s="22"/>
      <c r="C44" s="11"/>
      <c r="D44" s="45"/>
      <c r="E44" s="44"/>
      <c r="F44" s="44"/>
      <c r="G44" s="44"/>
      <c r="H44" s="44"/>
      <c r="I44" s="44"/>
      <c r="J44" s="44"/>
      <c r="K44" s="11"/>
    </row>
    <row r="45" spans="1:11">
      <c r="A45" s="14"/>
      <c r="B45" s="22"/>
      <c r="C45" s="11"/>
      <c r="D45" s="45"/>
      <c r="E45" s="44"/>
      <c r="F45" s="44"/>
      <c r="G45" s="44"/>
      <c r="H45" s="44"/>
      <c r="I45" s="44"/>
      <c r="J45" s="44"/>
      <c r="K45" s="11"/>
    </row>
    <row r="46" spans="1:11">
      <c r="A46" s="14"/>
      <c r="B46" s="22"/>
      <c r="C46" s="11"/>
      <c r="D46" s="45"/>
      <c r="E46" s="44"/>
      <c r="F46" s="44"/>
      <c r="G46" s="44"/>
      <c r="H46" s="44"/>
      <c r="I46" s="44"/>
      <c r="J46" s="44"/>
      <c r="K46" s="11"/>
    </row>
    <row r="47" spans="1:11">
      <c r="A47" s="14"/>
      <c r="B47" s="22"/>
      <c r="C47" s="11"/>
      <c r="D47" s="45"/>
      <c r="E47" s="44"/>
      <c r="F47" s="44"/>
      <c r="G47" s="44"/>
      <c r="H47" s="44"/>
      <c r="I47" s="44"/>
      <c r="J47" s="44"/>
      <c r="K47" s="11"/>
    </row>
    <row r="48" spans="1:11">
      <c r="A48" s="14"/>
      <c r="B48" s="22"/>
      <c r="C48" s="11"/>
      <c r="D48" s="45"/>
      <c r="E48" s="44"/>
      <c r="F48" s="44"/>
      <c r="G48" s="44"/>
      <c r="H48" s="44"/>
      <c r="I48" s="44"/>
      <c r="J48" s="44"/>
      <c r="K48" s="11"/>
    </row>
    <row r="49" spans="1:11">
      <c r="A49" s="14"/>
      <c r="B49" s="22"/>
      <c r="C49" s="11"/>
      <c r="D49" s="45"/>
      <c r="E49" s="44"/>
      <c r="F49" s="44"/>
      <c r="G49" s="44"/>
      <c r="H49" s="44"/>
      <c r="I49" s="44"/>
      <c r="J49" s="44"/>
      <c r="K49" s="11"/>
    </row>
    <row r="50" spans="1:11">
      <c r="A50" s="14"/>
      <c r="B50" s="22"/>
      <c r="C50" s="11"/>
      <c r="D50" s="45"/>
      <c r="E50" s="44"/>
      <c r="F50" s="44"/>
      <c r="G50" s="44"/>
      <c r="H50" s="44"/>
      <c r="I50" s="44"/>
      <c r="J50" s="44"/>
      <c r="K50" s="11"/>
    </row>
    <row r="51" spans="1:11">
      <c r="A51" s="14"/>
      <c r="B51" s="22"/>
      <c r="C51" s="11"/>
      <c r="D51" s="45"/>
      <c r="E51" s="44"/>
      <c r="F51" s="44"/>
      <c r="G51" s="44"/>
      <c r="H51" s="44"/>
      <c r="I51" s="44"/>
      <c r="J51" s="44"/>
      <c r="K51" s="11"/>
    </row>
    <row r="52" spans="1:11">
      <c r="A52" s="14"/>
      <c r="B52" s="22"/>
      <c r="C52" s="11"/>
      <c r="D52" s="45"/>
      <c r="E52" s="44"/>
      <c r="F52" s="44"/>
      <c r="G52" s="44"/>
      <c r="H52" s="44"/>
      <c r="I52" s="44"/>
      <c r="J52" s="44"/>
      <c r="K52" s="11"/>
    </row>
    <row r="53" spans="1:11">
      <c r="A53" s="14"/>
      <c r="B53" s="22"/>
      <c r="C53" s="11"/>
      <c r="D53" s="45"/>
      <c r="E53" s="44"/>
      <c r="F53" s="44"/>
      <c r="G53" s="44"/>
      <c r="H53" s="44"/>
      <c r="I53" s="44"/>
      <c r="J53" s="44"/>
      <c r="K53" s="11"/>
    </row>
    <row r="54" spans="1:11">
      <c r="A54" s="14"/>
      <c r="B54" s="22"/>
      <c r="C54" s="11"/>
      <c r="D54" s="45"/>
      <c r="E54" s="44"/>
      <c r="F54" s="44"/>
      <c r="G54" s="44"/>
      <c r="H54" s="44"/>
      <c r="I54" s="44"/>
      <c r="J54" s="44"/>
      <c r="K54" s="11"/>
    </row>
    <row r="55" spans="1:11">
      <c r="A55" s="14"/>
      <c r="B55" s="22"/>
      <c r="C55" s="11"/>
      <c r="D55" s="45"/>
      <c r="E55" s="44"/>
      <c r="F55" s="44"/>
      <c r="G55" s="44"/>
      <c r="H55" s="44"/>
      <c r="I55" s="44"/>
      <c r="J55" s="44"/>
      <c r="K55" s="11"/>
    </row>
    <row r="56" spans="1:11">
      <c r="A56" s="14"/>
      <c r="B56" s="22"/>
      <c r="C56" s="11"/>
      <c r="D56" s="45"/>
      <c r="E56" s="44"/>
      <c r="F56" s="44"/>
      <c r="G56" s="44"/>
      <c r="H56" s="44"/>
      <c r="I56" s="44"/>
      <c r="J56" s="44"/>
      <c r="K56" s="11"/>
    </row>
    <row r="57" spans="1:11">
      <c r="A57" s="14"/>
      <c r="B57" s="22"/>
      <c r="C57" s="11"/>
      <c r="D57" s="45"/>
      <c r="E57" s="44"/>
      <c r="F57" s="44"/>
      <c r="G57" s="44"/>
      <c r="H57" s="44"/>
      <c r="I57" s="44"/>
      <c r="J57" s="44"/>
      <c r="K57" s="11"/>
    </row>
    <row r="58" spans="1:11">
      <c r="A58" s="14"/>
      <c r="B58" s="22"/>
      <c r="C58" s="11"/>
      <c r="D58" s="45"/>
      <c r="E58" s="44"/>
      <c r="F58" s="44"/>
      <c r="G58" s="44"/>
      <c r="H58" s="44"/>
      <c r="I58" s="44"/>
      <c r="J58" s="44"/>
      <c r="K58" s="11"/>
    </row>
    <row r="59" spans="1:11">
      <c r="A59" s="14"/>
      <c r="B59" s="22"/>
      <c r="C59" s="11"/>
      <c r="D59" s="45"/>
      <c r="E59" s="44"/>
      <c r="F59" s="44"/>
      <c r="G59" s="44"/>
      <c r="H59" s="44"/>
      <c r="I59" s="44"/>
      <c r="J59" s="44"/>
      <c r="K59" s="11"/>
    </row>
    <row r="60" spans="1:11">
      <c r="A60" s="14"/>
      <c r="B60" s="22"/>
      <c r="C60" s="11"/>
      <c r="D60" s="45"/>
      <c r="E60" s="44"/>
      <c r="F60" s="44"/>
      <c r="G60" s="44"/>
      <c r="H60" s="44"/>
      <c r="I60" s="44"/>
      <c r="J60" s="44"/>
      <c r="K60" s="11"/>
    </row>
    <row r="61" spans="1:11">
      <c r="A61" s="14"/>
      <c r="B61" s="22"/>
      <c r="C61" s="11"/>
      <c r="D61" s="45"/>
      <c r="E61" s="44"/>
      <c r="F61" s="44"/>
      <c r="G61" s="44"/>
      <c r="H61" s="44"/>
      <c r="I61" s="44"/>
      <c r="J61" s="44"/>
      <c r="K61" s="11"/>
    </row>
    <row r="62" spans="1:11">
      <c r="A62" s="14"/>
      <c r="B62" s="22"/>
      <c r="C62" s="11"/>
      <c r="D62" s="45"/>
      <c r="E62" s="44"/>
      <c r="F62" s="44"/>
      <c r="G62" s="44"/>
      <c r="H62" s="44"/>
      <c r="I62" s="44"/>
      <c r="J62" s="44"/>
      <c r="K62" s="11"/>
    </row>
    <row r="63" spans="1:11">
      <c r="A63" s="14"/>
      <c r="B63" s="22"/>
      <c r="C63" s="11"/>
      <c r="D63" s="45"/>
      <c r="E63" s="44"/>
      <c r="F63" s="44"/>
      <c r="G63" s="44"/>
      <c r="H63" s="44"/>
      <c r="I63" s="44"/>
      <c r="J63" s="44"/>
      <c r="K63" s="11"/>
    </row>
    <row r="64" spans="1:11">
      <c r="A64" s="14"/>
      <c r="B64" s="22"/>
      <c r="C64" s="11"/>
      <c r="D64" s="45"/>
      <c r="E64" s="44"/>
      <c r="F64" s="44"/>
      <c r="G64" s="44"/>
      <c r="H64" s="44"/>
      <c r="I64" s="44"/>
      <c r="J64" s="44"/>
      <c r="K64" s="11"/>
    </row>
    <row r="65" spans="1:11">
      <c r="A65" s="14"/>
      <c r="B65" s="22"/>
      <c r="C65" s="11"/>
      <c r="D65" s="45"/>
      <c r="E65" s="44"/>
      <c r="F65" s="44"/>
      <c r="G65" s="44"/>
      <c r="H65" s="44"/>
      <c r="I65" s="44"/>
      <c r="J65" s="44"/>
      <c r="K65" s="11"/>
    </row>
    <row r="66" spans="1:11">
      <c r="A66" s="14"/>
      <c r="B66" s="22"/>
      <c r="C66" s="11"/>
      <c r="D66" s="45"/>
      <c r="E66" s="44"/>
      <c r="F66" s="44"/>
      <c r="G66" s="44"/>
      <c r="H66" s="44"/>
      <c r="I66" s="44"/>
      <c r="J66" s="44"/>
      <c r="K66" s="11"/>
    </row>
    <row r="67" spans="1:11">
      <c r="A67" s="14"/>
      <c r="B67" s="22"/>
      <c r="C67" s="11"/>
      <c r="D67" s="45"/>
      <c r="E67" s="44"/>
      <c r="F67" s="44"/>
      <c r="G67" s="44"/>
      <c r="H67" s="44"/>
      <c r="I67" s="44"/>
      <c r="J67" s="44"/>
      <c r="K67" s="11"/>
    </row>
    <row r="68" spans="1:11">
      <c r="A68" s="14"/>
      <c r="B68" s="22"/>
      <c r="C68" s="11"/>
      <c r="D68" s="45"/>
      <c r="E68" s="44"/>
      <c r="F68" s="44"/>
      <c r="G68" s="44"/>
      <c r="H68" s="44"/>
      <c r="I68" s="44"/>
      <c r="J68" s="44"/>
      <c r="K68" s="11"/>
    </row>
    <row r="69" spans="1:11">
      <c r="A69" s="14"/>
      <c r="B69" s="22"/>
      <c r="C69" s="11"/>
      <c r="D69" s="45"/>
      <c r="E69" s="44"/>
      <c r="F69" s="44"/>
      <c r="G69" s="44"/>
      <c r="H69" s="44"/>
      <c r="I69" s="44"/>
      <c r="J69" s="44"/>
      <c r="K69" s="11"/>
    </row>
    <row r="70" spans="1:11">
      <c r="A70" s="14"/>
      <c r="B70" s="22"/>
      <c r="C70" s="11"/>
      <c r="D70" s="45"/>
      <c r="E70" s="44"/>
      <c r="F70" s="44"/>
      <c r="G70" s="44"/>
      <c r="H70" s="44"/>
      <c r="I70" s="44"/>
      <c r="J70" s="44"/>
      <c r="K70" s="11"/>
    </row>
    <row r="71" spans="1:11">
      <c r="A71" s="14"/>
      <c r="B71" s="22"/>
      <c r="C71" s="11"/>
      <c r="D71" s="45"/>
      <c r="E71" s="44"/>
      <c r="F71" s="44"/>
      <c r="G71" s="44"/>
      <c r="H71" s="44"/>
      <c r="I71" s="44"/>
      <c r="J71" s="44"/>
      <c r="K71" s="11"/>
    </row>
    <row r="72" spans="1:11">
      <c r="A72" s="14"/>
      <c r="B72" s="22"/>
      <c r="C72" s="11"/>
      <c r="D72" s="45"/>
      <c r="E72" s="44"/>
      <c r="F72" s="44"/>
      <c r="G72" s="44"/>
      <c r="H72" s="44"/>
      <c r="I72" s="44"/>
      <c r="J72" s="44"/>
      <c r="K72" s="11"/>
    </row>
    <row r="73" spans="1:11">
      <c r="A73" s="14"/>
      <c r="B73" s="22"/>
      <c r="C73" s="11"/>
      <c r="D73" s="45"/>
      <c r="E73" s="44"/>
      <c r="F73" s="44"/>
      <c r="G73" s="44"/>
      <c r="H73" s="44"/>
      <c r="I73" s="44"/>
      <c r="J73" s="44"/>
      <c r="K73" s="11"/>
    </row>
    <row r="74" spans="1:11">
      <c r="A74" s="14"/>
      <c r="B74" s="22"/>
      <c r="C74" s="11"/>
      <c r="D74" s="45"/>
      <c r="E74" s="44"/>
      <c r="F74" s="44"/>
      <c r="G74" s="44"/>
      <c r="H74" s="44"/>
      <c r="I74" s="44"/>
      <c r="J74" s="44"/>
      <c r="K74" s="11"/>
    </row>
    <row r="75" spans="1:11">
      <c r="A75" s="3"/>
      <c r="B75" s="22"/>
      <c r="C75" s="11"/>
      <c r="D75" s="11"/>
      <c r="E75" s="11"/>
      <c r="F75" s="11"/>
      <c r="G75" s="11"/>
      <c r="H75" s="11"/>
      <c r="I75" s="46"/>
      <c r="J75" s="11"/>
      <c r="K75" s="47" t="s">
        <v>60</v>
      </c>
    </row>
    <row r="76" spans="1:11">
      <c r="A76" s="3"/>
      <c r="B76" s="11"/>
      <c r="C76" s="11"/>
      <c r="D76" s="11"/>
      <c r="E76" s="11"/>
      <c r="F76" s="11"/>
      <c r="G76" s="11"/>
      <c r="H76" s="11"/>
      <c r="I76" s="11"/>
      <c r="J76" s="11"/>
      <c r="K76" s="11"/>
    </row>
    <row r="77" spans="1:11">
      <c r="A77" s="3"/>
      <c r="B77" s="22" t="s">
        <v>1</v>
      </c>
      <c r="C77" s="22"/>
      <c r="D77" s="41" t="s">
        <v>2</v>
      </c>
      <c r="E77" s="22"/>
      <c r="F77" s="22"/>
      <c r="G77" s="22"/>
      <c r="H77" s="22"/>
      <c r="J77" s="22"/>
      <c r="K77" s="47" t="str">
        <f>$K$3</f>
        <v>For the 12 months ended 12/31/2013</v>
      </c>
    </row>
    <row r="78" spans="1:11">
      <c r="A78" s="3"/>
      <c r="B78" s="22" t="s">
        <v>61</v>
      </c>
      <c r="C78" s="12"/>
      <c r="D78" s="12" t="s">
        <v>4</v>
      </c>
      <c r="E78" s="12"/>
      <c r="F78" s="12"/>
      <c r="G78" s="12"/>
      <c r="H78" s="12"/>
      <c r="I78" s="12"/>
      <c r="J78" s="12"/>
      <c r="K78" s="12"/>
    </row>
    <row r="79" spans="1:11">
      <c r="A79" s="3"/>
      <c r="B79" s="22"/>
      <c r="C79" s="12" t="s">
        <v>3</v>
      </c>
      <c r="D79" s="12" t="s">
        <v>3</v>
      </c>
      <c r="E79" s="12"/>
      <c r="F79" s="12"/>
      <c r="G79" s="12" t="s">
        <v>3</v>
      </c>
      <c r="H79" s="12"/>
      <c r="I79" s="12"/>
      <c r="J79" s="12"/>
      <c r="K79" s="12"/>
    </row>
    <row r="80" spans="1:11">
      <c r="A80" s="721" t="str">
        <f>A6</f>
        <v>American Transmission Company LLC</v>
      </c>
      <c r="B80" s="721"/>
      <c r="C80" s="721"/>
      <c r="D80" s="721"/>
      <c r="E80" s="721"/>
      <c r="F80" s="721"/>
      <c r="G80" s="721"/>
      <c r="H80" s="721"/>
      <c r="I80" s="721"/>
      <c r="J80" s="721"/>
      <c r="K80" s="721"/>
    </row>
    <row r="81" spans="1:11">
      <c r="A81" s="3"/>
      <c r="B81" s="48" t="s">
        <v>62</v>
      </c>
      <c r="C81" s="48" t="s">
        <v>63</v>
      </c>
      <c r="D81" s="48" t="s">
        <v>64</v>
      </c>
      <c r="E81" s="12" t="s">
        <v>3</v>
      </c>
      <c r="F81" s="12"/>
      <c r="G81" s="49" t="s">
        <v>65</v>
      </c>
      <c r="H81" s="12"/>
      <c r="I81" s="16" t="s">
        <v>66</v>
      </c>
      <c r="J81" s="12"/>
      <c r="K81" s="48"/>
    </row>
    <row r="82" spans="1:11">
      <c r="A82" s="3"/>
      <c r="B82" s="22"/>
      <c r="C82" s="50" t="s">
        <v>67</v>
      </c>
      <c r="D82" s="12"/>
      <c r="E82" s="12"/>
      <c r="F82" s="12"/>
      <c r="G82" s="14"/>
      <c r="H82" s="12"/>
      <c r="I82" s="51" t="s">
        <v>68</v>
      </c>
      <c r="J82" s="12"/>
      <c r="K82" s="48"/>
    </row>
    <row r="83" spans="1:11">
      <c r="A83" s="14" t="s">
        <v>8</v>
      </c>
      <c r="B83" s="22"/>
      <c r="C83" s="52" t="s">
        <v>69</v>
      </c>
      <c r="D83" s="51" t="s">
        <v>70</v>
      </c>
      <c r="E83" s="53"/>
      <c r="F83" s="51" t="s">
        <v>71</v>
      </c>
      <c r="G83" s="3"/>
      <c r="H83" s="53"/>
      <c r="I83" s="14" t="s">
        <v>72</v>
      </c>
      <c r="J83" s="12"/>
      <c r="K83" s="48"/>
    </row>
    <row r="84" spans="1:11" ht="16.5" thickBot="1">
      <c r="A84" s="18" t="s">
        <v>10</v>
      </c>
      <c r="B84" s="54" t="s">
        <v>73</v>
      </c>
      <c r="C84" s="12"/>
      <c r="D84" s="12"/>
      <c r="E84" s="12"/>
      <c r="F84" s="12"/>
      <c r="G84" s="12"/>
      <c r="H84" s="12"/>
      <c r="I84" s="12"/>
      <c r="J84" s="12"/>
      <c r="K84" s="12"/>
    </row>
    <row r="85" spans="1:11">
      <c r="A85" s="14"/>
      <c r="B85" s="22" t="s">
        <v>74</v>
      </c>
      <c r="C85" s="12"/>
      <c r="D85" s="12"/>
      <c r="E85" s="12"/>
      <c r="F85" s="12"/>
      <c r="G85" s="12"/>
      <c r="H85" s="12"/>
      <c r="I85" s="12"/>
      <c r="J85" s="12"/>
      <c r="K85" s="12"/>
    </row>
    <row r="86" spans="1:11">
      <c r="A86" s="14">
        <v>1</v>
      </c>
      <c r="B86" s="22" t="s">
        <v>75</v>
      </c>
      <c r="C86" s="26" t="s">
        <v>76</v>
      </c>
      <c r="D86" s="28">
        <v>0</v>
      </c>
      <c r="E86" s="12"/>
      <c r="F86" s="12" t="s">
        <v>77</v>
      </c>
      <c r="G86" s="55" t="s">
        <v>3</v>
      </c>
      <c r="H86" s="12"/>
      <c r="I86" s="12">
        <v>0</v>
      </c>
      <c r="J86" s="12"/>
      <c r="K86" s="12"/>
    </row>
    <row r="87" spans="1:11">
      <c r="A87" s="14" t="s">
        <v>78</v>
      </c>
      <c r="B87" s="22" t="s">
        <v>79</v>
      </c>
      <c r="C87" s="26" t="s">
        <v>80</v>
      </c>
      <c r="D87" s="28">
        <v>3945462647.8461537</v>
      </c>
      <c r="E87" s="12"/>
      <c r="F87" s="12" t="s">
        <v>19</v>
      </c>
      <c r="G87" s="56">
        <f>I231</f>
        <v>1</v>
      </c>
      <c r="H87" s="26"/>
      <c r="I87" s="26">
        <f>+G87*D87</f>
        <v>3945462647.8461537</v>
      </c>
      <c r="J87" s="12"/>
      <c r="K87" s="12"/>
    </row>
    <row r="88" spans="1:11">
      <c r="A88" s="14" t="s">
        <v>81</v>
      </c>
      <c r="B88" s="41" t="s">
        <v>82</v>
      </c>
      <c r="C88" s="12"/>
      <c r="D88" s="28">
        <v>203864959.44461539</v>
      </c>
      <c r="E88" s="12"/>
      <c r="F88" s="12" t="s">
        <v>19</v>
      </c>
      <c r="G88" s="56">
        <f>G87</f>
        <v>1</v>
      </c>
      <c r="H88" s="26"/>
      <c r="I88" s="26">
        <f>+G88*D88</f>
        <v>203864959.44461539</v>
      </c>
      <c r="J88" s="12"/>
      <c r="K88" s="12"/>
    </row>
    <row r="89" spans="1:11">
      <c r="A89" s="14">
        <v>3</v>
      </c>
      <c r="B89" s="22" t="s">
        <v>83</v>
      </c>
      <c r="C89" s="26" t="s">
        <v>84</v>
      </c>
      <c r="D89" s="28">
        <v>0</v>
      </c>
      <c r="E89" s="12"/>
      <c r="F89" s="12" t="s">
        <v>77</v>
      </c>
      <c r="G89" s="56" t="s">
        <v>3</v>
      </c>
      <c r="H89" s="26"/>
      <c r="I89" s="26">
        <v>0</v>
      </c>
      <c r="J89" s="12"/>
      <c r="K89" s="12"/>
    </row>
    <row r="90" spans="1:11">
      <c r="A90" s="14">
        <v>4</v>
      </c>
      <c r="B90" s="22" t="s">
        <v>85</v>
      </c>
      <c r="C90" s="26" t="s">
        <v>86</v>
      </c>
      <c r="D90" s="28">
        <v>95854230.538461536</v>
      </c>
      <c r="E90" s="12"/>
      <c r="F90" s="12" t="s">
        <v>87</v>
      </c>
      <c r="G90" s="56">
        <f>I248</f>
        <v>1</v>
      </c>
      <c r="H90" s="26"/>
      <c r="I90" s="26">
        <f>+G90*D90</f>
        <v>95854230.538461536</v>
      </c>
      <c r="J90" s="12"/>
      <c r="K90" s="12"/>
    </row>
    <row r="91" spans="1:11" ht="16.5" thickBot="1">
      <c r="A91" s="14">
        <v>5</v>
      </c>
      <c r="B91" s="22" t="s">
        <v>88</v>
      </c>
      <c r="C91" s="12" t="s">
        <v>89</v>
      </c>
      <c r="D91" s="57">
        <v>0</v>
      </c>
      <c r="E91" s="12"/>
      <c r="F91" s="12" t="s">
        <v>90</v>
      </c>
      <c r="G91" s="56">
        <f>K252</f>
        <v>1</v>
      </c>
      <c r="H91" s="26"/>
      <c r="I91" s="29">
        <f>+G91*D91</f>
        <v>0</v>
      </c>
      <c r="J91" s="12"/>
      <c r="K91" s="12"/>
    </row>
    <row r="92" spans="1:11">
      <c r="A92" s="14">
        <v>6</v>
      </c>
      <c r="B92" s="4" t="s">
        <v>91</v>
      </c>
      <c r="C92" s="12"/>
      <c r="D92" s="58">
        <f>SUM(D86:D91)</f>
        <v>4245181837.8292308</v>
      </c>
      <c r="E92" s="12"/>
      <c r="F92" s="12" t="s">
        <v>92</v>
      </c>
      <c r="G92" s="59">
        <f>IF(I92&gt;0,I92/D92,0)</f>
        <v>1</v>
      </c>
      <c r="H92" s="26"/>
      <c r="I92" s="26">
        <f>SUM(I86:I91)</f>
        <v>4245181837.8292308</v>
      </c>
      <c r="J92" s="12"/>
      <c r="K92" s="60"/>
    </row>
    <row r="93" spans="1:11">
      <c r="A93" s="3"/>
      <c r="B93" s="22"/>
      <c r="C93" s="12"/>
      <c r="D93" s="12"/>
      <c r="E93" s="12"/>
      <c r="F93" s="12"/>
      <c r="G93" s="60"/>
      <c r="H93" s="12"/>
      <c r="I93" s="12"/>
      <c r="J93" s="12"/>
      <c r="K93" s="60"/>
    </row>
    <row r="94" spans="1:11">
      <c r="A94" s="3"/>
      <c r="B94" s="22" t="s">
        <v>93</v>
      </c>
      <c r="C94" s="12"/>
      <c r="D94" s="12"/>
      <c r="E94" s="12"/>
      <c r="F94" s="12"/>
      <c r="G94" s="12"/>
      <c r="H94" s="12"/>
      <c r="I94" s="12"/>
      <c r="J94" s="12"/>
      <c r="K94" s="12"/>
    </row>
    <row r="95" spans="1:11">
      <c r="A95" s="14">
        <v>7</v>
      </c>
      <c r="B95" s="22" t="s">
        <v>75</v>
      </c>
      <c r="C95" s="12" t="s">
        <v>94</v>
      </c>
      <c r="D95" s="28">
        <v>0</v>
      </c>
      <c r="E95" s="12"/>
      <c r="F95" s="12" t="s">
        <v>77</v>
      </c>
      <c r="G95" s="55" t="s">
        <v>3</v>
      </c>
      <c r="H95" s="12"/>
      <c r="I95" s="12">
        <v>0</v>
      </c>
      <c r="J95" s="12"/>
      <c r="K95" s="12"/>
    </row>
    <row r="96" spans="1:11">
      <c r="A96" s="14" t="s">
        <v>95</v>
      </c>
      <c r="B96" s="22" t="s">
        <v>79</v>
      </c>
      <c r="C96" s="12" t="s">
        <v>96</v>
      </c>
      <c r="D96" s="61">
        <v>990179502.54485977</v>
      </c>
      <c r="E96" s="12"/>
      <c r="F96" s="12" t="s">
        <v>19</v>
      </c>
      <c r="G96" s="56">
        <f>+G87</f>
        <v>1</v>
      </c>
      <c r="H96" s="26"/>
      <c r="I96" s="26">
        <f>+G96*D96</f>
        <v>990179502.54485977</v>
      </c>
      <c r="J96" s="12"/>
      <c r="K96" s="62"/>
    </row>
    <row r="97" spans="1:11">
      <c r="A97" s="14" t="s">
        <v>97</v>
      </c>
      <c r="B97" s="41" t="s">
        <v>82</v>
      </c>
      <c r="C97" s="12"/>
      <c r="D97" s="61">
        <v>0</v>
      </c>
      <c r="E97" s="12"/>
      <c r="F97" s="12" t="s">
        <v>19</v>
      </c>
      <c r="G97" s="56">
        <f>G96</f>
        <v>1</v>
      </c>
      <c r="H97" s="26"/>
      <c r="I97" s="26">
        <f>+G97*D97</f>
        <v>0</v>
      </c>
      <c r="J97" s="12"/>
      <c r="K97" s="12"/>
    </row>
    <row r="98" spans="1:11">
      <c r="A98" s="14">
        <v>9</v>
      </c>
      <c r="B98" s="22" t="s">
        <v>83</v>
      </c>
      <c r="C98" s="12" t="s">
        <v>98</v>
      </c>
      <c r="D98" s="28">
        <v>0</v>
      </c>
      <c r="E98" s="12"/>
      <c r="F98" s="12" t="s">
        <v>77</v>
      </c>
      <c r="G98" s="56" t="str">
        <f>+G89</f>
        <v xml:space="preserve"> </v>
      </c>
      <c r="H98" s="26"/>
      <c r="I98" s="26" t="s">
        <v>3</v>
      </c>
      <c r="J98" s="12"/>
      <c r="K98" s="12"/>
    </row>
    <row r="99" spans="1:11">
      <c r="A99" s="14">
        <v>10</v>
      </c>
      <c r="B99" s="22" t="s">
        <v>85</v>
      </c>
      <c r="C99" s="63" t="s">
        <v>99</v>
      </c>
      <c r="D99" s="28">
        <v>22766997.118659411</v>
      </c>
      <c r="E99" s="12"/>
      <c r="F99" s="12" t="s">
        <v>87</v>
      </c>
      <c r="G99" s="56">
        <f>+G90</f>
        <v>1</v>
      </c>
      <c r="H99" s="26"/>
      <c r="I99" s="26">
        <f>+G99*D99</f>
        <v>22766997.118659411</v>
      </c>
      <c r="J99" s="12"/>
      <c r="K99" s="12"/>
    </row>
    <row r="100" spans="1:11" ht="16.5" thickBot="1">
      <c r="A100" s="14">
        <v>11</v>
      </c>
      <c r="B100" s="22" t="s">
        <v>88</v>
      </c>
      <c r="C100" s="12" t="s">
        <v>89</v>
      </c>
      <c r="D100" s="57">
        <v>0</v>
      </c>
      <c r="E100" s="12"/>
      <c r="F100" s="12" t="s">
        <v>90</v>
      </c>
      <c r="G100" s="56">
        <f>+G91</f>
        <v>1</v>
      </c>
      <c r="H100" s="26"/>
      <c r="I100" s="29">
        <f>+G100*D100</f>
        <v>0</v>
      </c>
      <c r="J100" s="12"/>
      <c r="K100" s="12"/>
    </row>
    <row r="101" spans="1:11">
      <c r="A101" s="14">
        <v>12</v>
      </c>
      <c r="B101" s="22" t="s">
        <v>100</v>
      </c>
      <c r="C101" s="12"/>
      <c r="D101" s="64">
        <f>SUM(D95:D100)</f>
        <v>1012946499.6635191</v>
      </c>
      <c r="E101" s="12"/>
      <c r="F101" s="12"/>
      <c r="G101" s="26"/>
      <c r="H101" s="26"/>
      <c r="I101" s="26">
        <f>SUM(I95:I100)</f>
        <v>1012946499.6635191</v>
      </c>
      <c r="J101" s="12"/>
      <c r="K101" s="12"/>
    </row>
    <row r="102" spans="1:11">
      <c r="A102" s="14"/>
      <c r="B102" s="3"/>
      <c r="C102" s="12" t="s">
        <v>3</v>
      </c>
      <c r="D102" s="3"/>
      <c r="E102" s="12"/>
      <c r="F102" s="12"/>
      <c r="G102" s="60"/>
      <c r="H102" s="12"/>
      <c r="I102" s="3"/>
      <c r="J102" s="12"/>
      <c r="K102" s="60"/>
    </row>
    <row r="103" spans="1:11">
      <c r="A103" s="14"/>
      <c r="B103" s="22" t="s">
        <v>101</v>
      </c>
      <c r="C103" s="12"/>
      <c r="D103" s="12"/>
      <c r="E103" s="12"/>
      <c r="F103" s="12"/>
      <c r="G103" s="12"/>
      <c r="H103" s="12"/>
      <c r="I103" s="12"/>
      <c r="J103" s="12"/>
      <c r="K103" s="12"/>
    </row>
    <row r="104" spans="1:11">
      <c r="A104" s="14">
        <v>13</v>
      </c>
      <c r="B104" s="22" t="s">
        <v>75</v>
      </c>
      <c r="C104" s="12" t="s">
        <v>102</v>
      </c>
      <c r="D104" s="26">
        <f t="shared" ref="D104:D109" si="0">D86-D95</f>
        <v>0</v>
      </c>
      <c r="E104" s="26"/>
      <c r="F104" s="26"/>
      <c r="G104" s="59"/>
      <c r="H104" s="26"/>
      <c r="I104" s="26">
        <f>I86-I95</f>
        <v>0</v>
      </c>
      <c r="J104" s="12"/>
      <c r="K104" s="60"/>
    </row>
    <row r="105" spans="1:11">
      <c r="A105" s="14" t="s">
        <v>103</v>
      </c>
      <c r="B105" s="65" t="s">
        <v>79</v>
      </c>
      <c r="C105" s="63" t="s">
        <v>104</v>
      </c>
      <c r="D105" s="26">
        <f t="shared" si="0"/>
        <v>2955283145.3012938</v>
      </c>
      <c r="E105" s="26"/>
      <c r="F105" s="26"/>
      <c r="G105" s="56"/>
      <c r="H105" s="26"/>
      <c r="I105" s="26">
        <f>I87-I96</f>
        <v>2955283145.3012938</v>
      </c>
      <c r="J105" s="12"/>
      <c r="K105" s="60"/>
    </row>
    <row r="106" spans="1:11">
      <c r="A106" s="14" t="s">
        <v>105</v>
      </c>
      <c r="B106" s="41" t="s">
        <v>82</v>
      </c>
      <c r="C106" s="12"/>
      <c r="D106" s="26">
        <f t="shared" si="0"/>
        <v>203864959.44461539</v>
      </c>
      <c r="E106" s="26"/>
      <c r="F106" s="26"/>
      <c r="G106" s="56"/>
      <c r="H106" s="26"/>
      <c r="I106" s="26">
        <f>I88-I97</f>
        <v>203864959.44461539</v>
      </c>
      <c r="J106" s="12"/>
      <c r="K106" s="60"/>
    </row>
    <row r="107" spans="1:11">
      <c r="A107" s="14">
        <v>15</v>
      </c>
      <c r="B107" s="22" t="s">
        <v>83</v>
      </c>
      <c r="C107" s="12" t="s">
        <v>106</v>
      </c>
      <c r="D107" s="26">
        <f t="shared" si="0"/>
        <v>0</v>
      </c>
      <c r="E107" s="26"/>
      <c r="F107" s="26"/>
      <c r="G107" s="59"/>
      <c r="H107" s="26"/>
      <c r="I107" s="26" t="s">
        <v>3</v>
      </c>
      <c r="J107" s="12"/>
      <c r="K107" s="60"/>
    </row>
    <row r="108" spans="1:11">
      <c r="A108" s="14">
        <v>16</v>
      </c>
      <c r="B108" s="65" t="s">
        <v>85</v>
      </c>
      <c r="C108" s="12" t="s">
        <v>107</v>
      </c>
      <c r="D108" s="26">
        <f t="shared" si="0"/>
        <v>73087233.419802129</v>
      </c>
      <c r="E108" s="26"/>
      <c r="F108" s="26"/>
      <c r="G108" s="59"/>
      <c r="H108" s="26"/>
      <c r="I108" s="26">
        <f>I90-I99</f>
        <v>73087233.419802129</v>
      </c>
      <c r="J108" s="12"/>
      <c r="K108" s="60"/>
    </row>
    <row r="109" spans="1:11" ht="16.5" thickBot="1">
      <c r="A109" s="14">
        <v>17</v>
      </c>
      <c r="B109" s="22" t="s">
        <v>88</v>
      </c>
      <c r="C109" s="12" t="s">
        <v>108</v>
      </c>
      <c r="D109" s="29">
        <f t="shared" si="0"/>
        <v>0</v>
      </c>
      <c r="E109" s="26"/>
      <c r="F109" s="26"/>
      <c r="G109" s="59"/>
      <c r="H109" s="26"/>
      <c r="I109" s="29">
        <f>I91-I100</f>
        <v>0</v>
      </c>
      <c r="J109" s="12"/>
      <c r="K109" s="60"/>
    </row>
    <row r="110" spans="1:11">
      <c r="A110" s="14">
        <v>18</v>
      </c>
      <c r="B110" s="22" t="s">
        <v>109</v>
      </c>
      <c r="C110" s="12"/>
      <c r="D110" s="26">
        <f>SUM(D104:D109)</f>
        <v>3232235338.1657114</v>
      </c>
      <c r="E110" s="26"/>
      <c r="F110" s="26" t="s">
        <v>110</v>
      </c>
      <c r="G110" s="59">
        <f>IF(I110&gt;0,I110/D110,0)</f>
        <v>1</v>
      </c>
      <c r="H110" s="26"/>
      <c r="I110" s="26">
        <f>SUM(I104:I109)</f>
        <v>3232235338.1657114</v>
      </c>
      <c r="J110" s="12"/>
      <c r="K110" s="12"/>
    </row>
    <row r="111" spans="1:11">
      <c r="A111" s="14"/>
      <c r="B111" s="3"/>
      <c r="C111" s="12"/>
      <c r="D111" s="3"/>
      <c r="E111" s="12"/>
      <c r="F111" s="3"/>
      <c r="G111" s="3"/>
      <c r="H111" s="12"/>
      <c r="I111" s="3"/>
      <c r="J111" s="12"/>
      <c r="K111" s="60"/>
    </row>
    <row r="112" spans="1:11">
      <c r="A112" s="14"/>
      <c r="B112" s="4" t="s">
        <v>111</v>
      </c>
      <c r="C112" s="12"/>
      <c r="D112" s="12"/>
      <c r="E112" s="12"/>
      <c r="F112" s="12"/>
      <c r="G112" s="12"/>
      <c r="H112" s="12"/>
      <c r="I112" s="12"/>
      <c r="J112" s="12"/>
      <c r="K112" s="12"/>
    </row>
    <row r="113" spans="1:11">
      <c r="A113" s="14">
        <v>19</v>
      </c>
      <c r="B113" s="22" t="s">
        <v>112</v>
      </c>
      <c r="C113" s="12" t="s">
        <v>113</v>
      </c>
      <c r="D113" s="28">
        <v>0</v>
      </c>
      <c r="E113" s="23"/>
      <c r="F113" s="23" t="s">
        <v>77</v>
      </c>
      <c r="G113" s="66" t="s">
        <v>114</v>
      </c>
      <c r="H113" s="26"/>
      <c r="I113" s="26">
        <v>0</v>
      </c>
      <c r="J113" s="12"/>
      <c r="K113" s="60"/>
    </row>
    <row r="114" spans="1:11">
      <c r="A114" s="14">
        <v>20</v>
      </c>
      <c r="B114" s="22" t="s">
        <v>115</v>
      </c>
      <c r="C114" s="12" t="s">
        <v>116</v>
      </c>
      <c r="D114" s="67">
        <f>'Def. Tax Avg Calc'!C38</f>
        <v>-507698586.12855649</v>
      </c>
      <c r="E114" s="12"/>
      <c r="F114" s="12" t="s">
        <v>117</v>
      </c>
      <c r="G114" s="56">
        <f>+G110</f>
        <v>1</v>
      </c>
      <c r="H114" s="26"/>
      <c r="I114" s="26">
        <f>D114*G114</f>
        <v>-507698586.12855649</v>
      </c>
      <c r="J114" s="12"/>
      <c r="K114" s="60"/>
    </row>
    <row r="115" spans="1:11">
      <c r="A115" s="14">
        <v>21</v>
      </c>
      <c r="B115" s="22" t="s">
        <v>118</v>
      </c>
      <c r="C115" s="12" t="s">
        <v>119</v>
      </c>
      <c r="D115" s="67">
        <f>'Def. Tax Avg Calc'!C55</f>
        <v>-2862833.9791359329</v>
      </c>
      <c r="E115" s="12"/>
      <c r="F115" s="12" t="s">
        <v>117</v>
      </c>
      <c r="G115" s="56">
        <f>+G114</f>
        <v>1</v>
      </c>
      <c r="H115" s="26"/>
      <c r="I115" s="26">
        <f>D115*G115</f>
        <v>-2862833.9791359329</v>
      </c>
      <c r="J115" s="12"/>
      <c r="K115" s="60"/>
    </row>
    <row r="116" spans="1:11">
      <c r="A116" s="14">
        <v>22</v>
      </c>
      <c r="B116" s="22" t="s">
        <v>120</v>
      </c>
      <c r="C116" s="12" t="s">
        <v>121</v>
      </c>
      <c r="D116" s="68">
        <f>'Def. Tax Avg Calc'!C21</f>
        <v>12590103.268282402</v>
      </c>
      <c r="E116" s="12"/>
      <c r="F116" s="12" t="s">
        <v>117</v>
      </c>
      <c r="G116" s="56">
        <f>+G115</f>
        <v>1</v>
      </c>
      <c r="H116" s="26"/>
      <c r="I116" s="26">
        <f>D116*G116</f>
        <v>12590103.268282402</v>
      </c>
      <c r="J116" s="12"/>
      <c r="K116" s="60"/>
    </row>
    <row r="117" spans="1:11" ht="16.5" thickBot="1">
      <c r="A117" s="14">
        <v>23</v>
      </c>
      <c r="B117" s="3" t="s">
        <v>122</v>
      </c>
      <c r="C117" s="3" t="s">
        <v>123</v>
      </c>
      <c r="D117" s="57">
        <v>0</v>
      </c>
      <c r="E117" s="12"/>
      <c r="F117" s="12" t="s">
        <v>117</v>
      </c>
      <c r="G117" s="56">
        <f>+G115</f>
        <v>1</v>
      </c>
      <c r="H117" s="26"/>
      <c r="I117" s="29">
        <f>D117*G117</f>
        <v>0</v>
      </c>
      <c r="J117" s="12"/>
      <c r="K117" s="60"/>
    </row>
    <row r="118" spans="1:11">
      <c r="A118" s="14">
        <v>24</v>
      </c>
      <c r="B118" s="22" t="s">
        <v>124</v>
      </c>
      <c r="C118" s="12"/>
      <c r="D118" s="69">
        <f>SUM(D113:D117)</f>
        <v>-497971316.83941001</v>
      </c>
      <c r="E118" s="12"/>
      <c r="F118" s="12"/>
      <c r="G118" s="26"/>
      <c r="H118" s="26"/>
      <c r="I118" s="26">
        <f>SUM(I113:I117)</f>
        <v>-497971316.83941001</v>
      </c>
      <c r="J118" s="12"/>
      <c r="K118" s="12"/>
    </row>
    <row r="119" spans="1:11">
      <c r="A119" s="14"/>
      <c r="B119" s="3"/>
      <c r="C119" s="12"/>
      <c r="D119" s="3"/>
      <c r="E119" s="12"/>
      <c r="F119" s="12"/>
      <c r="G119" s="60"/>
      <c r="H119" s="12"/>
      <c r="I119" s="3"/>
      <c r="J119" s="12"/>
      <c r="K119" s="60"/>
    </row>
    <row r="120" spans="1:11">
      <c r="A120" s="14">
        <v>25</v>
      </c>
      <c r="B120" s="4" t="s">
        <v>125</v>
      </c>
      <c r="C120" s="63" t="s">
        <v>126</v>
      </c>
      <c r="D120" s="70">
        <v>12986238</v>
      </c>
      <c r="E120" s="12"/>
      <c r="F120" s="12" t="s">
        <v>19</v>
      </c>
      <c r="G120" s="56">
        <f>+G96</f>
        <v>1</v>
      </c>
      <c r="H120" s="26"/>
      <c r="I120" s="26">
        <f>+G120*D120</f>
        <v>12986238</v>
      </c>
      <c r="J120" s="12"/>
      <c r="K120" s="12"/>
    </row>
    <row r="121" spans="1:11">
      <c r="A121" s="14"/>
      <c r="B121" s="22"/>
      <c r="C121" s="12"/>
      <c r="D121" s="12"/>
      <c r="E121" s="12"/>
      <c r="F121" s="12"/>
      <c r="G121" s="26"/>
      <c r="H121" s="26"/>
      <c r="I121" s="26"/>
      <c r="J121" s="12"/>
      <c r="K121" s="12"/>
    </row>
    <row r="122" spans="1:11">
      <c r="A122" s="14"/>
      <c r="B122" s="22" t="s">
        <v>127</v>
      </c>
      <c r="C122" s="12" t="s">
        <v>3</v>
      </c>
      <c r="D122" s="12"/>
      <c r="E122" s="12"/>
      <c r="F122" s="12"/>
      <c r="G122" s="26"/>
      <c r="H122" s="26"/>
      <c r="I122" s="26"/>
      <c r="J122" s="12"/>
      <c r="K122" s="12"/>
    </row>
    <row r="123" spans="1:11">
      <c r="A123" s="14">
        <v>26</v>
      </c>
      <c r="B123" s="22" t="s">
        <v>128</v>
      </c>
      <c r="C123" s="3" t="s">
        <v>129</v>
      </c>
      <c r="D123" s="23">
        <f>+D165/8</f>
        <v>19748492.524999999</v>
      </c>
      <c r="E123" s="23"/>
      <c r="F123" s="23"/>
      <c r="G123" s="71"/>
      <c r="H123" s="72"/>
      <c r="I123" s="72">
        <f>+I165/8</f>
        <v>18277310.496345218</v>
      </c>
      <c r="J123" s="11"/>
      <c r="K123" s="60"/>
    </row>
    <row r="124" spans="1:11">
      <c r="A124" s="14">
        <v>27</v>
      </c>
      <c r="B124" s="22" t="s">
        <v>130</v>
      </c>
      <c r="C124" s="63" t="s">
        <v>131</v>
      </c>
      <c r="D124" s="28">
        <v>2415673.7676923075</v>
      </c>
      <c r="E124" s="12"/>
      <c r="F124" s="12" t="s">
        <v>132</v>
      </c>
      <c r="G124" s="56">
        <f>I240</f>
        <v>0.89871170563422742</v>
      </c>
      <c r="H124" s="26"/>
      <c r="I124" s="26">
        <f>+G124*D124</f>
        <v>2170994.2920186142</v>
      </c>
      <c r="J124" s="12" t="s">
        <v>3</v>
      </c>
      <c r="K124" s="60"/>
    </row>
    <row r="125" spans="1:11" ht="16.5" thickBot="1">
      <c r="A125" s="14">
        <v>28</v>
      </c>
      <c r="B125" s="22" t="s">
        <v>133</v>
      </c>
      <c r="C125" s="26" t="s">
        <v>134</v>
      </c>
      <c r="D125" s="57">
        <v>6643458.8600000003</v>
      </c>
      <c r="E125" s="12"/>
      <c r="F125" s="12" t="s">
        <v>135</v>
      </c>
      <c r="G125" s="56">
        <f>+G92</f>
        <v>1</v>
      </c>
      <c r="H125" s="26"/>
      <c r="I125" s="29">
        <f>+G125*D125</f>
        <v>6643458.8600000003</v>
      </c>
      <c r="J125" s="12"/>
      <c r="K125" s="60"/>
    </row>
    <row r="126" spans="1:11">
      <c r="A126" s="14">
        <v>29</v>
      </c>
      <c r="B126" s="22" t="s">
        <v>136</v>
      </c>
      <c r="C126" s="11"/>
      <c r="D126" s="12">
        <f>SUM(D123:D125)</f>
        <v>28807625.152692307</v>
      </c>
      <c r="E126" s="11"/>
      <c r="F126" s="11"/>
      <c r="G126" s="74"/>
      <c r="H126" s="74"/>
      <c r="I126" s="26">
        <f>I123+I124+I125</f>
        <v>27091763.648363832</v>
      </c>
      <c r="J126" s="11"/>
      <c r="K126" s="11"/>
    </row>
    <row r="127" spans="1:11" ht="16.5" thickBot="1">
      <c r="A127" s="3"/>
      <c r="B127" s="3"/>
      <c r="C127" s="12"/>
      <c r="D127" s="75"/>
      <c r="E127" s="12"/>
      <c r="F127" s="12"/>
      <c r="G127" s="12"/>
      <c r="H127" s="12"/>
      <c r="I127" s="75"/>
      <c r="J127" s="12"/>
      <c r="K127" s="12"/>
    </row>
    <row r="128" spans="1:11" ht="16.5" thickBot="1">
      <c r="A128" s="14">
        <v>30</v>
      </c>
      <c r="B128" s="22" t="s">
        <v>137</v>
      </c>
      <c r="C128" s="12"/>
      <c r="D128" s="76">
        <f>+D126+D120+D118+D110</f>
        <v>2776057884.4789939</v>
      </c>
      <c r="E128" s="26"/>
      <c r="F128" s="26"/>
      <c r="G128" s="59"/>
      <c r="H128" s="26"/>
      <c r="I128" s="76">
        <f>+I126+I120+I118+I110</f>
        <v>2774342022.9746652</v>
      </c>
      <c r="J128" s="12"/>
      <c r="K128" s="60"/>
    </row>
    <row r="129" spans="1:11" ht="16.5" thickTop="1">
      <c r="A129" s="14"/>
      <c r="B129" s="22"/>
      <c r="C129" s="12"/>
      <c r="D129" s="77"/>
      <c r="E129" s="26"/>
      <c r="F129" s="26"/>
      <c r="G129" s="59"/>
      <c r="H129" s="26"/>
      <c r="I129" s="77"/>
      <c r="J129" s="12"/>
      <c r="K129" s="60"/>
    </row>
    <row r="130" spans="1:11">
      <c r="A130" s="14"/>
      <c r="B130" s="22"/>
      <c r="C130" s="12"/>
      <c r="D130" s="77"/>
      <c r="E130" s="26"/>
      <c r="F130" s="26"/>
      <c r="G130" s="59"/>
      <c r="H130" s="26"/>
      <c r="I130" s="77"/>
      <c r="J130" s="12"/>
      <c r="K130" s="60"/>
    </row>
    <row r="131" spans="1:11">
      <c r="A131" s="14"/>
      <c r="B131" s="22"/>
      <c r="C131" s="12"/>
      <c r="D131" s="77"/>
      <c r="E131" s="26"/>
      <c r="F131" s="26"/>
      <c r="G131" s="59"/>
      <c r="H131" s="26"/>
      <c r="I131" s="77"/>
      <c r="J131" s="12"/>
      <c r="K131" s="60"/>
    </row>
    <row r="132" spans="1:11">
      <c r="A132" s="14"/>
      <c r="B132" s="22"/>
      <c r="C132" s="12"/>
      <c r="D132" s="77"/>
      <c r="E132" s="26"/>
      <c r="F132" s="26"/>
      <c r="G132" s="59"/>
      <c r="H132" s="26"/>
      <c r="I132" s="77"/>
      <c r="J132" s="12"/>
      <c r="K132" s="60"/>
    </row>
    <row r="133" spans="1:11">
      <c r="A133" s="14"/>
      <c r="B133" s="22"/>
      <c r="C133" s="12"/>
      <c r="D133" s="77"/>
      <c r="E133" s="26"/>
      <c r="F133" s="26"/>
      <c r="G133" s="59"/>
      <c r="H133" s="26"/>
      <c r="I133" s="77"/>
      <c r="J133" s="12"/>
      <c r="K133" s="60"/>
    </row>
    <row r="134" spans="1:11">
      <c r="A134" s="14"/>
      <c r="B134" s="22"/>
      <c r="C134" s="12"/>
      <c r="D134" s="77"/>
      <c r="E134" s="26"/>
      <c r="F134" s="26"/>
      <c r="G134" s="59"/>
      <c r="H134" s="26"/>
      <c r="I134" s="77"/>
      <c r="J134" s="12"/>
      <c r="K134" s="60"/>
    </row>
    <row r="135" spans="1:11">
      <c r="A135" s="14"/>
      <c r="B135" s="22"/>
      <c r="C135" s="12"/>
      <c r="D135" s="77"/>
      <c r="E135" s="26"/>
      <c r="F135" s="26"/>
      <c r="G135" s="59"/>
      <c r="H135" s="26"/>
      <c r="I135" s="77"/>
      <c r="J135" s="12"/>
      <c r="K135" s="60"/>
    </row>
    <row r="136" spans="1:11">
      <c r="A136" s="14"/>
      <c r="B136" s="22"/>
      <c r="C136" s="12"/>
      <c r="D136" s="77"/>
      <c r="E136" s="26"/>
      <c r="F136" s="26"/>
      <c r="G136" s="59"/>
      <c r="H136" s="26"/>
      <c r="I136" s="77"/>
      <c r="J136" s="12"/>
      <c r="K136" s="60"/>
    </row>
    <row r="137" spans="1:11">
      <c r="A137" s="14"/>
      <c r="B137" s="22"/>
      <c r="C137" s="12"/>
      <c r="D137" s="77"/>
      <c r="E137" s="26"/>
      <c r="F137" s="26"/>
      <c r="G137" s="59"/>
      <c r="H137" s="26"/>
      <c r="I137" s="77"/>
      <c r="J137" s="12"/>
      <c r="K137" s="60"/>
    </row>
    <row r="138" spans="1:11">
      <c r="A138" s="14"/>
      <c r="B138" s="22"/>
      <c r="C138" s="12"/>
      <c r="D138" s="77"/>
      <c r="E138" s="26"/>
      <c r="F138" s="26"/>
      <c r="G138" s="59"/>
      <c r="H138" s="26"/>
      <c r="I138" s="77"/>
      <c r="J138" s="12"/>
      <c r="K138" s="60"/>
    </row>
    <row r="139" spans="1:11">
      <c r="A139" s="14"/>
      <c r="B139" s="22"/>
      <c r="C139" s="12"/>
      <c r="D139" s="77"/>
      <c r="E139" s="26"/>
      <c r="F139" s="26"/>
      <c r="G139" s="59"/>
      <c r="H139" s="26"/>
      <c r="I139" s="77"/>
      <c r="J139" s="12"/>
      <c r="K139" s="60"/>
    </row>
    <row r="140" spans="1:11">
      <c r="A140" s="14"/>
      <c r="B140" s="22"/>
      <c r="C140" s="12"/>
      <c r="D140" s="77"/>
      <c r="E140" s="26"/>
      <c r="F140" s="26"/>
      <c r="G140" s="59"/>
      <c r="H140" s="26"/>
      <c r="I140" s="77"/>
      <c r="J140" s="12"/>
      <c r="K140" s="60"/>
    </row>
    <row r="141" spans="1:11">
      <c r="A141" s="14"/>
      <c r="B141" s="22"/>
      <c r="C141" s="12"/>
      <c r="D141" s="77"/>
      <c r="E141" s="26"/>
      <c r="F141" s="26"/>
      <c r="G141" s="59"/>
      <c r="H141" s="26"/>
      <c r="I141" s="77"/>
      <c r="J141" s="12"/>
      <c r="K141" s="60"/>
    </row>
    <row r="142" spans="1:11">
      <c r="A142" s="14"/>
      <c r="B142" s="22"/>
      <c r="C142" s="12"/>
      <c r="D142" s="77"/>
      <c r="E142" s="26"/>
      <c r="F142" s="26"/>
      <c r="G142" s="59"/>
      <c r="H142" s="26"/>
      <c r="I142" s="77"/>
      <c r="J142" s="12"/>
      <c r="K142" s="60"/>
    </row>
    <row r="143" spans="1:11">
      <c r="A143" s="14"/>
      <c r="B143" s="22"/>
      <c r="C143" s="12"/>
      <c r="D143" s="77"/>
      <c r="E143" s="26"/>
      <c r="F143" s="26"/>
      <c r="G143" s="59"/>
      <c r="H143" s="26"/>
      <c r="I143" s="77"/>
      <c r="J143" s="12"/>
      <c r="K143" s="60"/>
    </row>
    <row r="144" spans="1:11">
      <c r="A144" s="14"/>
      <c r="B144" s="22"/>
      <c r="C144" s="12"/>
      <c r="D144" s="77"/>
      <c r="E144" s="26"/>
      <c r="F144" s="26"/>
      <c r="G144" s="59"/>
      <c r="H144" s="26"/>
      <c r="I144" s="77"/>
      <c r="J144" s="12"/>
      <c r="K144" s="60"/>
    </row>
    <row r="145" spans="1:11">
      <c r="A145" s="14"/>
      <c r="B145" s="22"/>
      <c r="C145" s="12"/>
      <c r="D145" s="77"/>
      <c r="E145" s="26"/>
      <c r="F145" s="26"/>
      <c r="G145" s="59"/>
      <c r="H145" s="26"/>
      <c r="I145" s="77"/>
      <c r="J145" s="12"/>
      <c r="K145" s="60"/>
    </row>
    <row r="146" spans="1:11">
      <c r="A146" s="14"/>
      <c r="B146" s="22"/>
      <c r="C146" s="12"/>
      <c r="D146" s="12"/>
      <c r="E146" s="12"/>
      <c r="F146" s="12"/>
      <c r="G146" s="12"/>
      <c r="H146" s="12"/>
      <c r="I146" s="12"/>
      <c r="J146" s="12"/>
      <c r="K146" s="78" t="s">
        <v>138</v>
      </c>
    </row>
    <row r="147" spans="1:11">
      <c r="A147" s="14"/>
      <c r="B147" s="22"/>
      <c r="C147" s="12"/>
      <c r="D147" s="12"/>
      <c r="E147" s="12"/>
      <c r="F147" s="12"/>
      <c r="G147" s="12"/>
      <c r="H147" s="12"/>
      <c r="I147" s="12"/>
      <c r="J147" s="12"/>
      <c r="K147" s="78"/>
    </row>
    <row r="148" spans="1:11">
      <c r="A148" s="14"/>
      <c r="B148" s="22" t="s">
        <v>1</v>
      </c>
      <c r="C148" s="12"/>
      <c r="D148" s="12" t="s">
        <v>2</v>
      </c>
      <c r="E148" s="12"/>
      <c r="F148" s="12"/>
      <c r="G148" s="12"/>
      <c r="H148" s="12"/>
      <c r="J148" s="12"/>
      <c r="K148" s="47" t="str">
        <f>$K$3</f>
        <v>For the 12 months ended 12/31/2013</v>
      </c>
    </row>
    <row r="149" spans="1:11">
      <c r="A149" s="14"/>
      <c r="B149" s="22"/>
      <c r="C149" s="12"/>
      <c r="D149" s="12" t="s">
        <v>4</v>
      </c>
      <c r="E149" s="12"/>
      <c r="F149" s="12"/>
      <c r="G149" s="12"/>
      <c r="H149" s="12"/>
      <c r="I149" s="12"/>
      <c r="J149" s="12"/>
      <c r="K149" s="12"/>
    </row>
    <row r="150" spans="1:11">
      <c r="A150" s="14"/>
      <c r="B150" s="3"/>
      <c r="C150" s="12"/>
      <c r="D150" s="12"/>
      <c r="E150" s="12"/>
      <c r="F150" s="12"/>
      <c r="G150" s="12"/>
      <c r="H150" s="12"/>
      <c r="I150" s="12"/>
      <c r="J150" s="12"/>
      <c r="K150" s="12"/>
    </row>
    <row r="151" spans="1:11">
      <c r="A151" s="719" t="str">
        <f>A6</f>
        <v>American Transmission Company LLC</v>
      </c>
      <c r="B151" s="719"/>
      <c r="C151" s="719"/>
      <c r="D151" s="719"/>
      <c r="E151" s="719"/>
      <c r="F151" s="719"/>
      <c r="G151" s="719"/>
      <c r="H151" s="719"/>
      <c r="I151" s="719"/>
      <c r="J151" s="719"/>
      <c r="K151" s="719"/>
    </row>
    <row r="152" spans="1:11">
      <c r="A152" s="14"/>
      <c r="B152" s="48" t="s">
        <v>62</v>
      </c>
      <c r="C152" s="48" t="s">
        <v>63</v>
      </c>
      <c r="D152" s="48" t="s">
        <v>64</v>
      </c>
      <c r="E152" s="12" t="s">
        <v>3</v>
      </c>
      <c r="F152" s="12"/>
      <c r="G152" s="49" t="s">
        <v>65</v>
      </c>
      <c r="H152" s="12"/>
      <c r="I152" s="16" t="s">
        <v>66</v>
      </c>
      <c r="J152" s="12"/>
      <c r="K152" s="12"/>
    </row>
    <row r="153" spans="1:11">
      <c r="A153" s="14" t="s">
        <v>8</v>
      </c>
      <c r="B153" s="22"/>
      <c r="C153" s="50" t="s">
        <v>67</v>
      </c>
      <c r="D153" s="12"/>
      <c r="E153" s="12"/>
      <c r="F153" s="12"/>
      <c r="G153" s="14"/>
      <c r="H153" s="12"/>
      <c r="I153" s="51" t="s">
        <v>68</v>
      </c>
      <c r="J153" s="12"/>
      <c r="K153" s="51"/>
    </row>
    <row r="154" spans="1:11" ht="16.5" thickBot="1">
      <c r="A154" s="18" t="s">
        <v>10</v>
      </c>
      <c r="B154" s="22"/>
      <c r="C154" s="52" t="s">
        <v>69</v>
      </c>
      <c r="D154" s="51" t="s">
        <v>70</v>
      </c>
      <c r="E154" s="53"/>
      <c r="F154" s="51" t="s">
        <v>71</v>
      </c>
      <c r="G154" s="3"/>
      <c r="H154" s="53"/>
      <c r="I154" s="14" t="s">
        <v>72</v>
      </c>
      <c r="J154" s="12"/>
      <c r="K154" s="51"/>
    </row>
    <row r="155" spans="1:11">
      <c r="A155" s="14"/>
      <c r="B155" s="22" t="s">
        <v>139</v>
      </c>
      <c r="C155" s="12"/>
      <c r="D155" s="12"/>
      <c r="E155" s="12"/>
      <c r="F155" s="12"/>
      <c r="G155" s="12"/>
      <c r="H155" s="12"/>
      <c r="I155" s="12"/>
      <c r="J155" s="12"/>
      <c r="K155" s="12"/>
    </row>
    <row r="156" spans="1:11">
      <c r="A156" s="14">
        <v>1</v>
      </c>
      <c r="B156" s="22" t="s">
        <v>140</v>
      </c>
      <c r="C156" s="12" t="s">
        <v>141</v>
      </c>
      <c r="D156" s="561">
        <v>115686187.06999999</v>
      </c>
      <c r="E156" s="12"/>
      <c r="F156" s="12" t="s">
        <v>132</v>
      </c>
      <c r="G156" s="56">
        <f>I240</f>
        <v>0.89871170563422742</v>
      </c>
      <c r="H156" s="26"/>
      <c r="I156" s="26">
        <f t="shared" ref="I156:I164" si="1">+G156*D156</f>
        <v>103968530.5</v>
      </c>
      <c r="J156" s="11"/>
      <c r="K156" s="12"/>
    </row>
    <row r="157" spans="1:11">
      <c r="A157" s="14" t="s">
        <v>142</v>
      </c>
      <c r="B157" s="79" t="s">
        <v>143</v>
      </c>
      <c r="C157" s="23"/>
      <c r="D157" s="561">
        <v>0</v>
      </c>
      <c r="E157" s="12"/>
      <c r="F157" s="80"/>
      <c r="G157" s="71">
        <v>1</v>
      </c>
      <c r="H157" s="26"/>
      <c r="I157" s="26">
        <f t="shared" si="1"/>
        <v>0</v>
      </c>
      <c r="J157" s="11"/>
      <c r="K157" s="12"/>
    </row>
    <row r="158" spans="1:11">
      <c r="A158" s="14">
        <v>2</v>
      </c>
      <c r="B158" s="22" t="s">
        <v>144</v>
      </c>
      <c r="C158" s="12" t="s">
        <v>145</v>
      </c>
      <c r="D158" s="561">
        <v>0</v>
      </c>
      <c r="E158" s="12"/>
      <c r="F158" s="12" t="s">
        <v>3</v>
      </c>
      <c r="G158" s="56">
        <v>1</v>
      </c>
      <c r="H158" s="26"/>
      <c r="I158" s="26">
        <f t="shared" si="1"/>
        <v>0</v>
      </c>
      <c r="J158" s="11"/>
      <c r="K158" s="12"/>
    </row>
    <row r="159" spans="1:11">
      <c r="A159" s="14">
        <v>3</v>
      </c>
      <c r="B159" s="22" t="s">
        <v>146</v>
      </c>
      <c r="C159" s="12" t="s">
        <v>147</v>
      </c>
      <c r="D159" s="561">
        <v>42903711.810000002</v>
      </c>
      <c r="E159" s="12"/>
      <c r="F159" s="12" t="s">
        <v>87</v>
      </c>
      <c r="G159" s="56">
        <f>+G99</f>
        <v>1</v>
      </c>
      <c r="H159" s="26"/>
      <c r="I159" s="26">
        <f t="shared" si="1"/>
        <v>42903711.810000002</v>
      </c>
      <c r="J159" s="12"/>
      <c r="K159" s="12" t="s">
        <v>3</v>
      </c>
    </row>
    <row r="160" spans="1:11">
      <c r="A160" s="14">
        <v>4</v>
      </c>
      <c r="B160" s="22" t="s">
        <v>148</v>
      </c>
      <c r="C160" s="12"/>
      <c r="D160" s="563">
        <v>0</v>
      </c>
      <c r="E160" s="12"/>
      <c r="F160" s="12" t="s">
        <v>87</v>
      </c>
      <c r="G160" s="56">
        <f>+G159</f>
        <v>1</v>
      </c>
      <c r="H160" s="26"/>
      <c r="I160" s="26">
        <f t="shared" si="1"/>
        <v>0</v>
      </c>
      <c r="J160" s="12"/>
      <c r="K160" s="12"/>
    </row>
    <row r="161" spans="1:11">
      <c r="A161" s="14">
        <v>5</v>
      </c>
      <c r="B161" s="79" t="s">
        <v>149</v>
      </c>
      <c r="C161" s="23"/>
      <c r="D161" s="563">
        <v>1113366.83</v>
      </c>
      <c r="E161" s="12"/>
      <c r="F161" s="12" t="s">
        <v>87</v>
      </c>
      <c r="G161" s="56">
        <f>+G160</f>
        <v>1</v>
      </c>
      <c r="H161" s="26"/>
      <c r="I161" s="26">
        <f t="shared" si="1"/>
        <v>1113366.83</v>
      </c>
      <c r="J161" s="12"/>
      <c r="K161" s="12"/>
    </row>
    <row r="162" spans="1:11">
      <c r="A162" s="14" t="s">
        <v>150</v>
      </c>
      <c r="B162" s="79" t="s">
        <v>151</v>
      </c>
      <c r="C162" s="23"/>
      <c r="D162" s="561">
        <v>511408.15</v>
      </c>
      <c r="E162" s="12"/>
      <c r="F162" s="81" t="s">
        <v>132</v>
      </c>
      <c r="G162" s="71">
        <f>+G156</f>
        <v>0.89871170563422742</v>
      </c>
      <c r="H162" s="26"/>
      <c r="I162" s="26">
        <f t="shared" si="1"/>
        <v>459608.49076174485</v>
      </c>
      <c r="J162" s="12"/>
      <c r="K162" s="12"/>
    </row>
    <row r="163" spans="1:11">
      <c r="A163" s="14">
        <v>6</v>
      </c>
      <c r="B163" s="22" t="s">
        <v>88</v>
      </c>
      <c r="C163" s="12" t="s">
        <v>89</v>
      </c>
      <c r="D163" s="561">
        <v>0</v>
      </c>
      <c r="E163" s="12"/>
      <c r="F163" s="12" t="s">
        <v>90</v>
      </c>
      <c r="G163" s="56">
        <f>+G100</f>
        <v>1</v>
      </c>
      <c r="H163" s="26"/>
      <c r="I163" s="26">
        <f t="shared" si="1"/>
        <v>0</v>
      </c>
      <c r="J163" s="12"/>
      <c r="K163" s="12"/>
    </row>
    <row r="164" spans="1:11" ht="16.5" thickBot="1">
      <c r="A164" s="14">
        <v>7</v>
      </c>
      <c r="B164" s="22" t="s">
        <v>152</v>
      </c>
      <c r="C164" s="12"/>
      <c r="D164" s="562">
        <v>0</v>
      </c>
      <c r="E164" s="12"/>
      <c r="F164" s="12" t="s">
        <v>3</v>
      </c>
      <c r="G164" s="56">
        <v>1</v>
      </c>
      <c r="H164" s="26"/>
      <c r="I164" s="29">
        <f t="shared" si="1"/>
        <v>0</v>
      </c>
      <c r="J164" s="12"/>
      <c r="K164" s="12"/>
    </row>
    <row r="165" spans="1:11">
      <c r="A165" s="14">
        <v>8</v>
      </c>
      <c r="B165" s="22" t="s">
        <v>153</v>
      </c>
      <c r="C165" s="12"/>
      <c r="D165" s="12">
        <f>D156+D159+D162+D163+D164-D158-D160-D161-D157</f>
        <v>157987940.19999999</v>
      </c>
      <c r="E165" s="12"/>
      <c r="F165" s="12"/>
      <c r="G165" s="26"/>
      <c r="H165" s="26"/>
      <c r="I165" s="26">
        <f>+I156-I158+I159-I160-I161+I163+I164+I162-I157</f>
        <v>146218483.97076175</v>
      </c>
      <c r="J165" s="12"/>
      <c r="K165" s="12"/>
    </row>
    <row r="166" spans="1:11">
      <c r="A166" s="14"/>
      <c r="B166" s="3"/>
      <c r="C166" s="12"/>
      <c r="D166" s="3"/>
      <c r="E166" s="12"/>
      <c r="F166" s="12"/>
      <c r="G166" s="12"/>
      <c r="H166" s="12"/>
      <c r="I166" s="3"/>
      <c r="J166" s="12"/>
      <c r="K166" s="12"/>
    </row>
    <row r="167" spans="1:11">
      <c r="A167" s="14"/>
      <c r="B167" s="22" t="s">
        <v>154</v>
      </c>
      <c r="C167" s="12"/>
      <c r="D167" s="12"/>
      <c r="E167" s="12"/>
      <c r="F167" s="12"/>
      <c r="G167" s="12"/>
      <c r="H167" s="12"/>
      <c r="I167" s="12"/>
      <c r="J167" s="12"/>
      <c r="K167" s="12"/>
    </row>
    <row r="168" spans="1:11">
      <c r="A168" s="14">
        <v>9</v>
      </c>
      <c r="B168" s="22" t="s">
        <v>79</v>
      </c>
      <c r="C168" s="63" t="s">
        <v>155</v>
      </c>
      <c r="D168" s="28">
        <v>107651115</v>
      </c>
      <c r="E168" s="12"/>
      <c r="F168" s="12" t="s">
        <v>19</v>
      </c>
      <c r="G168" s="56">
        <f>+G120</f>
        <v>1</v>
      </c>
      <c r="H168" s="26"/>
      <c r="I168" s="26">
        <f>+G168*D168</f>
        <v>107651115</v>
      </c>
      <c r="J168" s="12"/>
      <c r="K168" s="60"/>
    </row>
    <row r="169" spans="1:11">
      <c r="A169" s="14">
        <v>10</v>
      </c>
      <c r="B169" s="65" t="s">
        <v>85</v>
      </c>
      <c r="C169" s="63" t="s">
        <v>156</v>
      </c>
      <c r="D169" s="28">
        <v>7157102</v>
      </c>
      <c r="E169" s="12"/>
      <c r="F169" s="12" t="s">
        <v>87</v>
      </c>
      <c r="G169" s="56">
        <f>+G159</f>
        <v>1</v>
      </c>
      <c r="H169" s="26"/>
      <c r="I169" s="26">
        <f>+G169*D169</f>
        <v>7157102</v>
      </c>
      <c r="J169" s="12"/>
      <c r="K169" s="60"/>
    </row>
    <row r="170" spans="1:11" ht="16.5" thickBot="1">
      <c r="A170" s="14">
        <v>11</v>
      </c>
      <c r="B170" s="22" t="s">
        <v>88</v>
      </c>
      <c r="C170" s="63" t="s">
        <v>157</v>
      </c>
      <c r="D170" s="57">
        <v>0</v>
      </c>
      <c r="E170" s="12"/>
      <c r="F170" s="12" t="s">
        <v>90</v>
      </c>
      <c r="G170" s="56">
        <f>+G163</f>
        <v>1</v>
      </c>
      <c r="H170" s="26"/>
      <c r="I170" s="29">
        <f>+G170*D170</f>
        <v>0</v>
      </c>
      <c r="J170" s="12"/>
      <c r="K170" s="60"/>
    </row>
    <row r="171" spans="1:11">
      <c r="A171" s="14">
        <v>12</v>
      </c>
      <c r="B171" s="22" t="s">
        <v>158</v>
      </c>
      <c r="C171" s="12"/>
      <c r="D171" s="12">
        <f>SUM(D168:D170)</f>
        <v>114808217</v>
      </c>
      <c r="E171" s="12"/>
      <c r="F171" s="12"/>
      <c r="G171" s="26"/>
      <c r="H171" s="26"/>
      <c r="I171" s="26">
        <f>SUM(I168:I170)</f>
        <v>114808217</v>
      </c>
      <c r="J171" s="12"/>
      <c r="K171" s="12"/>
    </row>
    <row r="172" spans="1:11">
      <c r="A172" s="14"/>
      <c r="B172" s="22"/>
      <c r="C172" s="12"/>
      <c r="D172" s="12"/>
      <c r="E172" s="12"/>
      <c r="F172" s="12"/>
      <c r="G172" s="26"/>
      <c r="H172" s="26"/>
      <c r="I172" s="26"/>
      <c r="J172" s="12"/>
      <c r="K172" s="12"/>
    </row>
    <row r="173" spans="1:11">
      <c r="A173" s="14" t="s">
        <v>3</v>
      </c>
      <c r="B173" s="22" t="s">
        <v>159</v>
      </c>
      <c r="C173" s="3"/>
      <c r="D173" s="12"/>
      <c r="E173" s="12"/>
      <c r="F173" s="12"/>
      <c r="G173" s="26"/>
      <c r="H173" s="26"/>
      <c r="I173" s="26"/>
      <c r="J173" s="12"/>
      <c r="K173" s="12"/>
    </row>
    <row r="174" spans="1:11">
      <c r="A174" s="14"/>
      <c r="B174" s="22" t="s">
        <v>160</v>
      </c>
      <c r="C174" s="3"/>
      <c r="D174" s="3"/>
      <c r="E174" s="12"/>
      <c r="F174" s="12"/>
      <c r="G174" s="82"/>
      <c r="H174" s="26"/>
      <c r="I174" s="82"/>
      <c r="J174" s="12"/>
      <c r="K174" s="60"/>
    </row>
    <row r="175" spans="1:11">
      <c r="A175" s="14">
        <v>13</v>
      </c>
      <c r="B175" s="22" t="s">
        <v>161</v>
      </c>
      <c r="C175" s="12" t="s">
        <v>162</v>
      </c>
      <c r="D175" s="28">
        <v>3526048.39</v>
      </c>
      <c r="E175" s="12"/>
      <c r="F175" s="12" t="s">
        <v>87</v>
      </c>
      <c r="G175" s="25">
        <f>+G169</f>
        <v>1</v>
      </c>
      <c r="H175" s="26"/>
      <c r="I175" s="26">
        <f>+G175*D175</f>
        <v>3526048.39</v>
      </c>
      <c r="J175" s="12"/>
      <c r="K175" s="60"/>
    </row>
    <row r="176" spans="1:11">
      <c r="A176" s="14">
        <v>14</v>
      </c>
      <c r="B176" s="22" t="s">
        <v>163</v>
      </c>
      <c r="C176" s="12" t="s">
        <v>162</v>
      </c>
      <c r="D176" s="28">
        <v>0</v>
      </c>
      <c r="E176" s="12"/>
      <c r="F176" s="12" t="s">
        <v>87</v>
      </c>
      <c r="G176" s="25">
        <f>+G175</f>
        <v>1</v>
      </c>
      <c r="H176" s="26"/>
      <c r="I176" s="26">
        <f>+G176*D176</f>
        <v>0</v>
      </c>
      <c r="J176" s="12"/>
      <c r="K176" s="60"/>
    </row>
    <row r="177" spans="1:11">
      <c r="A177" s="14">
        <v>15</v>
      </c>
      <c r="B177" s="22" t="s">
        <v>164</v>
      </c>
      <c r="C177" s="12" t="s">
        <v>3</v>
      </c>
      <c r="D177" s="3"/>
      <c r="E177" s="12"/>
      <c r="F177" s="12"/>
      <c r="G177" s="82"/>
      <c r="H177" s="26"/>
      <c r="I177" s="82"/>
      <c r="J177" s="12"/>
      <c r="K177" s="60"/>
    </row>
    <row r="178" spans="1:11">
      <c r="A178" s="14">
        <v>16</v>
      </c>
      <c r="B178" s="22" t="s">
        <v>165</v>
      </c>
      <c r="C178" s="12" t="s">
        <v>162</v>
      </c>
      <c r="D178" s="28">
        <v>9955067</v>
      </c>
      <c r="E178" s="12"/>
      <c r="F178" s="12" t="s">
        <v>135</v>
      </c>
      <c r="G178" s="25">
        <f>+G92</f>
        <v>1</v>
      </c>
      <c r="H178" s="26"/>
      <c r="I178" s="26">
        <f>+G178*D178</f>
        <v>9955067</v>
      </c>
      <c r="J178" s="12"/>
      <c r="K178" s="60"/>
    </row>
    <row r="179" spans="1:11">
      <c r="A179" s="14">
        <v>17</v>
      </c>
      <c r="B179" s="22" t="s">
        <v>166</v>
      </c>
      <c r="C179" s="12" t="s">
        <v>162</v>
      </c>
      <c r="D179" s="28">
        <v>0</v>
      </c>
      <c r="E179" s="12"/>
      <c r="F179" s="23" t="s">
        <v>77</v>
      </c>
      <c r="G179" s="83" t="s">
        <v>114</v>
      </c>
      <c r="H179" s="26"/>
      <c r="I179" s="26">
        <v>0</v>
      </c>
      <c r="J179" s="12"/>
      <c r="K179" s="60"/>
    </row>
    <row r="180" spans="1:11">
      <c r="A180" s="14">
        <v>18</v>
      </c>
      <c r="B180" s="22" t="s">
        <v>167</v>
      </c>
      <c r="C180" s="12" t="s">
        <v>162</v>
      </c>
      <c r="D180" s="28">
        <v>5602530.9100000001</v>
      </c>
      <c r="E180" s="12"/>
      <c r="F180" s="12" t="s">
        <v>135</v>
      </c>
      <c r="G180" s="25">
        <f>+G178</f>
        <v>1</v>
      </c>
      <c r="H180" s="26"/>
      <c r="I180" s="26">
        <f>+G180*D180</f>
        <v>5602530.9100000001</v>
      </c>
      <c r="J180" s="12"/>
      <c r="K180" s="60"/>
    </row>
    <row r="181" spans="1:11" ht="16.5" thickBot="1">
      <c r="A181" s="14">
        <v>19</v>
      </c>
      <c r="B181" s="22" t="s">
        <v>168</v>
      </c>
      <c r="C181" s="12"/>
      <c r="D181" s="28">
        <v>0</v>
      </c>
      <c r="E181" s="12"/>
      <c r="F181" s="12" t="s">
        <v>135</v>
      </c>
      <c r="G181" s="25">
        <f>+G178</f>
        <v>1</v>
      </c>
      <c r="H181" s="26"/>
      <c r="I181" s="29">
        <f>+G181*D181</f>
        <v>0</v>
      </c>
      <c r="J181" s="12"/>
      <c r="K181" s="60"/>
    </row>
    <row r="182" spans="1:11">
      <c r="A182" s="14">
        <v>20</v>
      </c>
      <c r="B182" s="22" t="s">
        <v>169</v>
      </c>
      <c r="C182" s="12"/>
      <c r="D182" s="12">
        <f>SUM(D175:D181)</f>
        <v>19083646.300000001</v>
      </c>
      <c r="E182" s="12"/>
      <c r="F182" s="12"/>
      <c r="G182" s="25"/>
      <c r="H182" s="26"/>
      <c r="I182" s="26">
        <f>SUM(I175:I181)</f>
        <v>19083646.300000001</v>
      </c>
      <c r="J182" s="12"/>
      <c r="K182" s="12"/>
    </row>
    <row r="183" spans="1:11">
      <c r="A183" s="14"/>
      <c r="B183" s="22"/>
      <c r="C183" s="12"/>
      <c r="D183" s="12"/>
      <c r="E183" s="12"/>
      <c r="F183" s="12"/>
      <c r="G183" s="31"/>
      <c r="H183" s="12"/>
      <c r="I183" s="12"/>
      <c r="J183" s="12"/>
      <c r="K183" s="12"/>
    </row>
    <row r="184" spans="1:11">
      <c r="A184" s="14" t="s">
        <v>3</v>
      </c>
      <c r="B184" s="22" t="s">
        <v>170</v>
      </c>
      <c r="C184" s="12" t="s">
        <v>171</v>
      </c>
      <c r="D184" s="12"/>
      <c r="E184" s="12"/>
      <c r="F184" s="3"/>
      <c r="G184" s="84"/>
      <c r="H184" s="12"/>
      <c r="I184" s="3"/>
      <c r="J184" s="12"/>
      <c r="K184" s="3"/>
    </row>
    <row r="185" spans="1:11">
      <c r="A185" s="14">
        <v>21</v>
      </c>
      <c r="B185" s="85" t="s">
        <v>172</v>
      </c>
      <c r="C185" s="12"/>
      <c r="D185" s="86">
        <f>IF(D312&gt;0,(1-((1-D313)*(1-D312))/(1-D313*D312*D314))*(1-D315),0)</f>
        <v>0.36828277844786217</v>
      </c>
      <c r="E185" s="12"/>
      <c r="F185" s="3"/>
      <c r="G185" s="84"/>
      <c r="H185" s="12"/>
      <c r="I185" s="3"/>
      <c r="J185" s="12"/>
      <c r="K185" s="3"/>
    </row>
    <row r="186" spans="1:11">
      <c r="A186" s="14">
        <v>22</v>
      </c>
      <c r="B186" s="3" t="s">
        <v>173</v>
      </c>
      <c r="C186" s="12"/>
      <c r="D186" s="86">
        <f>IF(I271&gt;0,(D185/(1-D185))*(1-I268/I271),0)</f>
        <v>0.41879185251947609</v>
      </c>
      <c r="E186" s="12"/>
      <c r="F186" s="3"/>
      <c r="G186" s="84"/>
      <c r="H186" s="12"/>
      <c r="I186" s="3"/>
      <c r="J186" s="12"/>
      <c r="K186" s="3"/>
    </row>
    <row r="187" spans="1:11">
      <c r="A187" s="14"/>
      <c r="B187" s="22" t="s">
        <v>174</v>
      </c>
      <c r="C187" s="12"/>
      <c r="D187" s="12"/>
      <c r="E187" s="12"/>
      <c r="F187" s="3"/>
      <c r="G187" s="84"/>
      <c r="H187" s="12"/>
      <c r="I187" s="3"/>
      <c r="J187" s="12"/>
      <c r="K187" s="3"/>
    </row>
    <row r="188" spans="1:11">
      <c r="A188" s="14"/>
      <c r="B188" s="22" t="s">
        <v>175</v>
      </c>
      <c r="C188" s="12"/>
      <c r="D188" s="12"/>
      <c r="E188" s="12"/>
      <c r="F188" s="3"/>
      <c r="G188" s="84"/>
      <c r="H188" s="12"/>
      <c r="I188" s="3"/>
      <c r="J188" s="12"/>
      <c r="K188" s="3"/>
    </row>
    <row r="189" spans="1:11">
      <c r="A189" s="14">
        <v>23</v>
      </c>
      <c r="B189" s="85" t="s">
        <v>176</v>
      </c>
      <c r="C189" s="12"/>
      <c r="D189" s="87">
        <f>IF(D185&gt;0,1/(1-D185),0)</f>
        <v>1.5829867635126147</v>
      </c>
      <c r="E189" s="12"/>
      <c r="F189" s="3"/>
      <c r="G189" s="84"/>
      <c r="H189" s="12"/>
      <c r="I189" s="3"/>
      <c r="J189" s="12"/>
      <c r="K189" s="3"/>
    </row>
    <row r="190" spans="1:11">
      <c r="A190" s="14">
        <v>24</v>
      </c>
      <c r="B190" s="22" t="s">
        <v>177</v>
      </c>
      <c r="C190" s="12"/>
      <c r="D190" s="28">
        <v>-163479</v>
      </c>
      <c r="E190" s="12"/>
      <c r="F190" s="3"/>
      <c r="G190" s="84"/>
      <c r="H190" s="12"/>
      <c r="I190" s="3"/>
      <c r="J190" s="12"/>
      <c r="K190" s="3"/>
    </row>
    <row r="191" spans="1:11">
      <c r="A191" s="14" t="s">
        <v>178</v>
      </c>
      <c r="B191" s="22" t="s">
        <v>179</v>
      </c>
      <c r="C191" s="12"/>
      <c r="D191" s="561">
        <f>'Excess Deferreds'!B20</f>
        <v>39060</v>
      </c>
      <c r="E191" s="12"/>
      <c r="F191" s="3"/>
      <c r="G191" s="88"/>
      <c r="H191" s="12"/>
      <c r="I191" s="3"/>
      <c r="J191" s="12"/>
      <c r="K191" s="3"/>
    </row>
    <row r="192" spans="1:11">
      <c r="A192" s="14" t="s">
        <v>180</v>
      </c>
      <c r="B192" s="65" t="s">
        <v>821</v>
      </c>
      <c r="C192" s="12"/>
      <c r="D192" s="561">
        <f>Permanent!B21</f>
        <v>288613</v>
      </c>
      <c r="E192" s="12"/>
      <c r="F192" s="3"/>
      <c r="G192" s="84"/>
      <c r="H192" s="12"/>
      <c r="I192" s="3"/>
      <c r="J192" s="12"/>
      <c r="K192" s="3"/>
    </row>
    <row r="193" spans="1:11">
      <c r="A193" s="14">
        <v>25</v>
      </c>
      <c r="B193" s="85" t="s">
        <v>181</v>
      </c>
      <c r="C193" s="89"/>
      <c r="D193" s="26">
        <f>D186*D199</f>
        <v>98722705.08516115</v>
      </c>
      <c r="E193" s="26"/>
      <c r="F193" s="26" t="s">
        <v>77</v>
      </c>
      <c r="G193" s="25"/>
      <c r="H193" s="26"/>
      <c r="I193" s="26">
        <f>D186*I199</f>
        <v>98661685.287913442</v>
      </c>
      <c r="J193" s="12"/>
      <c r="K193" s="90" t="s">
        <v>3</v>
      </c>
    </row>
    <row r="194" spans="1:11">
      <c r="A194" s="14">
        <v>26</v>
      </c>
      <c r="B194" s="3" t="s">
        <v>182</v>
      </c>
      <c r="C194" s="89"/>
      <c r="D194" s="77">
        <f>D189*D190</f>
        <v>-258785.09311227873</v>
      </c>
      <c r="E194" s="26"/>
      <c r="F194" s="82" t="s">
        <v>117</v>
      </c>
      <c r="G194" s="25">
        <f>G110</f>
        <v>1</v>
      </c>
      <c r="H194" s="26"/>
      <c r="I194" s="77">
        <f>G194*D194</f>
        <v>-258785.09311227873</v>
      </c>
      <c r="J194" s="12"/>
      <c r="K194" s="90"/>
    </row>
    <row r="195" spans="1:11">
      <c r="A195" s="14" t="s">
        <v>183</v>
      </c>
      <c r="B195" s="3" t="s">
        <v>184</v>
      </c>
      <c r="C195" s="89"/>
      <c r="D195" s="77">
        <f>D189*D191</f>
        <v>61831.462982802732</v>
      </c>
      <c r="E195" s="26"/>
      <c r="F195" s="82" t="s">
        <v>117</v>
      </c>
      <c r="G195" s="25">
        <f>G194</f>
        <v>1</v>
      </c>
      <c r="H195" s="26"/>
      <c r="I195" s="77">
        <f>G195*D195</f>
        <v>61831.462982802732</v>
      </c>
      <c r="J195" s="12"/>
      <c r="K195" s="90"/>
    </row>
    <row r="196" spans="1:11" ht="16.5" thickBot="1">
      <c r="A196" s="14" t="s">
        <v>185</v>
      </c>
      <c r="B196" s="3" t="s">
        <v>186</v>
      </c>
      <c r="C196" s="89"/>
      <c r="D196" s="29">
        <f>D189*D192</f>
        <v>456870.55877766624</v>
      </c>
      <c r="E196" s="26"/>
      <c r="F196" s="82" t="s">
        <v>117</v>
      </c>
      <c r="G196" s="25">
        <f>G195</f>
        <v>1</v>
      </c>
      <c r="H196" s="26"/>
      <c r="I196" s="29">
        <f>G196*D196</f>
        <v>456870.55877766624</v>
      </c>
      <c r="J196" s="12"/>
      <c r="K196" s="90"/>
    </row>
    <row r="197" spans="1:11">
      <c r="A197" s="14">
        <v>27</v>
      </c>
      <c r="B197" s="91" t="s">
        <v>187</v>
      </c>
      <c r="C197" s="3"/>
      <c r="D197" s="92">
        <f>SUM(D193:D196)</f>
        <v>98982622.013809338</v>
      </c>
      <c r="E197" s="26"/>
      <c r="F197" s="26" t="s">
        <v>3</v>
      </c>
      <c r="G197" s="25" t="s">
        <v>3</v>
      </c>
      <c r="H197" s="26"/>
      <c r="I197" s="92">
        <f>SUM(I193:I196)</f>
        <v>98921602.21656163</v>
      </c>
      <c r="J197" s="12"/>
      <c r="K197" s="12"/>
    </row>
    <row r="198" spans="1:11">
      <c r="A198" s="14" t="s">
        <v>3</v>
      </c>
      <c r="B198" s="3"/>
      <c r="C198" s="93"/>
      <c r="D198" s="94"/>
      <c r="E198" s="12"/>
      <c r="F198" s="12"/>
      <c r="G198" s="31"/>
      <c r="H198" s="12"/>
      <c r="I198" s="94"/>
      <c r="J198" s="12"/>
      <c r="K198" s="12"/>
    </row>
    <row r="199" spans="1:11">
      <c r="A199" s="14">
        <v>28</v>
      </c>
      <c r="B199" s="22" t="s">
        <v>188</v>
      </c>
      <c r="C199" s="60"/>
      <c r="D199" s="26">
        <f>+$I271*D128</f>
        <v>235732153.07613945</v>
      </c>
      <c r="E199" s="26"/>
      <c r="F199" s="26" t="s">
        <v>77</v>
      </c>
      <c r="G199" s="95"/>
      <c r="H199" s="26"/>
      <c r="I199" s="26">
        <f>+$I271*I128</f>
        <v>235586448.71995243</v>
      </c>
      <c r="J199" s="12"/>
      <c r="K199" s="3"/>
    </row>
    <row r="200" spans="1:11">
      <c r="A200" s="14"/>
      <c r="B200" s="91" t="s">
        <v>189</v>
      </c>
      <c r="C200" s="3"/>
      <c r="D200" s="26"/>
      <c r="E200" s="26"/>
      <c r="F200" s="26"/>
      <c r="G200" s="95"/>
      <c r="H200" s="26"/>
      <c r="I200" s="26"/>
      <c r="J200" s="12"/>
      <c r="K200" s="60"/>
    </row>
    <row r="201" spans="1:11">
      <c r="A201" s="14"/>
      <c r="B201" s="22"/>
      <c r="C201" s="3"/>
      <c r="D201" s="77"/>
      <c r="E201" s="26"/>
      <c r="F201" s="26"/>
      <c r="G201" s="95"/>
      <c r="H201" s="26"/>
      <c r="I201" s="77"/>
      <c r="J201" s="12"/>
      <c r="K201" s="60"/>
    </row>
    <row r="202" spans="1:11">
      <c r="A202" s="14">
        <v>29</v>
      </c>
      <c r="B202" s="22" t="s">
        <v>190</v>
      </c>
      <c r="C202" s="12"/>
      <c r="D202" s="77">
        <f>+D199+D197+D182+D171+D165</f>
        <v>626594578.58994877</v>
      </c>
      <c r="E202" s="26"/>
      <c r="F202" s="26"/>
      <c r="G202" s="26"/>
      <c r="H202" s="26"/>
      <c r="I202" s="77">
        <f>+I199+I197+I182+I171+I165</f>
        <v>614618398.20727587</v>
      </c>
      <c r="J202" s="11"/>
      <c r="K202" s="11"/>
    </row>
    <row r="203" spans="1:11">
      <c r="A203" s="14"/>
      <c r="B203" s="22"/>
      <c r="C203" s="12"/>
      <c r="D203" s="77"/>
      <c r="E203" s="26"/>
      <c r="F203" s="26"/>
      <c r="G203" s="26"/>
      <c r="H203" s="26"/>
      <c r="I203" s="77"/>
      <c r="J203" s="11"/>
      <c r="K203" s="11"/>
    </row>
    <row r="204" spans="1:11">
      <c r="A204" s="96">
        <v>30</v>
      </c>
      <c r="B204" s="97" t="s">
        <v>191</v>
      </c>
      <c r="C204" s="26"/>
      <c r="D204" s="98"/>
      <c r="E204" s="99"/>
      <c r="F204" s="99"/>
      <c r="G204" s="99"/>
      <c r="H204" s="99"/>
      <c r="I204" s="98"/>
      <c r="J204" s="11"/>
      <c r="K204" s="11"/>
    </row>
    <row r="205" spans="1:11">
      <c r="A205" s="96"/>
      <c r="B205" s="722" t="s">
        <v>192</v>
      </c>
      <c r="C205" s="722"/>
      <c r="D205" s="100"/>
      <c r="E205" s="100"/>
      <c r="F205" s="100"/>
      <c r="G205" s="100"/>
      <c r="H205" s="100"/>
      <c r="I205" s="100"/>
      <c r="J205" s="11"/>
      <c r="K205" s="11"/>
    </row>
    <row r="206" spans="1:11">
      <c r="A206" s="96"/>
      <c r="B206" s="101" t="s">
        <v>193</v>
      </c>
      <c r="C206" s="26"/>
      <c r="D206" s="28">
        <f>'ATC Attach GG ER13-2297'!N101</f>
        <v>84167618.542628825</v>
      </c>
      <c r="E206" s="26"/>
      <c r="F206" s="26"/>
      <c r="G206" s="26"/>
      <c r="H206" s="26"/>
      <c r="I206" s="102">
        <f>+D206</f>
        <v>84167618.542628825</v>
      </c>
      <c r="J206" s="11"/>
      <c r="K206" s="11"/>
    </row>
    <row r="207" spans="1:11">
      <c r="A207" s="14"/>
      <c r="B207" s="22"/>
      <c r="C207" s="12"/>
      <c r="D207" s="77"/>
      <c r="E207" s="26"/>
      <c r="F207" s="26"/>
      <c r="G207" s="26"/>
      <c r="H207" s="26"/>
      <c r="I207" s="77"/>
      <c r="J207" s="11"/>
      <c r="K207" s="11"/>
    </row>
    <row r="208" spans="1:11" s="100" customFormat="1" ht="15.75" customHeight="1">
      <c r="A208" s="96" t="s">
        <v>194</v>
      </c>
      <c r="B208" s="97" t="s">
        <v>195</v>
      </c>
      <c r="C208" s="26"/>
      <c r="D208" s="98"/>
      <c r="E208" s="99"/>
      <c r="F208" s="99"/>
      <c r="G208" s="99"/>
      <c r="H208" s="99"/>
      <c r="I208" s="98"/>
      <c r="J208" s="103"/>
      <c r="K208" s="104"/>
    </row>
    <row r="209" spans="1:11" s="100" customFormat="1">
      <c r="A209" s="96"/>
      <c r="B209" s="722" t="s">
        <v>192</v>
      </c>
      <c r="C209" s="722"/>
      <c r="J209" s="103"/>
      <c r="K209" s="104"/>
    </row>
    <row r="210" spans="1:11" s="100" customFormat="1" ht="16.5" thickBot="1">
      <c r="A210" s="96"/>
      <c r="B210" s="101" t="s">
        <v>196</v>
      </c>
      <c r="C210" s="26"/>
      <c r="D210" s="28">
        <f>'ATC Attach MM ER13-12'!R100</f>
        <v>4976053.0279627256</v>
      </c>
      <c r="E210" s="26"/>
      <c r="F210" s="26"/>
      <c r="G210" s="26"/>
      <c r="H210" s="26"/>
      <c r="I210" s="105">
        <f>+D210</f>
        <v>4976053.0279627256</v>
      </c>
      <c r="J210" s="103"/>
      <c r="K210" s="104"/>
    </row>
    <row r="211" spans="1:11" s="100" customFormat="1" ht="16.5" thickBot="1">
      <c r="A211" s="96">
        <v>31</v>
      </c>
      <c r="B211" s="82" t="s">
        <v>197</v>
      </c>
      <c r="C211" s="99"/>
      <c r="D211" s="76">
        <f>+D202-D206-D210</f>
        <v>537450907.0193572</v>
      </c>
      <c r="E211" s="26"/>
      <c r="F211" s="26"/>
      <c r="G211" s="26"/>
      <c r="H211" s="26"/>
      <c r="I211" s="76">
        <f>+I202-I206-I210</f>
        <v>525474726.6366843</v>
      </c>
      <c r="J211" s="103"/>
      <c r="K211" s="104"/>
    </row>
    <row r="212" spans="1:11" s="100" customFormat="1" ht="16.5" thickTop="1">
      <c r="A212" s="96"/>
      <c r="B212" s="101" t="s">
        <v>198</v>
      </c>
      <c r="C212" s="99"/>
      <c r="D212" s="98"/>
      <c r="E212" s="99"/>
      <c r="F212" s="99"/>
      <c r="G212" s="99"/>
      <c r="H212" s="99"/>
      <c r="I212" s="98"/>
      <c r="J212" s="103"/>
      <c r="K212" s="104"/>
    </row>
    <row r="213" spans="1:11">
      <c r="A213" s="14"/>
      <c r="B213" s="22"/>
      <c r="C213" s="12"/>
      <c r="D213" s="77"/>
      <c r="E213" s="26"/>
      <c r="F213" s="26"/>
      <c r="G213" s="59"/>
      <c r="H213" s="26"/>
      <c r="I213" s="77"/>
      <c r="J213" s="12"/>
      <c r="K213" s="60"/>
    </row>
    <row r="214" spans="1:11">
      <c r="A214" s="14"/>
      <c r="B214" s="22"/>
      <c r="C214" s="12"/>
      <c r="D214" s="77"/>
      <c r="E214" s="26"/>
      <c r="F214" s="26"/>
      <c r="G214" s="59"/>
      <c r="H214" s="26"/>
      <c r="I214" s="77"/>
      <c r="J214" s="12"/>
      <c r="K214" s="60"/>
    </row>
    <row r="215" spans="1:11">
      <c r="A215" s="14"/>
      <c r="B215" s="22"/>
      <c r="C215" s="12"/>
      <c r="D215" s="77"/>
      <c r="E215" s="26"/>
      <c r="F215" s="26"/>
      <c r="G215" s="59"/>
      <c r="H215" s="26"/>
      <c r="I215" s="77"/>
      <c r="J215" s="12"/>
      <c r="K215" s="60"/>
    </row>
    <row r="216" spans="1:11">
      <c r="A216" s="14"/>
      <c r="B216" s="3"/>
      <c r="C216" s="3"/>
      <c r="D216" s="3"/>
      <c r="E216" s="3"/>
      <c r="F216" s="3"/>
      <c r="G216" s="3"/>
      <c r="H216" s="3"/>
      <c r="I216" s="3"/>
      <c r="J216" s="12"/>
      <c r="K216" s="78" t="s">
        <v>199</v>
      </c>
    </row>
    <row r="217" spans="1:11">
      <c r="A217" s="14"/>
      <c r="B217" s="3"/>
      <c r="C217" s="3"/>
      <c r="D217" s="3"/>
      <c r="E217" s="3"/>
      <c r="F217" s="3"/>
      <c r="G217" s="3"/>
      <c r="H217" s="3"/>
      <c r="I217" s="3"/>
      <c r="J217" s="12"/>
      <c r="K217" s="12"/>
    </row>
    <row r="218" spans="1:11">
      <c r="A218" s="14"/>
      <c r="B218" s="22" t="s">
        <v>1</v>
      </c>
      <c r="C218" s="3"/>
      <c r="D218" s="3" t="s">
        <v>2</v>
      </c>
      <c r="E218" s="3"/>
      <c r="F218" s="3"/>
      <c r="G218" s="3"/>
      <c r="H218" s="3"/>
      <c r="J218" s="12"/>
      <c r="K218" s="47" t="str">
        <f>$K$3</f>
        <v>For the 12 months ended 12/31/2013</v>
      </c>
    </row>
    <row r="219" spans="1:11">
      <c r="A219" s="14"/>
      <c r="B219" s="22"/>
      <c r="C219" s="3"/>
      <c r="D219" s="3" t="s">
        <v>4</v>
      </c>
      <c r="E219" s="3"/>
      <c r="F219" s="3"/>
      <c r="G219" s="3"/>
      <c r="H219" s="3"/>
      <c r="I219" s="3"/>
      <c r="J219" s="12"/>
      <c r="K219" s="12"/>
    </row>
    <row r="220" spans="1:11">
      <c r="A220" s="14"/>
      <c r="B220" s="3"/>
      <c r="C220" s="3"/>
      <c r="D220" s="3"/>
      <c r="E220" s="3"/>
      <c r="F220" s="3"/>
      <c r="G220" s="3"/>
      <c r="H220" s="3"/>
      <c r="I220" s="3"/>
      <c r="J220" s="12"/>
      <c r="K220" s="12"/>
    </row>
    <row r="221" spans="1:11">
      <c r="A221" s="719" t="str">
        <f>A6</f>
        <v>American Transmission Company LLC</v>
      </c>
      <c r="B221" s="719"/>
      <c r="C221" s="719"/>
      <c r="D221" s="719"/>
      <c r="E221" s="719"/>
      <c r="F221" s="719"/>
      <c r="G221" s="719"/>
      <c r="H221" s="719"/>
      <c r="I221" s="719"/>
      <c r="J221" s="719"/>
      <c r="K221" s="719"/>
    </row>
    <row r="222" spans="1:11">
      <c r="A222" s="14"/>
      <c r="B222" s="3"/>
      <c r="C222" s="22"/>
      <c r="D222" s="22"/>
      <c r="E222" s="22"/>
      <c r="F222" s="22"/>
      <c r="G222" s="22"/>
      <c r="H222" s="22"/>
      <c r="I222" s="22"/>
      <c r="J222" s="22"/>
      <c r="K222" s="22"/>
    </row>
    <row r="223" spans="1:11">
      <c r="A223" s="14"/>
      <c r="B223" s="3"/>
      <c r="C223" s="54" t="s">
        <v>200</v>
      </c>
      <c r="D223" s="3"/>
      <c r="E223" s="11"/>
      <c r="F223" s="11"/>
      <c r="G223" s="11"/>
      <c r="H223" s="11"/>
      <c r="I223" s="11"/>
      <c r="J223" s="12"/>
      <c r="K223" s="12"/>
    </row>
    <row r="224" spans="1:11">
      <c r="A224" s="14" t="s">
        <v>8</v>
      </c>
      <c r="B224" s="54"/>
      <c r="C224" s="11"/>
      <c r="D224" s="11"/>
      <c r="E224" s="11"/>
      <c r="F224" s="11"/>
      <c r="G224" s="11"/>
      <c r="H224" s="11"/>
      <c r="I224" s="11"/>
      <c r="J224" s="12"/>
      <c r="K224" s="12"/>
    </row>
    <row r="225" spans="1:11" ht="16.5" thickBot="1">
      <c r="A225" s="18" t="s">
        <v>10</v>
      </c>
      <c r="B225" s="106" t="s">
        <v>201</v>
      </c>
      <c r="C225" s="107"/>
      <c r="D225" s="107"/>
      <c r="E225" s="107"/>
      <c r="F225" s="107"/>
      <c r="G225" s="107"/>
      <c r="H225" s="108"/>
      <c r="I225" s="108"/>
      <c r="J225" s="23"/>
      <c r="K225" s="12"/>
    </row>
    <row r="226" spans="1:11">
      <c r="A226" s="14">
        <v>1</v>
      </c>
      <c r="B226" s="33" t="s">
        <v>202</v>
      </c>
      <c r="C226" s="107"/>
      <c r="D226" s="23"/>
      <c r="E226" s="23"/>
      <c r="F226" s="23"/>
      <c r="G226" s="23"/>
      <c r="H226" s="23"/>
      <c r="I226" s="72">
        <f>D87</f>
        <v>3945462647.8461537</v>
      </c>
      <c r="J226" s="23"/>
      <c r="K226" s="12"/>
    </row>
    <row r="227" spans="1:11">
      <c r="A227" s="14">
        <v>2</v>
      </c>
      <c r="B227" s="33" t="s">
        <v>203</v>
      </c>
      <c r="C227" s="108"/>
      <c r="D227" s="108"/>
      <c r="E227" s="108"/>
      <c r="F227" s="108"/>
      <c r="G227" s="108"/>
      <c r="H227" s="108"/>
      <c r="I227" s="28">
        <v>0</v>
      </c>
      <c r="J227" s="23"/>
      <c r="K227" s="12"/>
    </row>
    <row r="228" spans="1:11" ht="16.5" thickBot="1">
      <c r="A228" s="14">
        <v>3</v>
      </c>
      <c r="B228" s="109" t="s">
        <v>204</v>
      </c>
      <c r="C228" s="110"/>
      <c r="E228" s="23"/>
      <c r="F228" s="23"/>
      <c r="G228" s="111"/>
      <c r="H228" s="23"/>
      <c r="I228" s="57">
        <v>0</v>
      </c>
      <c r="J228" s="23"/>
      <c r="K228" s="12"/>
    </row>
    <row r="229" spans="1:11">
      <c r="A229" s="14">
        <v>4</v>
      </c>
      <c r="B229" s="33" t="s">
        <v>205</v>
      </c>
      <c r="C229" s="107"/>
      <c r="D229" s="23"/>
      <c r="E229" s="23"/>
      <c r="F229" s="23"/>
      <c r="G229" s="111"/>
      <c r="H229" s="23"/>
      <c r="I229" s="72">
        <f>I226-I227-I228</f>
        <v>3945462647.8461537</v>
      </c>
      <c r="J229" s="23"/>
      <c r="K229" s="12"/>
    </row>
    <row r="230" spans="1:11" ht="11.25" customHeight="1">
      <c r="A230" s="14"/>
      <c r="B230" s="108"/>
      <c r="C230" s="107"/>
      <c r="D230" s="23"/>
      <c r="E230" s="23"/>
      <c r="F230" s="23"/>
      <c r="G230" s="111"/>
      <c r="H230" s="23"/>
      <c r="I230" s="108"/>
      <c r="J230" s="23"/>
      <c r="K230" s="12"/>
    </row>
    <row r="231" spans="1:11">
      <c r="A231" s="14">
        <v>5</v>
      </c>
      <c r="B231" s="33" t="s">
        <v>206</v>
      </c>
      <c r="C231" s="112"/>
      <c r="D231" s="113"/>
      <c r="E231" s="113"/>
      <c r="F231" s="113"/>
      <c r="G231" s="114"/>
      <c r="H231" s="23" t="s">
        <v>207</v>
      </c>
      <c r="I231" s="66">
        <f>IF(I226&gt;0,I229/I226,0)</f>
        <v>1</v>
      </c>
      <c r="J231" s="23"/>
      <c r="K231" s="12"/>
    </row>
    <row r="232" spans="1:11" ht="11.25" customHeight="1">
      <c r="A232" s="14"/>
      <c r="B232" s="108"/>
      <c r="C232" s="108"/>
      <c r="D232" s="108"/>
      <c r="E232" s="108"/>
      <c r="F232" s="108"/>
      <c r="G232" s="108"/>
      <c r="H232" s="108"/>
      <c r="I232" s="108"/>
      <c r="J232" s="23"/>
      <c r="K232" s="12"/>
    </row>
    <row r="233" spans="1:11">
      <c r="A233" s="14"/>
      <c r="B233" s="79" t="s">
        <v>208</v>
      </c>
      <c r="C233" s="108"/>
      <c r="D233" s="108"/>
      <c r="E233" s="108"/>
      <c r="F233" s="108"/>
      <c r="G233" s="108"/>
      <c r="H233" s="108"/>
      <c r="I233" s="108"/>
      <c r="J233" s="23"/>
      <c r="K233" s="12"/>
    </row>
    <row r="234" spans="1:11">
      <c r="A234" s="14">
        <v>6</v>
      </c>
      <c r="B234" s="108" t="s">
        <v>209</v>
      </c>
      <c r="C234" s="115"/>
      <c r="D234" s="107"/>
      <c r="E234" s="107"/>
      <c r="F234" s="107"/>
      <c r="G234" s="116"/>
      <c r="H234" s="107"/>
      <c r="I234" s="72">
        <f>D156</f>
        <v>115686187.06999999</v>
      </c>
      <c r="J234" s="23"/>
      <c r="K234" s="12"/>
    </row>
    <row r="235" spans="1:11" ht="16.5" thickBot="1">
      <c r="A235" s="14">
        <v>7</v>
      </c>
      <c r="B235" s="109" t="s">
        <v>210</v>
      </c>
      <c r="C235" s="110"/>
      <c r="E235" s="117"/>
      <c r="F235" s="23"/>
      <c r="G235" s="23"/>
      <c r="H235" s="23"/>
      <c r="I235" s="57">
        <f>'Sch 1 True-Up Adjustment'!G22</f>
        <v>11717656.57</v>
      </c>
      <c r="J235" s="23"/>
      <c r="K235" s="12"/>
    </row>
    <row r="236" spans="1:11">
      <c r="A236" s="14">
        <v>8</v>
      </c>
      <c r="B236" s="33" t="s">
        <v>211</v>
      </c>
      <c r="C236" s="112"/>
      <c r="D236" s="113"/>
      <c r="E236" s="113"/>
      <c r="F236" s="113"/>
      <c r="G236" s="114"/>
      <c r="H236" s="113"/>
      <c r="I236" s="72">
        <f>+I234-I235</f>
        <v>103968530.5</v>
      </c>
      <c r="J236" s="108"/>
      <c r="K236" s="3"/>
    </row>
    <row r="237" spans="1:11" ht="11.25" customHeight="1">
      <c r="A237" s="14"/>
      <c r="B237" s="33"/>
      <c r="C237" s="107"/>
      <c r="D237" s="23"/>
      <c r="E237" s="23"/>
      <c r="F237" s="23"/>
      <c r="G237" s="23"/>
      <c r="H237" s="108"/>
      <c r="I237" s="108"/>
      <c r="J237" s="108"/>
      <c r="K237" s="3"/>
    </row>
    <row r="238" spans="1:11">
      <c r="A238" s="14">
        <v>9</v>
      </c>
      <c r="B238" s="33" t="s">
        <v>212</v>
      </c>
      <c r="C238" s="107"/>
      <c r="D238" s="23"/>
      <c r="E238" s="23"/>
      <c r="F238" s="23"/>
      <c r="G238" s="23"/>
      <c r="H238" s="23"/>
      <c r="I238" s="71">
        <f>IF(I234&gt;0,I236/I234,0)</f>
        <v>0.89871170563422742</v>
      </c>
      <c r="J238" s="108"/>
      <c r="K238" s="3"/>
    </row>
    <row r="239" spans="1:11">
      <c r="A239" s="14">
        <v>10</v>
      </c>
      <c r="B239" s="33" t="s">
        <v>213</v>
      </c>
      <c r="C239" s="107"/>
      <c r="D239" s="23"/>
      <c r="E239" s="23"/>
      <c r="F239" s="23"/>
      <c r="G239" s="23"/>
      <c r="H239" s="107" t="s">
        <v>19</v>
      </c>
      <c r="I239" s="118">
        <f>I231</f>
        <v>1</v>
      </c>
      <c r="J239" s="108"/>
      <c r="K239" s="3"/>
    </row>
    <row r="240" spans="1:11">
      <c r="A240" s="14">
        <v>11</v>
      </c>
      <c r="B240" s="33" t="s">
        <v>214</v>
      </c>
      <c r="C240" s="107"/>
      <c r="D240" s="107"/>
      <c r="E240" s="107"/>
      <c r="F240" s="107"/>
      <c r="G240" s="107"/>
      <c r="H240" s="107" t="s">
        <v>215</v>
      </c>
      <c r="I240" s="119">
        <f>+I239*I238</f>
        <v>0.89871170563422742</v>
      </c>
      <c r="J240" s="108"/>
      <c r="K240" s="3"/>
    </row>
    <row r="241" spans="1:11" ht="11.25" customHeight="1">
      <c r="A241" s="14"/>
      <c r="B241" s="3"/>
      <c r="C241" s="3"/>
      <c r="D241" s="3"/>
      <c r="E241" s="3"/>
      <c r="F241" s="3"/>
      <c r="G241" s="3"/>
      <c r="H241" s="3"/>
      <c r="I241" s="3"/>
      <c r="J241" s="3"/>
      <c r="K241" s="3"/>
    </row>
    <row r="242" spans="1:11">
      <c r="A242" s="14" t="s">
        <v>3</v>
      </c>
      <c r="B242" s="22" t="s">
        <v>216</v>
      </c>
      <c r="C242" s="12"/>
      <c r="D242" s="12"/>
      <c r="E242" s="12"/>
      <c r="F242" s="12"/>
      <c r="G242" s="12"/>
      <c r="H242" s="12"/>
      <c r="I242" s="12"/>
      <c r="J242" s="12"/>
      <c r="K242" s="12"/>
    </row>
    <row r="243" spans="1:11" ht="16.5" thickBot="1">
      <c r="A243" s="14" t="s">
        <v>3</v>
      </c>
      <c r="B243" s="22"/>
      <c r="C243" s="120" t="s">
        <v>217</v>
      </c>
      <c r="D243" s="121" t="s">
        <v>218</v>
      </c>
      <c r="E243" s="121" t="s">
        <v>19</v>
      </c>
      <c r="F243" s="12"/>
      <c r="G243" s="121" t="s">
        <v>219</v>
      </c>
      <c r="H243" s="12"/>
      <c r="I243" s="12"/>
      <c r="J243" s="12"/>
      <c r="K243" s="12"/>
    </row>
    <row r="244" spans="1:11">
      <c r="A244" s="14">
        <v>12</v>
      </c>
      <c r="B244" s="22" t="s">
        <v>75</v>
      </c>
      <c r="C244" s="12" t="s">
        <v>220</v>
      </c>
      <c r="D244" s="28">
        <v>0</v>
      </c>
      <c r="E244" s="122">
        <v>0</v>
      </c>
      <c r="F244" s="122"/>
      <c r="G244" s="26">
        <f>D244*E244</f>
        <v>0</v>
      </c>
      <c r="H244" s="26"/>
      <c r="I244" s="26"/>
      <c r="J244" s="12"/>
      <c r="K244" s="12"/>
    </row>
    <row r="245" spans="1:11">
      <c r="A245" s="14">
        <v>13</v>
      </c>
      <c r="B245" s="22" t="s">
        <v>221</v>
      </c>
      <c r="C245" s="12" t="s">
        <v>222</v>
      </c>
      <c r="D245" s="28">
        <v>52137234</v>
      </c>
      <c r="E245" s="123">
        <f>+I231</f>
        <v>1</v>
      </c>
      <c r="F245" s="122"/>
      <c r="G245" s="26">
        <f>D245*E245</f>
        <v>52137234</v>
      </c>
      <c r="H245" s="26"/>
      <c r="I245" s="26"/>
      <c r="J245" s="12"/>
      <c r="K245" s="12"/>
    </row>
    <row r="246" spans="1:11">
      <c r="A246" s="14">
        <v>14</v>
      </c>
      <c r="B246" s="22" t="s">
        <v>83</v>
      </c>
      <c r="C246" s="12" t="s">
        <v>223</v>
      </c>
      <c r="D246" s="28">
        <v>0</v>
      </c>
      <c r="E246" s="122">
        <v>0</v>
      </c>
      <c r="F246" s="122"/>
      <c r="G246" s="26">
        <f>D246*E246</f>
        <v>0</v>
      </c>
      <c r="H246" s="26"/>
      <c r="I246" s="124" t="s">
        <v>224</v>
      </c>
      <c r="J246" s="12"/>
      <c r="K246" s="12"/>
    </row>
    <row r="247" spans="1:11" ht="16.5" thickBot="1">
      <c r="A247" s="14">
        <v>15</v>
      </c>
      <c r="B247" s="22" t="s">
        <v>225</v>
      </c>
      <c r="C247" s="12" t="s">
        <v>226</v>
      </c>
      <c r="D247" s="57">
        <v>0</v>
      </c>
      <c r="E247" s="122">
        <v>0</v>
      </c>
      <c r="F247" s="122"/>
      <c r="G247" s="29">
        <f>D247*E247</f>
        <v>0</v>
      </c>
      <c r="H247" s="26"/>
      <c r="I247" s="125" t="s">
        <v>227</v>
      </c>
      <c r="J247" s="12"/>
      <c r="K247" s="12"/>
    </row>
    <row r="248" spans="1:11">
      <c r="A248" s="14">
        <v>16</v>
      </c>
      <c r="B248" s="22" t="s">
        <v>228</v>
      </c>
      <c r="C248" s="12"/>
      <c r="D248" s="26">
        <f>SUM(D244:D247)</f>
        <v>52137234</v>
      </c>
      <c r="E248" s="12"/>
      <c r="F248" s="12"/>
      <c r="G248" s="26">
        <f>SUM(G244:G247)</f>
        <v>52137234</v>
      </c>
      <c r="H248" s="96" t="s">
        <v>229</v>
      </c>
      <c r="I248" s="56">
        <f>IF(G248&gt;0,G248/D248,0)</f>
        <v>1</v>
      </c>
      <c r="J248" s="73" t="s">
        <v>229</v>
      </c>
      <c r="K248" s="12" t="s">
        <v>230</v>
      </c>
    </row>
    <row r="249" spans="1:11">
      <c r="A249" s="14" t="s">
        <v>3</v>
      </c>
      <c r="B249" s="22" t="s">
        <v>3</v>
      </c>
      <c r="C249" s="12" t="s">
        <v>3</v>
      </c>
      <c r="D249" s="3"/>
      <c r="E249" s="12"/>
      <c r="F249" s="12"/>
      <c r="G249" s="3"/>
      <c r="H249" s="3"/>
      <c r="I249" s="3"/>
      <c r="J249" s="3"/>
      <c r="K249" s="12"/>
    </row>
    <row r="250" spans="1:11">
      <c r="A250" s="14"/>
      <c r="B250" s="22" t="s">
        <v>231</v>
      </c>
      <c r="C250" s="12"/>
      <c r="D250" s="50" t="s">
        <v>218</v>
      </c>
      <c r="E250" s="12"/>
      <c r="F250" s="12"/>
      <c r="G250" s="73" t="s">
        <v>232</v>
      </c>
      <c r="H250" s="84"/>
      <c r="I250" s="60" t="s">
        <v>224</v>
      </c>
      <c r="J250" s="12"/>
      <c r="K250" s="12"/>
    </row>
    <row r="251" spans="1:11">
      <c r="A251" s="14">
        <v>17</v>
      </c>
      <c r="B251" s="22" t="s">
        <v>233</v>
      </c>
      <c r="C251" s="12" t="s">
        <v>234</v>
      </c>
      <c r="D251" s="28">
        <v>3869597018.0300002</v>
      </c>
      <c r="E251" s="12"/>
      <c r="F251" s="3"/>
      <c r="G251" s="14" t="s">
        <v>235</v>
      </c>
      <c r="H251" s="126"/>
      <c r="I251" s="14" t="s">
        <v>236</v>
      </c>
      <c r="J251" s="12"/>
      <c r="K251" s="48" t="s">
        <v>90</v>
      </c>
    </row>
    <row r="252" spans="1:11">
      <c r="A252" s="14">
        <v>18</v>
      </c>
      <c r="B252" s="22" t="s">
        <v>237</v>
      </c>
      <c r="C252" s="12" t="s">
        <v>238</v>
      </c>
      <c r="D252" s="28">
        <v>0</v>
      </c>
      <c r="E252" s="12"/>
      <c r="F252" s="3"/>
      <c r="G252" s="25">
        <f>IF(D254&gt;0,D251/D254,0)</f>
        <v>1</v>
      </c>
      <c r="H252" s="73" t="s">
        <v>239</v>
      </c>
      <c r="I252" s="31">
        <f>I248</f>
        <v>1</v>
      </c>
      <c r="J252" s="84" t="s">
        <v>229</v>
      </c>
      <c r="K252" s="25">
        <f>I252*G252</f>
        <v>1</v>
      </c>
    </row>
    <row r="253" spans="1:11" ht="16.5" thickBot="1">
      <c r="A253" s="14">
        <v>19</v>
      </c>
      <c r="B253" s="127" t="s">
        <v>240</v>
      </c>
      <c r="C253" s="120" t="s">
        <v>241</v>
      </c>
      <c r="D253" s="57">
        <v>0</v>
      </c>
      <c r="E253" s="12"/>
      <c r="F253" s="12"/>
      <c r="G253" s="12" t="s">
        <v>3</v>
      </c>
      <c r="H253" s="12"/>
      <c r="I253" s="12"/>
      <c r="J253" s="12"/>
      <c r="K253" s="12"/>
    </row>
    <row r="254" spans="1:11">
      <c r="A254" s="14">
        <v>20</v>
      </c>
      <c r="B254" s="22" t="s">
        <v>242</v>
      </c>
      <c r="C254" s="12"/>
      <c r="D254" s="26">
        <f>D251+D252+D253</f>
        <v>3869597018.0300002</v>
      </c>
      <c r="E254" s="12"/>
      <c r="F254" s="12"/>
      <c r="G254" s="12"/>
      <c r="H254" s="12"/>
      <c r="I254" s="12"/>
      <c r="J254" s="12"/>
      <c r="K254" s="12"/>
    </row>
    <row r="255" spans="1:11" ht="11.25" customHeight="1">
      <c r="A255" s="14"/>
      <c r="B255" s="22"/>
      <c r="C255" s="12"/>
      <c r="D255" s="3"/>
      <c r="E255" s="12"/>
      <c r="F255" s="12"/>
      <c r="G255" s="12"/>
      <c r="H255" s="12"/>
      <c r="I255" s="12"/>
      <c r="J255" s="12"/>
      <c r="K255" s="12"/>
    </row>
    <row r="256" spans="1:11" ht="16.5" thickBot="1">
      <c r="A256" s="14"/>
      <c r="B256" s="4" t="s">
        <v>243</v>
      </c>
      <c r="C256" s="12"/>
      <c r="D256" s="12"/>
      <c r="E256" s="12"/>
      <c r="F256" s="12"/>
      <c r="G256" s="12"/>
      <c r="H256" s="12"/>
      <c r="I256" s="121" t="s">
        <v>218</v>
      </c>
      <c r="J256" s="12"/>
      <c r="K256" s="12"/>
    </row>
    <row r="257" spans="1:11">
      <c r="A257" s="14">
        <v>21</v>
      </c>
      <c r="B257" s="13"/>
      <c r="C257" s="12" t="s">
        <v>244</v>
      </c>
      <c r="D257" s="12"/>
      <c r="E257" s="12"/>
      <c r="F257" s="12"/>
      <c r="G257" s="12"/>
      <c r="H257" s="12"/>
      <c r="I257" s="128" t="s">
        <v>245</v>
      </c>
      <c r="J257" s="12"/>
      <c r="K257" s="12"/>
    </row>
    <row r="258" spans="1:11" ht="11.25" customHeight="1">
      <c r="A258" s="14"/>
      <c r="B258" s="22"/>
      <c r="C258" s="12"/>
      <c r="D258" s="12"/>
      <c r="E258" s="12"/>
      <c r="F258" s="12"/>
      <c r="G258" s="12"/>
      <c r="H258" s="12"/>
      <c r="I258" s="73"/>
      <c r="J258" s="12"/>
      <c r="K258" s="12"/>
    </row>
    <row r="259" spans="1:11">
      <c r="A259" s="14">
        <v>22</v>
      </c>
      <c r="B259" s="4"/>
      <c r="C259" s="12" t="s">
        <v>246</v>
      </c>
      <c r="D259" s="12"/>
      <c r="E259" s="12"/>
      <c r="F259" s="12"/>
      <c r="G259" s="12"/>
      <c r="H259" s="23"/>
      <c r="I259" s="129" t="s">
        <v>245</v>
      </c>
      <c r="J259" s="12"/>
      <c r="K259" s="12"/>
    </row>
    <row r="260" spans="1:11" ht="11.25" customHeight="1">
      <c r="A260" s="14"/>
      <c r="B260" s="4"/>
      <c r="C260" s="12"/>
      <c r="D260" s="12"/>
      <c r="E260" s="12"/>
      <c r="F260" s="12"/>
      <c r="G260" s="12"/>
      <c r="H260" s="12"/>
      <c r="I260" s="12"/>
      <c r="J260" s="12"/>
      <c r="K260" s="12"/>
    </row>
    <row r="261" spans="1:11">
      <c r="A261" s="14"/>
      <c r="B261" s="4" t="s">
        <v>247</v>
      </c>
      <c r="C261" s="12"/>
      <c r="D261" s="12"/>
      <c r="E261" s="12"/>
      <c r="F261" s="12"/>
      <c r="G261" s="12"/>
      <c r="H261" s="12"/>
      <c r="I261" s="12"/>
      <c r="J261" s="12"/>
      <c r="K261" s="12"/>
    </row>
    <row r="262" spans="1:11">
      <c r="A262" s="14">
        <v>23</v>
      </c>
      <c r="B262" s="4"/>
      <c r="C262" s="12" t="s">
        <v>248</v>
      </c>
      <c r="D262" s="13"/>
      <c r="E262" s="12"/>
      <c r="F262" s="12"/>
      <c r="G262" s="12"/>
      <c r="H262" s="12"/>
      <c r="I262" s="130" t="s">
        <v>245</v>
      </c>
      <c r="J262" s="12"/>
      <c r="K262" s="12"/>
    </row>
    <row r="263" spans="1:11">
      <c r="A263" s="14">
        <v>24</v>
      </c>
      <c r="B263" s="4"/>
      <c r="C263" s="12" t="s">
        <v>249</v>
      </c>
      <c r="D263" s="12"/>
      <c r="E263" s="12"/>
      <c r="F263" s="12"/>
      <c r="G263" s="12"/>
      <c r="H263" s="12"/>
      <c r="I263" s="131" t="s">
        <v>245</v>
      </c>
      <c r="J263" s="12"/>
      <c r="K263" s="12"/>
    </row>
    <row r="264" spans="1:11" ht="16.5" thickBot="1">
      <c r="A264" s="14">
        <v>25</v>
      </c>
      <c r="B264" s="4"/>
      <c r="C264" s="12" t="s">
        <v>250</v>
      </c>
      <c r="D264" s="12"/>
      <c r="E264" s="12"/>
      <c r="F264" s="12"/>
      <c r="G264" s="12"/>
      <c r="H264" s="12"/>
      <c r="I264" s="132" t="s">
        <v>245</v>
      </c>
      <c r="J264" s="12"/>
      <c r="K264" s="12"/>
    </row>
    <row r="265" spans="1:11">
      <c r="A265" s="14">
        <v>26</v>
      </c>
      <c r="B265" s="13"/>
      <c r="C265" s="12" t="s">
        <v>251</v>
      </c>
      <c r="D265" s="13" t="s">
        <v>252</v>
      </c>
      <c r="E265" s="13"/>
      <c r="F265" s="13"/>
      <c r="G265" s="13"/>
      <c r="H265" s="13"/>
      <c r="I265" s="73" t="s">
        <v>245</v>
      </c>
      <c r="J265" s="12"/>
      <c r="K265" s="12"/>
    </row>
    <row r="266" spans="1:11">
      <c r="A266" s="14"/>
      <c r="B266" s="22"/>
      <c r="C266" s="12"/>
      <c r="D266" s="12"/>
      <c r="E266" s="12"/>
      <c r="F266" s="12"/>
      <c r="G266" s="73" t="s">
        <v>253</v>
      </c>
      <c r="H266" s="12"/>
      <c r="I266" s="12"/>
      <c r="J266" s="12"/>
      <c r="K266" s="12"/>
    </row>
    <row r="267" spans="1:11" ht="16.5" thickBot="1">
      <c r="A267" s="14"/>
      <c r="B267" s="22"/>
      <c r="C267" s="12"/>
      <c r="D267" s="18" t="s">
        <v>218</v>
      </c>
      <c r="E267" s="18" t="s">
        <v>254</v>
      </c>
      <c r="F267" s="12"/>
      <c r="G267" s="18" t="s">
        <v>255</v>
      </c>
      <c r="H267" s="12"/>
      <c r="I267" s="18" t="s">
        <v>256</v>
      </c>
      <c r="J267" s="12"/>
      <c r="K267" s="12"/>
    </row>
    <row r="268" spans="1:11">
      <c r="A268" s="14">
        <v>27</v>
      </c>
      <c r="B268" s="4" t="s">
        <v>257</v>
      </c>
      <c r="C268" s="3"/>
      <c r="D268" s="130">
        <v>0</v>
      </c>
      <c r="E268" s="133">
        <v>0.5</v>
      </c>
      <c r="F268" s="134"/>
      <c r="G268" s="135">
        <f>'Calc. of Wgt. Avg. Debt Rate'!H34</f>
        <v>4.7832303853693803E-2</v>
      </c>
      <c r="H268" s="3"/>
      <c r="I268" s="134">
        <f>E268*G268</f>
        <v>2.3916151926846901E-2</v>
      </c>
      <c r="J268" s="136" t="s">
        <v>258</v>
      </c>
      <c r="K268" s="3"/>
    </row>
    <row r="269" spans="1:11">
      <c r="A269" s="14">
        <v>28</v>
      </c>
      <c r="B269" s="4" t="s">
        <v>259</v>
      </c>
      <c r="C269" s="3"/>
      <c r="D269" s="130">
        <v>0</v>
      </c>
      <c r="E269" s="133">
        <v>0</v>
      </c>
      <c r="F269" s="134"/>
      <c r="G269" s="137">
        <f>IF(D269&gt;0,I259/D269,0)</f>
        <v>0</v>
      </c>
      <c r="H269" s="3"/>
      <c r="I269" s="134">
        <f>E269*G269</f>
        <v>0</v>
      </c>
      <c r="J269" s="12"/>
      <c r="K269" s="3"/>
    </row>
    <row r="270" spans="1:11" ht="16.5" thickBot="1">
      <c r="A270" s="14">
        <v>29</v>
      </c>
      <c r="B270" s="4" t="s">
        <v>260</v>
      </c>
      <c r="C270" s="3"/>
      <c r="D270" s="121">
        <v>0</v>
      </c>
      <c r="E270" s="133">
        <v>0.5</v>
      </c>
      <c r="F270" s="134"/>
      <c r="G270" s="135">
        <v>0.122</v>
      </c>
      <c r="H270" s="3"/>
      <c r="I270" s="138">
        <f>E270*G270</f>
        <v>6.0999999999999999E-2</v>
      </c>
      <c r="J270" s="12"/>
      <c r="K270" s="3"/>
    </row>
    <row r="271" spans="1:11">
      <c r="A271" s="14">
        <v>30</v>
      </c>
      <c r="B271" s="22" t="s">
        <v>261</v>
      </c>
      <c r="C271" s="3"/>
      <c r="D271" s="111">
        <f>SUM(D268:D270)</f>
        <v>0</v>
      </c>
      <c r="E271" s="12" t="s">
        <v>3</v>
      </c>
      <c r="F271" s="12"/>
      <c r="G271" s="12"/>
      <c r="H271" s="12"/>
      <c r="I271" s="134">
        <f>SUM(I268:I270)</f>
        <v>8.49161519268469E-2</v>
      </c>
      <c r="J271" s="136" t="s">
        <v>262</v>
      </c>
      <c r="K271" s="3"/>
    </row>
    <row r="272" spans="1:11" ht="11.25" customHeight="1">
      <c r="A272" s="3"/>
      <c r="B272" s="3"/>
      <c r="C272" s="3"/>
      <c r="D272" s="3"/>
      <c r="E272" s="12"/>
      <c r="F272" s="12"/>
      <c r="G272" s="12"/>
      <c r="H272" s="12"/>
      <c r="I272" s="3"/>
      <c r="J272" s="3"/>
      <c r="K272" s="3"/>
    </row>
    <row r="273" spans="1:11">
      <c r="A273" s="14"/>
      <c r="B273" s="4" t="s">
        <v>263</v>
      </c>
      <c r="C273" s="13"/>
      <c r="D273" s="13"/>
      <c r="E273" s="13"/>
      <c r="F273" s="13"/>
      <c r="G273" s="13"/>
      <c r="H273" s="13"/>
      <c r="I273" s="13"/>
      <c r="J273" s="13"/>
      <c r="K273" s="13"/>
    </row>
    <row r="274" spans="1:11" ht="11.25" customHeight="1" thickBot="1">
      <c r="A274" s="14"/>
      <c r="B274" s="4"/>
      <c r="C274" s="4"/>
      <c r="D274" s="4"/>
      <c r="E274" s="4"/>
      <c r="F274" s="4"/>
      <c r="G274" s="4"/>
      <c r="H274" s="4"/>
      <c r="I274" s="18" t="s">
        <v>264</v>
      </c>
      <c r="J274" s="139"/>
      <c r="K274" s="3"/>
    </row>
    <row r="275" spans="1:11">
      <c r="A275" s="14"/>
      <c r="B275" s="4" t="s">
        <v>265</v>
      </c>
      <c r="C275" s="13"/>
      <c r="D275" s="13" t="s">
        <v>266</v>
      </c>
      <c r="E275" s="13" t="s">
        <v>267</v>
      </c>
      <c r="F275" s="13"/>
      <c r="G275" s="140" t="s">
        <v>3</v>
      </c>
      <c r="H275" s="141"/>
      <c r="I275" s="142"/>
      <c r="J275" s="142"/>
      <c r="K275" s="3"/>
    </row>
    <row r="276" spans="1:11">
      <c r="A276" s="14">
        <v>31</v>
      </c>
      <c r="B276" s="3" t="s">
        <v>268</v>
      </c>
      <c r="C276" s="13"/>
      <c r="D276" s="13"/>
      <c r="E276" s="3"/>
      <c r="F276" s="13"/>
      <c r="G276" s="3"/>
      <c r="H276" s="141"/>
      <c r="I276" s="143">
        <v>0</v>
      </c>
      <c r="J276" s="144"/>
      <c r="K276" s="3"/>
    </row>
    <row r="277" spans="1:11" ht="16.5" thickBot="1">
      <c r="A277" s="14">
        <v>32</v>
      </c>
      <c r="B277" s="75" t="s">
        <v>269</v>
      </c>
      <c r="C277" s="145"/>
      <c r="D277" s="146"/>
      <c r="E277" s="147"/>
      <c r="F277" s="147"/>
      <c r="G277" s="147"/>
      <c r="H277" s="13"/>
      <c r="I277" s="148">
        <v>0</v>
      </c>
      <c r="J277" s="149"/>
      <c r="K277" s="3"/>
    </row>
    <row r="278" spans="1:11">
      <c r="A278" s="14">
        <v>33</v>
      </c>
      <c r="B278" s="3" t="s">
        <v>270</v>
      </c>
      <c r="C278" s="11"/>
      <c r="D278" s="3"/>
      <c r="E278" s="13"/>
      <c r="F278" s="13"/>
      <c r="G278" s="13"/>
      <c r="H278" s="13"/>
      <c r="I278" s="150">
        <f>I276-I277</f>
        <v>0</v>
      </c>
      <c r="J278" s="144"/>
      <c r="K278" s="3"/>
    </row>
    <row r="279" spans="1:11" ht="11.25" customHeight="1">
      <c r="A279" s="14"/>
      <c r="B279" s="3"/>
      <c r="C279" s="11"/>
      <c r="D279" s="3"/>
      <c r="E279" s="13"/>
      <c r="F279" s="13"/>
      <c r="G279" s="13"/>
      <c r="H279" s="13"/>
      <c r="I279" s="151"/>
      <c r="J279" s="142"/>
      <c r="K279" s="3"/>
    </row>
    <row r="280" spans="1:11">
      <c r="A280" s="14">
        <v>34</v>
      </c>
      <c r="B280" s="4" t="s">
        <v>271</v>
      </c>
      <c r="C280" s="11"/>
      <c r="D280" s="3"/>
      <c r="E280" s="13"/>
      <c r="F280" s="13"/>
      <c r="G280" s="152"/>
      <c r="H280" s="13"/>
      <c r="I280" s="153">
        <f>'Revenue Breakout'!C8</f>
        <v>1413786.41</v>
      </c>
      <c r="J280" s="142"/>
      <c r="K280" s="154"/>
    </row>
    <row r="281" spans="1:11" ht="11.25" customHeight="1">
      <c r="A281" s="14"/>
      <c r="B281" s="3"/>
      <c r="C281" s="13"/>
      <c r="D281" s="13"/>
      <c r="E281" s="13"/>
      <c r="F281" s="13"/>
      <c r="G281" s="13"/>
      <c r="H281" s="13"/>
      <c r="I281" s="151"/>
      <c r="J281" s="142"/>
      <c r="K281" s="154"/>
    </row>
    <row r="282" spans="1:11">
      <c r="A282" s="3"/>
      <c r="B282" s="4" t="s">
        <v>272</v>
      </c>
      <c r="C282" s="13"/>
      <c r="D282" s="13" t="s">
        <v>273</v>
      </c>
      <c r="E282" s="13"/>
      <c r="F282" s="13"/>
      <c r="G282" s="13"/>
      <c r="H282" s="13"/>
      <c r="I282" s="3"/>
      <c r="J282" s="3"/>
      <c r="K282" s="155"/>
    </row>
    <row r="283" spans="1:11">
      <c r="A283" s="14">
        <v>35</v>
      </c>
      <c r="B283" s="4" t="s">
        <v>274</v>
      </c>
      <c r="C283" s="12"/>
      <c r="D283" s="12"/>
      <c r="E283" s="12"/>
      <c r="F283" s="12"/>
      <c r="G283" s="12"/>
      <c r="H283" s="12"/>
      <c r="I283" s="156">
        <f>'Revenue Breakout'!C22</f>
        <v>613204612.26999998</v>
      </c>
      <c r="J283" s="157"/>
      <c r="K283" s="155"/>
    </row>
    <row r="284" spans="1:11">
      <c r="A284" s="14">
        <v>36</v>
      </c>
      <c r="B284" s="158" t="s">
        <v>275</v>
      </c>
      <c r="C284" s="147"/>
      <c r="D284" s="147"/>
      <c r="E284" s="147"/>
      <c r="F284" s="147"/>
      <c r="G284" s="13"/>
      <c r="H284" s="13"/>
      <c r="I284" s="156">
        <f>'Revenue Breakout'!C23</f>
        <v>514462419.24000001</v>
      </c>
      <c r="J284" s="3"/>
      <c r="K284" s="159"/>
    </row>
    <row r="285" spans="1:11">
      <c r="A285" s="96" t="s">
        <v>276</v>
      </c>
      <c r="B285" s="160" t="s">
        <v>277</v>
      </c>
      <c r="C285" s="161"/>
      <c r="D285" s="147"/>
      <c r="E285" s="147"/>
      <c r="F285" s="147"/>
      <c r="G285" s="13"/>
      <c r="H285" s="13"/>
      <c r="I285" s="156">
        <f>'Revenue Breakout'!C24</f>
        <v>84167618.789999992</v>
      </c>
      <c r="J285" s="3"/>
      <c r="K285" s="159"/>
    </row>
    <row r="286" spans="1:11" s="100" customFormat="1" ht="16.5" thickBot="1">
      <c r="A286" s="96" t="s">
        <v>278</v>
      </c>
      <c r="B286" s="162" t="s">
        <v>279</v>
      </c>
      <c r="C286" s="163"/>
      <c r="D286" s="161"/>
      <c r="E286" s="161"/>
      <c r="F286" s="161"/>
      <c r="G286" s="161"/>
      <c r="H286" s="74"/>
      <c r="I286" s="164">
        <f>'Revenue Breakout'!C25</f>
        <v>4976053.03</v>
      </c>
      <c r="J286" s="82"/>
      <c r="K286" s="165"/>
    </row>
    <row r="287" spans="1:11">
      <c r="A287" s="14">
        <v>37</v>
      </c>
      <c r="B287" s="82" t="s">
        <v>280</v>
      </c>
      <c r="C287" s="14"/>
      <c r="D287" s="12"/>
      <c r="E287" s="12"/>
      <c r="F287" s="12"/>
      <c r="G287" s="12"/>
      <c r="H287" s="13"/>
      <c r="I287" s="166">
        <f>I283-I284-I285-I286</f>
        <v>9598521.2099999785</v>
      </c>
      <c r="J287" s="157"/>
      <c r="K287" s="167"/>
    </row>
    <row r="288" spans="1:11">
      <c r="A288" s="14"/>
      <c r="B288" s="168"/>
      <c r="C288" s="14"/>
      <c r="D288" s="12"/>
      <c r="E288" s="12"/>
      <c r="F288" s="12"/>
      <c r="G288" s="12"/>
      <c r="H288" s="13"/>
      <c r="I288" s="166"/>
      <c r="J288" s="157"/>
      <c r="K288" s="167"/>
    </row>
    <row r="289" spans="1:11">
      <c r="A289" s="14"/>
      <c r="B289" s="168"/>
      <c r="C289" s="14"/>
      <c r="D289" s="12"/>
      <c r="E289" s="12"/>
      <c r="F289" s="12"/>
      <c r="G289" s="12"/>
      <c r="H289" s="13"/>
      <c r="I289" s="166"/>
      <c r="J289" s="157"/>
      <c r="K289" s="167"/>
    </row>
    <row r="290" spans="1:11">
      <c r="A290" s="14"/>
      <c r="B290" s="22"/>
      <c r="C290" s="11"/>
      <c r="D290" s="12"/>
      <c r="E290" s="12"/>
      <c r="F290" s="12"/>
      <c r="G290" s="12"/>
      <c r="H290" s="11"/>
      <c r="I290" s="12"/>
      <c r="J290" s="11"/>
      <c r="K290" s="78" t="s">
        <v>281</v>
      </c>
    </row>
    <row r="291" spans="1:11">
      <c r="A291" s="14"/>
      <c r="B291" s="22"/>
      <c r="C291" s="11"/>
      <c r="D291" s="12"/>
      <c r="E291" s="12"/>
      <c r="F291" s="12"/>
      <c r="G291" s="12"/>
      <c r="H291" s="11"/>
      <c r="I291" s="12"/>
      <c r="J291" s="11"/>
      <c r="K291" s="12"/>
    </row>
    <row r="292" spans="1:11">
      <c r="A292" s="14"/>
      <c r="B292" s="168" t="s">
        <v>1</v>
      </c>
      <c r="C292" s="14"/>
      <c r="D292" s="12" t="s">
        <v>2</v>
      </c>
      <c r="E292" s="12"/>
      <c r="F292" s="12"/>
      <c r="G292" s="12"/>
      <c r="H292" s="13"/>
      <c r="J292" s="142"/>
      <c r="K292" s="47" t="str">
        <f>$K$3</f>
        <v>For the 12 months ended 12/31/2013</v>
      </c>
    </row>
    <row r="293" spans="1:11">
      <c r="A293" s="14"/>
      <c r="B293" s="168"/>
      <c r="C293" s="14"/>
      <c r="D293" s="12" t="s">
        <v>4</v>
      </c>
      <c r="E293" s="12"/>
      <c r="F293" s="12"/>
      <c r="G293" s="12"/>
      <c r="H293" s="13"/>
      <c r="I293" s="169"/>
      <c r="J293" s="142"/>
      <c r="K293" s="167"/>
    </row>
    <row r="294" spans="1:11">
      <c r="A294" s="14"/>
      <c r="B294" s="168"/>
      <c r="C294" s="14"/>
      <c r="D294" s="12"/>
      <c r="E294" s="12"/>
      <c r="F294" s="12"/>
      <c r="G294" s="12"/>
      <c r="H294" s="13"/>
      <c r="I294" s="169"/>
      <c r="J294" s="142"/>
      <c r="K294" s="167"/>
    </row>
    <row r="295" spans="1:11">
      <c r="A295" s="719" t="str">
        <f>A6</f>
        <v>American Transmission Company LLC</v>
      </c>
      <c r="B295" s="719"/>
      <c r="C295" s="719"/>
      <c r="D295" s="719"/>
      <c r="E295" s="719"/>
      <c r="F295" s="719"/>
      <c r="G295" s="719"/>
      <c r="H295" s="719"/>
      <c r="I295" s="719"/>
      <c r="J295" s="719"/>
      <c r="K295" s="719"/>
    </row>
    <row r="296" spans="1:11">
      <c r="A296" s="14"/>
      <c r="B296" s="168"/>
      <c r="C296" s="14"/>
      <c r="D296" s="12"/>
      <c r="E296" s="12"/>
      <c r="F296" s="12"/>
      <c r="G296" s="12"/>
      <c r="H296" s="13"/>
      <c r="I296" s="169"/>
      <c r="J296" s="142"/>
      <c r="K296" s="167"/>
    </row>
    <row r="297" spans="1:11">
      <c r="A297" s="14"/>
      <c r="B297" s="4" t="s">
        <v>282</v>
      </c>
      <c r="C297" s="14"/>
      <c r="D297" s="12"/>
      <c r="E297" s="12"/>
      <c r="F297" s="12"/>
      <c r="G297" s="12"/>
      <c r="H297" s="13"/>
      <c r="I297" s="12"/>
      <c r="J297" s="13"/>
      <c r="K297" s="12"/>
    </row>
    <row r="298" spans="1:11">
      <c r="A298" s="14"/>
      <c r="B298" s="170" t="s">
        <v>283</v>
      </c>
      <c r="C298" s="14"/>
      <c r="D298" s="12"/>
      <c r="E298" s="12"/>
      <c r="F298" s="12"/>
      <c r="G298" s="12"/>
      <c r="H298" s="13"/>
      <c r="I298" s="12"/>
      <c r="J298" s="13"/>
      <c r="K298" s="12"/>
    </row>
    <row r="299" spans="1:11">
      <c r="A299" s="14" t="s">
        <v>284</v>
      </c>
      <c r="B299" s="4"/>
      <c r="C299" s="13"/>
      <c r="D299" s="12"/>
      <c r="E299" s="12"/>
      <c r="F299" s="12"/>
      <c r="G299" s="12"/>
      <c r="H299" s="13"/>
      <c r="I299" s="12"/>
      <c r="J299" s="13"/>
      <c r="K299" s="12"/>
    </row>
    <row r="300" spans="1:11" ht="16.5" thickBot="1">
      <c r="A300" s="18" t="s">
        <v>285</v>
      </c>
      <c r="B300" s="724"/>
      <c r="C300" s="724"/>
      <c r="D300" s="171"/>
      <c r="E300" s="171"/>
      <c r="F300" s="171"/>
      <c r="G300" s="171"/>
      <c r="H300" s="172"/>
      <c r="I300" s="171"/>
      <c r="J300" s="172"/>
      <c r="K300" s="171"/>
    </row>
    <row r="301" spans="1:11" s="175" customFormat="1">
      <c r="A301" s="173" t="s">
        <v>286</v>
      </c>
      <c r="B301" s="723" t="s">
        <v>287</v>
      </c>
      <c r="C301" s="723"/>
      <c r="D301" s="723"/>
      <c r="E301" s="723"/>
      <c r="F301" s="723"/>
      <c r="G301" s="723"/>
      <c r="H301" s="723"/>
      <c r="I301" s="723"/>
      <c r="J301" s="723"/>
      <c r="K301" s="723"/>
    </row>
    <row r="302" spans="1:11" s="175" customFormat="1">
      <c r="A302" s="173" t="s">
        <v>288</v>
      </c>
      <c r="B302" s="723" t="s">
        <v>289</v>
      </c>
      <c r="C302" s="723"/>
      <c r="D302" s="723"/>
      <c r="E302" s="723"/>
      <c r="F302" s="723"/>
      <c r="G302" s="723"/>
      <c r="H302" s="723"/>
      <c r="I302" s="723"/>
      <c r="J302" s="723"/>
      <c r="K302" s="723"/>
    </row>
    <row r="303" spans="1:11" s="175" customFormat="1">
      <c r="A303" s="173" t="s">
        <v>290</v>
      </c>
      <c r="B303" s="723" t="s">
        <v>291</v>
      </c>
      <c r="C303" s="723"/>
      <c r="D303" s="723"/>
      <c r="E303" s="723"/>
      <c r="F303" s="723"/>
      <c r="G303" s="723"/>
      <c r="H303" s="723"/>
      <c r="I303" s="723"/>
      <c r="J303" s="723"/>
      <c r="K303" s="723"/>
    </row>
    <row r="304" spans="1:11" s="175" customFormat="1">
      <c r="A304" s="173" t="s">
        <v>292</v>
      </c>
      <c r="B304" s="723" t="s">
        <v>291</v>
      </c>
      <c r="C304" s="723"/>
      <c r="D304" s="723"/>
      <c r="E304" s="723"/>
      <c r="F304" s="723"/>
      <c r="G304" s="723"/>
      <c r="H304" s="723"/>
      <c r="I304" s="723"/>
      <c r="J304" s="723"/>
      <c r="K304" s="723"/>
    </row>
    <row r="305" spans="1:11" s="175" customFormat="1">
      <c r="A305" s="173" t="s">
        <v>293</v>
      </c>
      <c r="B305" s="723" t="s">
        <v>294</v>
      </c>
      <c r="C305" s="723"/>
      <c r="D305" s="723"/>
      <c r="E305" s="723"/>
      <c r="F305" s="723"/>
      <c r="G305" s="723"/>
      <c r="H305" s="723"/>
      <c r="I305" s="723"/>
      <c r="J305" s="723"/>
      <c r="K305" s="723"/>
    </row>
    <row r="306" spans="1:11" s="175" customFormat="1" ht="66.75" customHeight="1">
      <c r="A306" s="173" t="s">
        <v>295</v>
      </c>
      <c r="B306" s="723" t="s">
        <v>296</v>
      </c>
      <c r="C306" s="723"/>
      <c r="D306" s="723"/>
      <c r="E306" s="723"/>
      <c r="F306" s="723"/>
      <c r="G306" s="723"/>
      <c r="H306" s="723"/>
      <c r="I306" s="723"/>
      <c r="J306" s="723"/>
      <c r="K306" s="723"/>
    </row>
    <row r="307" spans="1:11" s="175" customFormat="1">
      <c r="A307" s="173" t="s">
        <v>297</v>
      </c>
      <c r="B307" s="723" t="s">
        <v>298</v>
      </c>
      <c r="C307" s="723"/>
      <c r="D307" s="723"/>
      <c r="E307" s="723"/>
      <c r="F307" s="723"/>
      <c r="G307" s="723"/>
      <c r="H307" s="723"/>
      <c r="I307" s="723"/>
      <c r="J307" s="723"/>
      <c r="K307" s="723"/>
    </row>
    <row r="308" spans="1:11" s="175" customFormat="1" ht="32.25" customHeight="1">
      <c r="A308" s="173" t="s">
        <v>299</v>
      </c>
      <c r="B308" s="723" t="s">
        <v>300</v>
      </c>
      <c r="C308" s="723"/>
      <c r="D308" s="723"/>
      <c r="E308" s="723"/>
      <c r="F308" s="723"/>
      <c r="G308" s="723"/>
      <c r="H308" s="723"/>
      <c r="I308" s="723"/>
      <c r="J308" s="723"/>
      <c r="K308" s="723"/>
    </row>
    <row r="309" spans="1:11" s="175" customFormat="1" ht="32.25" customHeight="1">
      <c r="A309" s="173" t="s">
        <v>301</v>
      </c>
      <c r="B309" s="723" t="s">
        <v>302</v>
      </c>
      <c r="C309" s="723"/>
      <c r="D309" s="723"/>
      <c r="E309" s="723"/>
      <c r="F309" s="723"/>
      <c r="G309" s="723"/>
      <c r="H309" s="723"/>
      <c r="I309" s="723"/>
      <c r="J309" s="723"/>
      <c r="K309" s="723"/>
    </row>
    <row r="310" spans="1:11" s="175" customFormat="1" ht="32.25" customHeight="1">
      <c r="A310" s="173" t="s">
        <v>303</v>
      </c>
      <c r="B310" s="723" t="s">
        <v>304</v>
      </c>
      <c r="C310" s="723"/>
      <c r="D310" s="723"/>
      <c r="E310" s="723"/>
      <c r="F310" s="723"/>
      <c r="G310" s="723"/>
      <c r="H310" s="723"/>
      <c r="I310" s="723"/>
      <c r="J310" s="723"/>
      <c r="K310" s="723"/>
    </row>
    <row r="311" spans="1:11" s="175" customFormat="1" ht="94.5" customHeight="1">
      <c r="A311" s="173" t="s">
        <v>305</v>
      </c>
      <c r="B311" s="727" t="s">
        <v>306</v>
      </c>
      <c r="C311" s="723"/>
      <c r="D311" s="723"/>
      <c r="E311" s="723"/>
      <c r="F311" s="723"/>
      <c r="G311" s="723"/>
      <c r="H311" s="723"/>
      <c r="I311" s="723"/>
      <c r="J311" s="723"/>
      <c r="K311" s="723"/>
    </row>
    <row r="312" spans="1:11">
      <c r="A312" s="14" t="s">
        <v>3</v>
      </c>
      <c r="B312" s="33" t="s">
        <v>307</v>
      </c>
      <c r="C312" s="33" t="s">
        <v>308</v>
      </c>
      <c r="D312" s="176">
        <v>0.35</v>
      </c>
      <c r="E312" s="33"/>
      <c r="F312" s="33"/>
      <c r="G312" s="33"/>
      <c r="H312" s="33"/>
      <c r="I312" s="33"/>
      <c r="J312" s="33"/>
      <c r="K312" s="33"/>
    </row>
    <row r="313" spans="1:11">
      <c r="A313" s="14"/>
      <c r="B313" s="33"/>
      <c r="C313" s="33" t="s">
        <v>309</v>
      </c>
      <c r="D313" s="176">
        <f>SIT!D18</f>
        <v>7.4479426299999985E-2</v>
      </c>
      <c r="E313" s="33" t="s">
        <v>310</v>
      </c>
      <c r="F313" s="33"/>
      <c r="G313" s="33"/>
      <c r="H313" s="33"/>
      <c r="I313" s="33"/>
      <c r="J313" s="33"/>
      <c r="K313" s="33"/>
    </row>
    <row r="314" spans="1:11">
      <c r="A314" s="14"/>
      <c r="B314" s="33"/>
      <c r="C314" s="33" t="s">
        <v>311</v>
      </c>
      <c r="D314" s="176">
        <v>0</v>
      </c>
      <c r="E314" s="33" t="s">
        <v>312</v>
      </c>
      <c r="F314" s="33"/>
      <c r="G314" s="33"/>
      <c r="H314" s="33"/>
      <c r="I314" s="33"/>
      <c r="J314" s="33"/>
      <c r="K314" s="33"/>
    </row>
    <row r="315" spans="1:11">
      <c r="A315" s="14"/>
      <c r="B315" s="33"/>
      <c r="C315" s="33" t="s">
        <v>313</v>
      </c>
      <c r="D315" s="176">
        <v>7.5622413097782407E-2</v>
      </c>
      <c r="E315" s="33" t="s">
        <v>314</v>
      </c>
      <c r="F315" s="33"/>
      <c r="G315" s="33"/>
      <c r="H315" s="33"/>
      <c r="I315" s="33"/>
      <c r="J315" s="33"/>
      <c r="K315" s="33"/>
    </row>
    <row r="316" spans="1:11" s="177" customFormat="1" ht="50.25" customHeight="1">
      <c r="A316" s="174" t="s">
        <v>315</v>
      </c>
      <c r="B316" s="727" t="s">
        <v>316</v>
      </c>
      <c r="C316" s="723"/>
      <c r="D316" s="723"/>
      <c r="E316" s="723"/>
      <c r="F316" s="723"/>
      <c r="G316" s="723"/>
      <c r="H316" s="723"/>
      <c r="I316" s="723"/>
      <c r="J316" s="723"/>
      <c r="K316" s="723"/>
    </row>
    <row r="317" spans="1:11" s="177" customFormat="1" ht="32.25" customHeight="1">
      <c r="A317" s="174" t="s">
        <v>317</v>
      </c>
      <c r="B317" s="723" t="s">
        <v>318</v>
      </c>
      <c r="C317" s="723"/>
      <c r="D317" s="723"/>
      <c r="E317" s="723"/>
      <c r="F317" s="723"/>
      <c r="G317" s="723"/>
      <c r="H317" s="723"/>
      <c r="I317" s="723"/>
      <c r="J317" s="723"/>
      <c r="K317" s="723"/>
    </row>
    <row r="318" spans="1:11" s="177" customFormat="1" ht="51" customHeight="1">
      <c r="A318" s="174" t="s">
        <v>319</v>
      </c>
      <c r="B318" s="723" t="s">
        <v>320</v>
      </c>
      <c r="C318" s="723"/>
      <c r="D318" s="723"/>
      <c r="E318" s="723"/>
      <c r="F318" s="723"/>
      <c r="G318" s="723"/>
      <c r="H318" s="723"/>
      <c r="I318" s="723"/>
      <c r="J318" s="723"/>
      <c r="K318" s="723"/>
    </row>
    <row r="319" spans="1:11" s="177" customFormat="1">
      <c r="A319" s="174" t="s">
        <v>321</v>
      </c>
      <c r="B319" s="723" t="s">
        <v>322</v>
      </c>
      <c r="C319" s="723"/>
      <c r="D319" s="723"/>
      <c r="E319" s="723"/>
      <c r="F319" s="723"/>
      <c r="G319" s="723"/>
      <c r="H319" s="723"/>
      <c r="I319" s="723"/>
      <c r="J319" s="723"/>
      <c r="K319" s="723"/>
    </row>
    <row r="320" spans="1:11" s="177" customFormat="1" ht="32.25" customHeight="1">
      <c r="A320" s="174" t="s">
        <v>323</v>
      </c>
      <c r="B320" s="723" t="s">
        <v>324</v>
      </c>
      <c r="C320" s="723"/>
      <c r="D320" s="723"/>
      <c r="E320" s="723"/>
      <c r="F320" s="723"/>
      <c r="G320" s="723"/>
      <c r="H320" s="723"/>
      <c r="I320" s="723"/>
      <c r="J320" s="723"/>
      <c r="K320" s="723"/>
    </row>
    <row r="321" spans="1:11" s="177" customFormat="1" ht="32.25" customHeight="1">
      <c r="A321" s="174" t="s">
        <v>325</v>
      </c>
      <c r="B321" s="723" t="s">
        <v>326</v>
      </c>
      <c r="C321" s="723"/>
      <c r="D321" s="723"/>
      <c r="E321" s="723"/>
      <c r="F321" s="723"/>
      <c r="G321" s="723"/>
      <c r="H321" s="723"/>
      <c r="I321" s="723"/>
      <c r="J321" s="723"/>
      <c r="K321" s="723"/>
    </row>
    <row r="322" spans="1:11" s="177" customFormat="1">
      <c r="A322" s="174" t="s">
        <v>327</v>
      </c>
      <c r="B322" s="723" t="s">
        <v>328</v>
      </c>
      <c r="C322" s="723"/>
      <c r="D322" s="723"/>
      <c r="E322" s="723"/>
      <c r="F322" s="723"/>
      <c r="G322" s="723"/>
      <c r="H322" s="723"/>
      <c r="I322" s="723"/>
      <c r="J322" s="723"/>
      <c r="K322" s="723"/>
    </row>
    <row r="323" spans="1:11" s="177" customFormat="1" ht="48" customHeight="1">
      <c r="A323" s="174" t="s">
        <v>329</v>
      </c>
      <c r="B323" s="723" t="s">
        <v>330</v>
      </c>
      <c r="C323" s="723"/>
      <c r="D323" s="723"/>
      <c r="E323" s="723"/>
      <c r="F323" s="723"/>
      <c r="G323" s="723"/>
      <c r="H323" s="723"/>
      <c r="I323" s="723"/>
      <c r="J323" s="723"/>
      <c r="K323" s="723"/>
    </row>
    <row r="324" spans="1:11" s="177" customFormat="1" ht="62.25" customHeight="1">
      <c r="A324" s="178" t="s">
        <v>331</v>
      </c>
      <c r="B324" s="728" t="s">
        <v>332</v>
      </c>
      <c r="C324" s="729"/>
      <c r="D324" s="729"/>
      <c r="E324" s="729"/>
      <c r="F324" s="729"/>
      <c r="G324" s="729"/>
      <c r="H324" s="729"/>
      <c r="I324" s="729"/>
      <c r="J324" s="729"/>
      <c r="K324" s="729"/>
    </row>
    <row r="325" spans="1:11" s="177" customFormat="1" ht="32.25" customHeight="1">
      <c r="A325" s="178" t="s">
        <v>333</v>
      </c>
      <c r="B325" s="729" t="s">
        <v>334</v>
      </c>
      <c r="C325" s="729"/>
      <c r="D325" s="729"/>
      <c r="E325" s="729"/>
      <c r="F325" s="729"/>
      <c r="G325" s="729"/>
      <c r="H325" s="729"/>
      <c r="I325" s="729"/>
      <c r="J325" s="729"/>
      <c r="K325" s="729"/>
    </row>
    <row r="326" spans="1:11" s="177" customFormat="1">
      <c r="A326" s="179" t="s">
        <v>335</v>
      </c>
      <c r="B326" s="725" t="s">
        <v>336</v>
      </c>
      <c r="C326" s="726"/>
      <c r="D326" s="726"/>
      <c r="E326" s="726"/>
      <c r="F326" s="726"/>
      <c r="G326" s="726"/>
      <c r="H326" s="726"/>
      <c r="I326" s="726"/>
      <c r="J326" s="726"/>
      <c r="K326" s="726"/>
    </row>
    <row r="327" spans="1:11" s="177" customFormat="1">
      <c r="A327" s="179" t="s">
        <v>337</v>
      </c>
      <c r="B327" s="726" t="s">
        <v>338</v>
      </c>
      <c r="C327" s="726"/>
      <c r="D327" s="726"/>
      <c r="E327" s="726"/>
      <c r="F327" s="726"/>
      <c r="G327" s="726"/>
      <c r="H327" s="726"/>
      <c r="I327" s="726"/>
      <c r="J327" s="726"/>
      <c r="K327" s="726"/>
    </row>
    <row r="328" spans="1:11" s="182" customFormat="1" ht="32.25" customHeight="1">
      <c r="A328" s="180" t="s">
        <v>339</v>
      </c>
      <c r="B328" s="725" t="s">
        <v>340</v>
      </c>
      <c r="C328" s="726"/>
      <c r="D328" s="726"/>
      <c r="E328" s="726"/>
      <c r="F328" s="726"/>
      <c r="G328" s="726"/>
      <c r="H328" s="726"/>
      <c r="I328" s="726"/>
      <c r="J328" s="726"/>
      <c r="K328" s="726"/>
    </row>
    <row r="329" spans="1:11" s="181" customFormat="1" ht="32.25" customHeight="1">
      <c r="A329" s="180" t="s">
        <v>341</v>
      </c>
      <c r="B329" s="725" t="s">
        <v>342</v>
      </c>
      <c r="C329" s="726"/>
      <c r="D329" s="726"/>
      <c r="E329" s="726"/>
      <c r="F329" s="726"/>
      <c r="G329" s="726"/>
      <c r="H329" s="726"/>
      <c r="I329" s="726"/>
      <c r="J329" s="726"/>
      <c r="K329" s="726"/>
    </row>
    <row r="330" spans="1:11" ht="15.75" customHeight="1">
      <c r="A330" s="183" t="s">
        <v>343</v>
      </c>
      <c r="B330" s="726" t="s">
        <v>344</v>
      </c>
      <c r="C330" s="726"/>
      <c r="D330" s="726"/>
      <c r="E330" s="726"/>
      <c r="F330" s="726"/>
      <c r="G330" s="726"/>
      <c r="H330" s="726"/>
      <c r="I330" s="726"/>
      <c r="J330" s="726"/>
      <c r="K330" s="726"/>
    </row>
    <row r="331" spans="1:11" ht="33.75" customHeight="1">
      <c r="A331" s="180" t="s">
        <v>345</v>
      </c>
      <c r="B331" s="725" t="s">
        <v>346</v>
      </c>
      <c r="C331" s="726"/>
      <c r="D331" s="726"/>
      <c r="E331" s="726"/>
      <c r="F331" s="726"/>
      <c r="G331" s="726"/>
      <c r="H331" s="726"/>
      <c r="I331" s="726"/>
      <c r="J331" s="726"/>
      <c r="K331" s="726"/>
    </row>
    <row r="332" spans="1:11" ht="36" customHeight="1">
      <c r="A332" s="180" t="s">
        <v>347</v>
      </c>
      <c r="B332" s="725" t="s">
        <v>348</v>
      </c>
      <c r="C332" s="726"/>
      <c r="D332" s="726"/>
      <c r="E332" s="726"/>
      <c r="F332" s="726"/>
      <c r="G332" s="726"/>
      <c r="H332" s="726"/>
      <c r="I332" s="726"/>
      <c r="J332" s="726"/>
      <c r="K332" s="726"/>
    </row>
    <row r="333" spans="1:11">
      <c r="A333" s="180" t="s">
        <v>349</v>
      </c>
      <c r="B333" s="726" t="s">
        <v>350</v>
      </c>
      <c r="C333" s="726"/>
      <c r="D333" s="726"/>
      <c r="E333" s="726"/>
      <c r="F333" s="726"/>
      <c r="G333" s="726"/>
      <c r="H333" s="726"/>
      <c r="I333" s="726"/>
      <c r="J333" s="726"/>
      <c r="K333" s="726"/>
    </row>
    <row r="334" spans="1:11">
      <c r="A334" s="183"/>
      <c r="B334" s="184"/>
      <c r="C334" s="74"/>
      <c r="D334" s="74"/>
      <c r="E334" s="74"/>
      <c r="F334" s="74"/>
      <c r="G334" s="74"/>
      <c r="H334" s="13"/>
      <c r="I334" s="166"/>
      <c r="J334" s="157"/>
      <c r="K334" s="167"/>
    </row>
    <row r="335" spans="1:11">
      <c r="A335" s="183"/>
      <c r="B335" s="184"/>
      <c r="C335" s="74"/>
      <c r="D335" s="74"/>
      <c r="E335" s="74"/>
      <c r="F335" s="74"/>
      <c r="G335" s="74"/>
      <c r="H335" s="13"/>
      <c r="I335" s="166"/>
      <c r="J335" s="157"/>
      <c r="K335" s="167"/>
    </row>
    <row r="336" spans="1:11">
      <c r="A336" s="183"/>
      <c r="B336" s="184"/>
      <c r="C336" s="74"/>
      <c r="D336" s="74"/>
      <c r="E336" s="74"/>
      <c r="F336" s="74"/>
      <c r="G336" s="74"/>
      <c r="H336" s="13"/>
      <c r="I336" s="166"/>
      <c r="J336" s="157"/>
      <c r="K336" s="167"/>
    </row>
    <row r="337" spans="1:11">
      <c r="A337" s="183"/>
      <c r="B337" s="184"/>
      <c r="C337" s="74"/>
      <c r="D337" s="74"/>
      <c r="E337" s="74"/>
      <c r="F337" s="74"/>
      <c r="G337" s="74"/>
      <c r="H337" s="13"/>
      <c r="I337" s="166"/>
      <c r="J337" s="157"/>
      <c r="K337" s="167"/>
    </row>
  </sheetData>
  <mergeCells count="37">
    <mergeCell ref="B333:K333"/>
    <mergeCell ref="B327:K327"/>
    <mergeCell ref="B328:K328"/>
    <mergeCell ref="B329:K329"/>
    <mergeCell ref="B330:K330"/>
    <mergeCell ref="B331:K331"/>
    <mergeCell ref="B332:K332"/>
    <mergeCell ref="B326:K326"/>
    <mergeCell ref="B311:K311"/>
    <mergeCell ref="B316:K316"/>
    <mergeCell ref="B317:K317"/>
    <mergeCell ref="B318:K318"/>
    <mergeCell ref="B319:K319"/>
    <mergeCell ref="B320:K320"/>
    <mergeCell ref="B321:K321"/>
    <mergeCell ref="B322:K322"/>
    <mergeCell ref="B323:K323"/>
    <mergeCell ref="B324:K324"/>
    <mergeCell ref="B325:K325"/>
    <mergeCell ref="B310:K310"/>
    <mergeCell ref="A295:K295"/>
    <mergeCell ref="B300:C300"/>
    <mergeCell ref="B301:K301"/>
    <mergeCell ref="B302:K302"/>
    <mergeCell ref="B303:K303"/>
    <mergeCell ref="B304:K304"/>
    <mergeCell ref="B305:K305"/>
    <mergeCell ref="B306:K306"/>
    <mergeCell ref="B307:K307"/>
    <mergeCell ref="B308:K308"/>
    <mergeCell ref="B309:K309"/>
    <mergeCell ref="A221:K221"/>
    <mergeCell ref="A6:K6"/>
    <mergeCell ref="A80:K80"/>
    <mergeCell ref="A151:K151"/>
    <mergeCell ref="B205:C205"/>
    <mergeCell ref="B209:C209"/>
  </mergeCells>
  <pageMargins left="0.7" right="0.7" top="0.75" bottom="0.75" header="0.3" footer="0.3"/>
  <pageSetup scale="54" fitToHeight="0" orientation="portrait" r:id="rId1"/>
  <rowBreaks count="4" manualBreakCount="4">
    <brk id="74" max="10" man="1"/>
    <brk id="145" max="10" man="1"/>
    <brk id="215" max="10" man="1"/>
    <brk id="289"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showGridLines="0" zoomScaleNormal="100" workbookViewId="0"/>
  </sheetViews>
  <sheetFormatPr defaultColWidth="9.140625" defaultRowHeight="12.75"/>
  <cols>
    <col min="1" max="1" width="4.140625" style="637" customWidth="1"/>
    <col min="2" max="2" width="63" style="637" bestFit="1" customWidth="1"/>
    <col min="3" max="3" width="13.7109375" style="637" bestFit="1" customWidth="1"/>
    <col min="4" max="4" width="13.140625" style="637" customWidth="1"/>
    <col min="5" max="7" width="9.140625" style="637"/>
    <col min="8" max="8" width="30.85546875" style="637" customWidth="1"/>
    <col min="9" max="253" width="9.140625" style="636"/>
    <col min="254" max="254" width="13.85546875" style="636" customWidth="1"/>
    <col min="255" max="255" width="24.7109375" style="636" bestFit="1" customWidth="1"/>
    <col min="256" max="256" width="17" style="636" bestFit="1" customWidth="1"/>
    <col min="257" max="257" width="3.5703125" style="636" customWidth="1"/>
    <col min="258" max="258" width="26.85546875" style="636" bestFit="1" customWidth="1"/>
    <col min="259" max="509" width="9.140625" style="636"/>
    <col min="510" max="510" width="13.85546875" style="636" customWidth="1"/>
    <col min="511" max="511" width="24.7109375" style="636" bestFit="1" customWidth="1"/>
    <col min="512" max="512" width="17" style="636" bestFit="1" customWidth="1"/>
    <col min="513" max="513" width="3.5703125" style="636" customWidth="1"/>
    <col min="514" max="514" width="26.85546875" style="636" bestFit="1" customWidth="1"/>
    <col min="515" max="765" width="9.140625" style="636"/>
    <col min="766" max="766" width="13.85546875" style="636" customWidth="1"/>
    <col min="767" max="767" width="24.7109375" style="636" bestFit="1" customWidth="1"/>
    <col min="768" max="768" width="17" style="636" bestFit="1" customWidth="1"/>
    <col min="769" max="769" width="3.5703125" style="636" customWidth="1"/>
    <col min="770" max="770" width="26.85546875" style="636" bestFit="1" customWidth="1"/>
    <col min="771" max="1021" width="9.140625" style="636"/>
    <col min="1022" max="1022" width="13.85546875" style="636" customWidth="1"/>
    <col min="1023" max="1023" width="24.7109375" style="636" bestFit="1" customWidth="1"/>
    <col min="1024" max="1024" width="17" style="636" bestFit="1" customWidth="1"/>
    <col min="1025" max="1025" width="3.5703125" style="636" customWidth="1"/>
    <col min="1026" max="1026" width="26.85546875" style="636" bestFit="1" customWidth="1"/>
    <col min="1027" max="1277" width="9.140625" style="636"/>
    <col min="1278" max="1278" width="13.85546875" style="636" customWidth="1"/>
    <col min="1279" max="1279" width="24.7109375" style="636" bestFit="1" customWidth="1"/>
    <col min="1280" max="1280" width="17" style="636" bestFit="1" customWidth="1"/>
    <col min="1281" max="1281" width="3.5703125" style="636" customWidth="1"/>
    <col min="1282" max="1282" width="26.85546875" style="636" bestFit="1" customWidth="1"/>
    <col min="1283" max="1533" width="9.140625" style="636"/>
    <col min="1534" max="1534" width="13.85546875" style="636" customWidth="1"/>
    <col min="1535" max="1535" width="24.7109375" style="636" bestFit="1" customWidth="1"/>
    <col min="1536" max="1536" width="17" style="636" bestFit="1" customWidth="1"/>
    <col min="1537" max="1537" width="3.5703125" style="636" customWidth="1"/>
    <col min="1538" max="1538" width="26.85546875" style="636" bestFit="1" customWidth="1"/>
    <col min="1539" max="1789" width="9.140625" style="636"/>
    <col min="1790" max="1790" width="13.85546875" style="636" customWidth="1"/>
    <col min="1791" max="1791" width="24.7109375" style="636" bestFit="1" customWidth="1"/>
    <col min="1792" max="1792" width="17" style="636" bestFit="1" customWidth="1"/>
    <col min="1793" max="1793" width="3.5703125" style="636" customWidth="1"/>
    <col min="1794" max="1794" width="26.85546875" style="636" bestFit="1" customWidth="1"/>
    <col min="1795" max="2045" width="9.140625" style="636"/>
    <col min="2046" max="2046" width="13.85546875" style="636" customWidth="1"/>
    <col min="2047" max="2047" width="24.7109375" style="636" bestFit="1" customWidth="1"/>
    <col min="2048" max="2048" width="17" style="636" bestFit="1" customWidth="1"/>
    <col min="2049" max="2049" width="3.5703125" style="636" customWidth="1"/>
    <col min="2050" max="2050" width="26.85546875" style="636" bestFit="1" customWidth="1"/>
    <col min="2051" max="2301" width="9.140625" style="636"/>
    <col min="2302" max="2302" width="13.85546875" style="636" customWidth="1"/>
    <col min="2303" max="2303" width="24.7109375" style="636" bestFit="1" customWidth="1"/>
    <col min="2304" max="2304" width="17" style="636" bestFit="1" customWidth="1"/>
    <col min="2305" max="2305" width="3.5703125" style="636" customWidth="1"/>
    <col min="2306" max="2306" width="26.85546875" style="636" bestFit="1" customWidth="1"/>
    <col min="2307" max="2557" width="9.140625" style="636"/>
    <col min="2558" max="2558" width="13.85546875" style="636" customWidth="1"/>
    <col min="2559" max="2559" width="24.7109375" style="636" bestFit="1" customWidth="1"/>
    <col min="2560" max="2560" width="17" style="636" bestFit="1" customWidth="1"/>
    <col min="2561" max="2561" width="3.5703125" style="636" customWidth="1"/>
    <col min="2562" max="2562" width="26.85546875" style="636" bestFit="1" customWidth="1"/>
    <col min="2563" max="2813" width="9.140625" style="636"/>
    <col min="2814" max="2814" width="13.85546875" style="636" customWidth="1"/>
    <col min="2815" max="2815" width="24.7109375" style="636" bestFit="1" customWidth="1"/>
    <col min="2816" max="2816" width="17" style="636" bestFit="1" customWidth="1"/>
    <col min="2817" max="2817" width="3.5703125" style="636" customWidth="1"/>
    <col min="2818" max="2818" width="26.85546875" style="636" bestFit="1" customWidth="1"/>
    <col min="2819" max="3069" width="9.140625" style="636"/>
    <col min="3070" max="3070" width="13.85546875" style="636" customWidth="1"/>
    <col min="3071" max="3071" width="24.7109375" style="636" bestFit="1" customWidth="1"/>
    <col min="3072" max="3072" width="17" style="636" bestFit="1" customWidth="1"/>
    <col min="3073" max="3073" width="3.5703125" style="636" customWidth="1"/>
    <col min="3074" max="3074" width="26.85546875" style="636" bestFit="1" customWidth="1"/>
    <col min="3075" max="3325" width="9.140625" style="636"/>
    <col min="3326" max="3326" width="13.85546875" style="636" customWidth="1"/>
    <col min="3327" max="3327" width="24.7109375" style="636" bestFit="1" customWidth="1"/>
    <col min="3328" max="3328" width="17" style="636" bestFit="1" customWidth="1"/>
    <col min="3329" max="3329" width="3.5703125" style="636" customWidth="1"/>
    <col min="3330" max="3330" width="26.85546875" style="636" bestFit="1" customWidth="1"/>
    <col min="3331" max="3581" width="9.140625" style="636"/>
    <col min="3582" max="3582" width="13.85546875" style="636" customWidth="1"/>
    <col min="3583" max="3583" width="24.7109375" style="636" bestFit="1" customWidth="1"/>
    <col min="3584" max="3584" width="17" style="636" bestFit="1" customWidth="1"/>
    <col min="3585" max="3585" width="3.5703125" style="636" customWidth="1"/>
    <col min="3586" max="3586" width="26.85546875" style="636" bestFit="1" customWidth="1"/>
    <col min="3587" max="3837" width="9.140625" style="636"/>
    <col min="3838" max="3838" width="13.85546875" style="636" customWidth="1"/>
    <col min="3839" max="3839" width="24.7109375" style="636" bestFit="1" customWidth="1"/>
    <col min="3840" max="3840" width="17" style="636" bestFit="1" customWidth="1"/>
    <col min="3841" max="3841" width="3.5703125" style="636" customWidth="1"/>
    <col min="3842" max="3842" width="26.85546875" style="636" bestFit="1" customWidth="1"/>
    <col min="3843" max="4093" width="9.140625" style="636"/>
    <col min="4094" max="4094" width="13.85546875" style="636" customWidth="1"/>
    <col min="4095" max="4095" width="24.7109375" style="636" bestFit="1" customWidth="1"/>
    <col min="4096" max="4096" width="17" style="636" bestFit="1" customWidth="1"/>
    <col min="4097" max="4097" width="3.5703125" style="636" customWidth="1"/>
    <col min="4098" max="4098" width="26.85546875" style="636" bestFit="1" customWidth="1"/>
    <col min="4099" max="4349" width="9.140625" style="636"/>
    <col min="4350" max="4350" width="13.85546875" style="636" customWidth="1"/>
    <col min="4351" max="4351" width="24.7109375" style="636" bestFit="1" customWidth="1"/>
    <col min="4352" max="4352" width="17" style="636" bestFit="1" customWidth="1"/>
    <col min="4353" max="4353" width="3.5703125" style="636" customWidth="1"/>
    <col min="4354" max="4354" width="26.85546875" style="636" bestFit="1" customWidth="1"/>
    <col min="4355" max="4605" width="9.140625" style="636"/>
    <col min="4606" max="4606" width="13.85546875" style="636" customWidth="1"/>
    <col min="4607" max="4607" width="24.7109375" style="636" bestFit="1" customWidth="1"/>
    <col min="4608" max="4608" width="17" style="636" bestFit="1" customWidth="1"/>
    <col min="4609" max="4609" width="3.5703125" style="636" customWidth="1"/>
    <col min="4610" max="4610" width="26.85546875" style="636" bestFit="1" customWidth="1"/>
    <col min="4611" max="4861" width="9.140625" style="636"/>
    <col min="4862" max="4862" width="13.85546875" style="636" customWidth="1"/>
    <col min="4863" max="4863" width="24.7109375" style="636" bestFit="1" customWidth="1"/>
    <col min="4864" max="4864" width="17" style="636" bestFit="1" customWidth="1"/>
    <col min="4865" max="4865" width="3.5703125" style="636" customWidth="1"/>
    <col min="4866" max="4866" width="26.85546875" style="636" bestFit="1" customWidth="1"/>
    <col min="4867" max="5117" width="9.140625" style="636"/>
    <col min="5118" max="5118" width="13.85546875" style="636" customWidth="1"/>
    <col min="5119" max="5119" width="24.7109375" style="636" bestFit="1" customWidth="1"/>
    <col min="5120" max="5120" width="17" style="636" bestFit="1" customWidth="1"/>
    <col min="5121" max="5121" width="3.5703125" style="636" customWidth="1"/>
    <col min="5122" max="5122" width="26.85546875" style="636" bestFit="1" customWidth="1"/>
    <col min="5123" max="5373" width="9.140625" style="636"/>
    <col min="5374" max="5374" width="13.85546875" style="636" customWidth="1"/>
    <col min="5375" max="5375" width="24.7109375" style="636" bestFit="1" customWidth="1"/>
    <col min="5376" max="5376" width="17" style="636" bestFit="1" customWidth="1"/>
    <col min="5377" max="5377" width="3.5703125" style="636" customWidth="1"/>
    <col min="5378" max="5378" width="26.85546875" style="636" bestFit="1" customWidth="1"/>
    <col min="5379" max="5629" width="9.140625" style="636"/>
    <col min="5630" max="5630" width="13.85546875" style="636" customWidth="1"/>
    <col min="5631" max="5631" width="24.7109375" style="636" bestFit="1" customWidth="1"/>
    <col min="5632" max="5632" width="17" style="636" bestFit="1" customWidth="1"/>
    <col min="5633" max="5633" width="3.5703125" style="636" customWidth="1"/>
    <col min="5634" max="5634" width="26.85546875" style="636" bestFit="1" customWidth="1"/>
    <col min="5635" max="5885" width="9.140625" style="636"/>
    <col min="5886" max="5886" width="13.85546875" style="636" customWidth="1"/>
    <col min="5887" max="5887" width="24.7109375" style="636" bestFit="1" customWidth="1"/>
    <col min="5888" max="5888" width="17" style="636" bestFit="1" customWidth="1"/>
    <col min="5889" max="5889" width="3.5703125" style="636" customWidth="1"/>
    <col min="5890" max="5890" width="26.85546875" style="636" bestFit="1" customWidth="1"/>
    <col min="5891" max="6141" width="9.140625" style="636"/>
    <col min="6142" max="6142" width="13.85546875" style="636" customWidth="1"/>
    <col min="6143" max="6143" width="24.7109375" style="636" bestFit="1" customWidth="1"/>
    <col min="6144" max="6144" width="17" style="636" bestFit="1" customWidth="1"/>
    <col min="6145" max="6145" width="3.5703125" style="636" customWidth="1"/>
    <col min="6146" max="6146" width="26.85546875" style="636" bestFit="1" customWidth="1"/>
    <col min="6147" max="6397" width="9.140625" style="636"/>
    <col min="6398" max="6398" width="13.85546875" style="636" customWidth="1"/>
    <col min="6399" max="6399" width="24.7109375" style="636" bestFit="1" customWidth="1"/>
    <col min="6400" max="6400" width="17" style="636" bestFit="1" customWidth="1"/>
    <col min="6401" max="6401" width="3.5703125" style="636" customWidth="1"/>
    <col min="6402" max="6402" width="26.85546875" style="636" bestFit="1" customWidth="1"/>
    <col min="6403" max="6653" width="9.140625" style="636"/>
    <col min="6654" max="6654" width="13.85546875" style="636" customWidth="1"/>
    <col min="6655" max="6655" width="24.7109375" style="636" bestFit="1" customWidth="1"/>
    <col min="6656" max="6656" width="17" style="636" bestFit="1" customWidth="1"/>
    <col min="6657" max="6657" width="3.5703125" style="636" customWidth="1"/>
    <col min="6658" max="6658" width="26.85546875" style="636" bestFit="1" customWidth="1"/>
    <col min="6659" max="6909" width="9.140625" style="636"/>
    <col min="6910" max="6910" width="13.85546875" style="636" customWidth="1"/>
    <col min="6911" max="6911" width="24.7109375" style="636" bestFit="1" customWidth="1"/>
    <col min="6912" max="6912" width="17" style="636" bestFit="1" customWidth="1"/>
    <col min="6913" max="6913" width="3.5703125" style="636" customWidth="1"/>
    <col min="6914" max="6914" width="26.85546875" style="636" bestFit="1" customWidth="1"/>
    <col min="6915" max="7165" width="9.140625" style="636"/>
    <col min="7166" max="7166" width="13.85546875" style="636" customWidth="1"/>
    <col min="7167" max="7167" width="24.7109375" style="636" bestFit="1" customWidth="1"/>
    <col min="7168" max="7168" width="17" style="636" bestFit="1" customWidth="1"/>
    <col min="7169" max="7169" width="3.5703125" style="636" customWidth="1"/>
    <col min="7170" max="7170" width="26.85546875" style="636" bestFit="1" customWidth="1"/>
    <col min="7171" max="7421" width="9.140625" style="636"/>
    <col min="7422" max="7422" width="13.85546875" style="636" customWidth="1"/>
    <col min="7423" max="7423" width="24.7109375" style="636" bestFit="1" customWidth="1"/>
    <col min="7424" max="7424" width="17" style="636" bestFit="1" customWidth="1"/>
    <col min="7425" max="7425" width="3.5703125" style="636" customWidth="1"/>
    <col min="7426" max="7426" width="26.85546875" style="636" bestFit="1" customWidth="1"/>
    <col min="7427" max="7677" width="9.140625" style="636"/>
    <col min="7678" max="7678" width="13.85546875" style="636" customWidth="1"/>
    <col min="7679" max="7679" width="24.7109375" style="636" bestFit="1" customWidth="1"/>
    <col min="7680" max="7680" width="17" style="636" bestFit="1" customWidth="1"/>
    <col min="7681" max="7681" width="3.5703125" style="636" customWidth="1"/>
    <col min="7682" max="7682" width="26.85546875" style="636" bestFit="1" customWidth="1"/>
    <col min="7683" max="7933" width="9.140625" style="636"/>
    <col min="7934" max="7934" width="13.85546875" style="636" customWidth="1"/>
    <col min="7935" max="7935" width="24.7109375" style="636" bestFit="1" customWidth="1"/>
    <col min="7936" max="7936" width="17" style="636" bestFit="1" customWidth="1"/>
    <col min="7937" max="7937" width="3.5703125" style="636" customWidth="1"/>
    <col min="7938" max="7938" width="26.85546875" style="636" bestFit="1" customWidth="1"/>
    <col min="7939" max="8189" width="9.140625" style="636"/>
    <col min="8190" max="8190" width="13.85546875" style="636" customWidth="1"/>
    <col min="8191" max="8191" width="24.7109375" style="636" bestFit="1" customWidth="1"/>
    <col min="8192" max="8192" width="17" style="636" bestFit="1" customWidth="1"/>
    <col min="8193" max="8193" width="3.5703125" style="636" customWidth="1"/>
    <col min="8194" max="8194" width="26.85546875" style="636" bestFit="1" customWidth="1"/>
    <col min="8195" max="8445" width="9.140625" style="636"/>
    <col min="8446" max="8446" width="13.85546875" style="636" customWidth="1"/>
    <col min="8447" max="8447" width="24.7109375" style="636" bestFit="1" customWidth="1"/>
    <col min="8448" max="8448" width="17" style="636" bestFit="1" customWidth="1"/>
    <col min="8449" max="8449" width="3.5703125" style="636" customWidth="1"/>
    <col min="8450" max="8450" width="26.85546875" style="636" bestFit="1" customWidth="1"/>
    <col min="8451" max="8701" width="9.140625" style="636"/>
    <col min="8702" max="8702" width="13.85546875" style="636" customWidth="1"/>
    <col min="8703" max="8703" width="24.7109375" style="636" bestFit="1" customWidth="1"/>
    <col min="8704" max="8704" width="17" style="636" bestFit="1" customWidth="1"/>
    <col min="8705" max="8705" width="3.5703125" style="636" customWidth="1"/>
    <col min="8706" max="8706" width="26.85546875" style="636" bestFit="1" customWidth="1"/>
    <col min="8707" max="8957" width="9.140625" style="636"/>
    <col min="8958" max="8958" width="13.85546875" style="636" customWidth="1"/>
    <col min="8959" max="8959" width="24.7109375" style="636" bestFit="1" customWidth="1"/>
    <col min="8960" max="8960" width="17" style="636" bestFit="1" customWidth="1"/>
    <col min="8961" max="8961" width="3.5703125" style="636" customWidth="1"/>
    <col min="8962" max="8962" width="26.85546875" style="636" bestFit="1" customWidth="1"/>
    <col min="8963" max="9213" width="9.140625" style="636"/>
    <col min="9214" max="9214" width="13.85546875" style="636" customWidth="1"/>
    <col min="9215" max="9215" width="24.7109375" style="636" bestFit="1" customWidth="1"/>
    <col min="9216" max="9216" width="17" style="636" bestFit="1" customWidth="1"/>
    <col min="9217" max="9217" width="3.5703125" style="636" customWidth="1"/>
    <col min="9218" max="9218" width="26.85546875" style="636" bestFit="1" customWidth="1"/>
    <col min="9219" max="9469" width="9.140625" style="636"/>
    <col min="9470" max="9470" width="13.85546875" style="636" customWidth="1"/>
    <col min="9471" max="9471" width="24.7109375" style="636" bestFit="1" customWidth="1"/>
    <col min="9472" max="9472" width="17" style="636" bestFit="1" customWidth="1"/>
    <col min="9473" max="9473" width="3.5703125" style="636" customWidth="1"/>
    <col min="9474" max="9474" width="26.85546875" style="636" bestFit="1" customWidth="1"/>
    <col min="9475" max="9725" width="9.140625" style="636"/>
    <col min="9726" max="9726" width="13.85546875" style="636" customWidth="1"/>
    <col min="9727" max="9727" width="24.7109375" style="636" bestFit="1" customWidth="1"/>
    <col min="9728" max="9728" width="17" style="636" bestFit="1" customWidth="1"/>
    <col min="9729" max="9729" width="3.5703125" style="636" customWidth="1"/>
    <col min="9730" max="9730" width="26.85546875" style="636" bestFit="1" customWidth="1"/>
    <col min="9731" max="9981" width="9.140625" style="636"/>
    <col min="9982" max="9982" width="13.85546875" style="636" customWidth="1"/>
    <col min="9983" max="9983" width="24.7109375" style="636" bestFit="1" customWidth="1"/>
    <col min="9984" max="9984" width="17" style="636" bestFit="1" customWidth="1"/>
    <col min="9985" max="9985" width="3.5703125" style="636" customWidth="1"/>
    <col min="9986" max="9986" width="26.85546875" style="636" bestFit="1" customWidth="1"/>
    <col min="9987" max="10237" width="9.140625" style="636"/>
    <col min="10238" max="10238" width="13.85546875" style="636" customWidth="1"/>
    <col min="10239" max="10239" width="24.7109375" style="636" bestFit="1" customWidth="1"/>
    <col min="10240" max="10240" width="17" style="636" bestFit="1" customWidth="1"/>
    <col min="10241" max="10241" width="3.5703125" style="636" customWidth="1"/>
    <col min="10242" max="10242" width="26.85546875" style="636" bestFit="1" customWidth="1"/>
    <col min="10243" max="10493" width="9.140625" style="636"/>
    <col min="10494" max="10494" width="13.85546875" style="636" customWidth="1"/>
    <col min="10495" max="10495" width="24.7109375" style="636" bestFit="1" customWidth="1"/>
    <col min="10496" max="10496" width="17" style="636" bestFit="1" customWidth="1"/>
    <col min="10497" max="10497" width="3.5703125" style="636" customWidth="1"/>
    <col min="10498" max="10498" width="26.85546875" style="636" bestFit="1" customWidth="1"/>
    <col min="10499" max="10749" width="9.140625" style="636"/>
    <col min="10750" max="10750" width="13.85546875" style="636" customWidth="1"/>
    <col min="10751" max="10751" width="24.7109375" style="636" bestFit="1" customWidth="1"/>
    <col min="10752" max="10752" width="17" style="636" bestFit="1" customWidth="1"/>
    <col min="10753" max="10753" width="3.5703125" style="636" customWidth="1"/>
    <col min="10754" max="10754" width="26.85546875" style="636" bestFit="1" customWidth="1"/>
    <col min="10755" max="11005" width="9.140625" style="636"/>
    <col min="11006" max="11006" width="13.85546875" style="636" customWidth="1"/>
    <col min="11007" max="11007" width="24.7109375" style="636" bestFit="1" customWidth="1"/>
    <col min="11008" max="11008" width="17" style="636" bestFit="1" customWidth="1"/>
    <col min="11009" max="11009" width="3.5703125" style="636" customWidth="1"/>
    <col min="11010" max="11010" width="26.85546875" style="636" bestFit="1" customWidth="1"/>
    <col min="11011" max="11261" width="9.140625" style="636"/>
    <col min="11262" max="11262" width="13.85546875" style="636" customWidth="1"/>
    <col min="11263" max="11263" width="24.7109375" style="636" bestFit="1" customWidth="1"/>
    <col min="11264" max="11264" width="17" style="636" bestFit="1" customWidth="1"/>
    <col min="11265" max="11265" width="3.5703125" style="636" customWidth="1"/>
    <col min="11266" max="11266" width="26.85546875" style="636" bestFit="1" customWidth="1"/>
    <col min="11267" max="11517" width="9.140625" style="636"/>
    <col min="11518" max="11518" width="13.85546875" style="636" customWidth="1"/>
    <col min="11519" max="11519" width="24.7109375" style="636" bestFit="1" customWidth="1"/>
    <col min="11520" max="11520" width="17" style="636" bestFit="1" customWidth="1"/>
    <col min="11521" max="11521" width="3.5703125" style="636" customWidth="1"/>
    <col min="11522" max="11522" width="26.85546875" style="636" bestFit="1" customWidth="1"/>
    <col min="11523" max="11773" width="9.140625" style="636"/>
    <col min="11774" max="11774" width="13.85546875" style="636" customWidth="1"/>
    <col min="11775" max="11775" width="24.7109375" style="636" bestFit="1" customWidth="1"/>
    <col min="11776" max="11776" width="17" style="636" bestFit="1" customWidth="1"/>
    <col min="11777" max="11777" width="3.5703125" style="636" customWidth="1"/>
    <col min="11778" max="11778" width="26.85546875" style="636" bestFit="1" customWidth="1"/>
    <col min="11779" max="12029" width="9.140625" style="636"/>
    <col min="12030" max="12030" width="13.85546875" style="636" customWidth="1"/>
    <col min="12031" max="12031" width="24.7109375" style="636" bestFit="1" customWidth="1"/>
    <col min="12032" max="12032" width="17" style="636" bestFit="1" customWidth="1"/>
    <col min="12033" max="12033" width="3.5703125" style="636" customWidth="1"/>
    <col min="12034" max="12034" width="26.85546875" style="636" bestFit="1" customWidth="1"/>
    <col min="12035" max="12285" width="9.140625" style="636"/>
    <col min="12286" max="12286" width="13.85546875" style="636" customWidth="1"/>
    <col min="12287" max="12287" width="24.7109375" style="636" bestFit="1" customWidth="1"/>
    <col min="12288" max="12288" width="17" style="636" bestFit="1" customWidth="1"/>
    <col min="12289" max="12289" width="3.5703125" style="636" customWidth="1"/>
    <col min="12290" max="12290" width="26.85546875" style="636" bestFit="1" customWidth="1"/>
    <col min="12291" max="12541" width="9.140625" style="636"/>
    <col min="12542" max="12542" width="13.85546875" style="636" customWidth="1"/>
    <col min="12543" max="12543" width="24.7109375" style="636" bestFit="1" customWidth="1"/>
    <col min="12544" max="12544" width="17" style="636" bestFit="1" customWidth="1"/>
    <col min="12545" max="12545" width="3.5703125" style="636" customWidth="1"/>
    <col min="12546" max="12546" width="26.85546875" style="636" bestFit="1" customWidth="1"/>
    <col min="12547" max="12797" width="9.140625" style="636"/>
    <col min="12798" max="12798" width="13.85546875" style="636" customWidth="1"/>
    <col min="12799" max="12799" width="24.7109375" style="636" bestFit="1" customWidth="1"/>
    <col min="12800" max="12800" width="17" style="636" bestFit="1" customWidth="1"/>
    <col min="12801" max="12801" width="3.5703125" style="636" customWidth="1"/>
    <col min="12802" max="12802" width="26.85546875" style="636" bestFit="1" customWidth="1"/>
    <col min="12803" max="13053" width="9.140625" style="636"/>
    <col min="13054" max="13054" width="13.85546875" style="636" customWidth="1"/>
    <col min="13055" max="13055" width="24.7109375" style="636" bestFit="1" customWidth="1"/>
    <col min="13056" max="13056" width="17" style="636" bestFit="1" customWidth="1"/>
    <col min="13057" max="13057" width="3.5703125" style="636" customWidth="1"/>
    <col min="13058" max="13058" width="26.85546875" style="636" bestFit="1" customWidth="1"/>
    <col min="13059" max="13309" width="9.140625" style="636"/>
    <col min="13310" max="13310" width="13.85546875" style="636" customWidth="1"/>
    <col min="13311" max="13311" width="24.7109375" style="636" bestFit="1" customWidth="1"/>
    <col min="13312" max="13312" width="17" style="636" bestFit="1" customWidth="1"/>
    <col min="13313" max="13313" width="3.5703125" style="636" customWidth="1"/>
    <col min="13314" max="13314" width="26.85546875" style="636" bestFit="1" customWidth="1"/>
    <col min="13315" max="13565" width="9.140625" style="636"/>
    <col min="13566" max="13566" width="13.85546875" style="636" customWidth="1"/>
    <col min="13567" max="13567" width="24.7109375" style="636" bestFit="1" customWidth="1"/>
    <col min="13568" max="13568" width="17" style="636" bestFit="1" customWidth="1"/>
    <col min="13569" max="13569" width="3.5703125" style="636" customWidth="1"/>
    <col min="13570" max="13570" width="26.85546875" style="636" bestFit="1" customWidth="1"/>
    <col min="13571" max="13821" width="9.140625" style="636"/>
    <col min="13822" max="13822" width="13.85546875" style="636" customWidth="1"/>
    <col min="13823" max="13823" width="24.7109375" style="636" bestFit="1" customWidth="1"/>
    <col min="13824" max="13824" width="17" style="636" bestFit="1" customWidth="1"/>
    <col min="13825" max="13825" width="3.5703125" style="636" customWidth="1"/>
    <col min="13826" max="13826" width="26.85546875" style="636" bestFit="1" customWidth="1"/>
    <col min="13827" max="14077" width="9.140625" style="636"/>
    <col min="14078" max="14078" width="13.85546875" style="636" customWidth="1"/>
    <col min="14079" max="14079" width="24.7109375" style="636" bestFit="1" customWidth="1"/>
    <col min="14080" max="14080" width="17" style="636" bestFit="1" customWidth="1"/>
    <col min="14081" max="14081" width="3.5703125" style="636" customWidth="1"/>
    <col min="14082" max="14082" width="26.85546875" style="636" bestFit="1" customWidth="1"/>
    <col min="14083" max="14333" width="9.140625" style="636"/>
    <col min="14334" max="14334" width="13.85546875" style="636" customWidth="1"/>
    <col min="14335" max="14335" width="24.7109375" style="636" bestFit="1" customWidth="1"/>
    <col min="14336" max="14336" width="17" style="636" bestFit="1" customWidth="1"/>
    <col min="14337" max="14337" width="3.5703125" style="636" customWidth="1"/>
    <col min="14338" max="14338" width="26.85546875" style="636" bestFit="1" customWidth="1"/>
    <col min="14339" max="14589" width="9.140625" style="636"/>
    <col min="14590" max="14590" width="13.85546875" style="636" customWidth="1"/>
    <col min="14591" max="14591" width="24.7109375" style="636" bestFit="1" customWidth="1"/>
    <col min="14592" max="14592" width="17" style="636" bestFit="1" customWidth="1"/>
    <col min="14593" max="14593" width="3.5703125" style="636" customWidth="1"/>
    <col min="14594" max="14594" width="26.85546875" style="636" bestFit="1" customWidth="1"/>
    <col min="14595" max="14845" width="9.140625" style="636"/>
    <col min="14846" max="14846" width="13.85546875" style="636" customWidth="1"/>
    <col min="14847" max="14847" width="24.7109375" style="636" bestFit="1" customWidth="1"/>
    <col min="14848" max="14848" width="17" style="636" bestFit="1" customWidth="1"/>
    <col min="14849" max="14849" width="3.5703125" style="636" customWidth="1"/>
    <col min="14850" max="14850" width="26.85546875" style="636" bestFit="1" customWidth="1"/>
    <col min="14851" max="15101" width="9.140625" style="636"/>
    <col min="15102" max="15102" width="13.85546875" style="636" customWidth="1"/>
    <col min="15103" max="15103" width="24.7109375" style="636" bestFit="1" customWidth="1"/>
    <col min="15104" max="15104" width="17" style="636" bestFit="1" customWidth="1"/>
    <col min="15105" max="15105" width="3.5703125" style="636" customWidth="1"/>
    <col min="15106" max="15106" width="26.85546875" style="636" bestFit="1" customWidth="1"/>
    <col min="15107" max="15357" width="9.140625" style="636"/>
    <col min="15358" max="15358" width="13.85546875" style="636" customWidth="1"/>
    <col min="15359" max="15359" width="24.7109375" style="636" bestFit="1" customWidth="1"/>
    <col min="15360" max="15360" width="17" style="636" bestFit="1" customWidth="1"/>
    <col min="15361" max="15361" width="3.5703125" style="636" customWidth="1"/>
    <col min="15362" max="15362" width="26.85546875" style="636" bestFit="1" customWidth="1"/>
    <col min="15363" max="15613" width="9.140625" style="636"/>
    <col min="15614" max="15614" width="13.85546875" style="636" customWidth="1"/>
    <col min="15615" max="15615" width="24.7109375" style="636" bestFit="1" customWidth="1"/>
    <col min="15616" max="15616" width="17" style="636" bestFit="1" customWidth="1"/>
    <col min="15617" max="15617" width="3.5703125" style="636" customWidth="1"/>
    <col min="15618" max="15618" width="26.85546875" style="636" bestFit="1" customWidth="1"/>
    <col min="15619" max="15869" width="9.140625" style="636"/>
    <col min="15870" max="15870" width="13.85546875" style="636" customWidth="1"/>
    <col min="15871" max="15871" width="24.7109375" style="636" bestFit="1" customWidth="1"/>
    <col min="15872" max="15872" width="17" style="636" bestFit="1" customWidth="1"/>
    <col min="15873" max="15873" width="3.5703125" style="636" customWidth="1"/>
    <col min="15874" max="15874" width="26.85546875" style="636" bestFit="1" customWidth="1"/>
    <col min="15875" max="16125" width="9.140625" style="636"/>
    <col min="16126" max="16126" width="13.85546875" style="636" customWidth="1"/>
    <col min="16127" max="16127" width="24.7109375" style="636" bestFit="1" customWidth="1"/>
    <col min="16128" max="16128" width="17" style="636" bestFit="1" customWidth="1"/>
    <col min="16129" max="16129" width="3.5703125" style="636" customWidth="1"/>
    <col min="16130" max="16130" width="26.85546875" style="636" bestFit="1" customWidth="1"/>
    <col min="16131" max="16384" width="9.140625" style="636"/>
  </cols>
  <sheetData>
    <row r="1" spans="1:8">
      <c r="A1" s="663" t="s">
        <v>5</v>
      </c>
    </row>
    <row r="2" spans="1:8">
      <c r="A2" s="663" t="s">
        <v>804</v>
      </c>
    </row>
    <row r="3" spans="1:8">
      <c r="A3" s="663" t="s">
        <v>546</v>
      </c>
    </row>
    <row r="4" spans="1:8">
      <c r="A4" s="662"/>
    </row>
    <row r="5" spans="1:8">
      <c r="A5" s="662"/>
    </row>
    <row r="6" spans="1:8">
      <c r="A6" s="661"/>
      <c r="B6" s="649"/>
      <c r="C6" s="649"/>
      <c r="D6" s="649"/>
      <c r="E6" s="649"/>
      <c r="F6" s="649"/>
      <c r="G6" s="649"/>
      <c r="H6" s="648"/>
    </row>
    <row r="7" spans="1:8">
      <c r="A7" s="670" t="s">
        <v>790</v>
      </c>
      <c r="B7" s="636"/>
      <c r="C7" s="642"/>
      <c r="D7" s="642"/>
      <c r="E7" s="642"/>
      <c r="F7" s="642"/>
      <c r="G7" s="642"/>
      <c r="H7" s="641"/>
    </row>
    <row r="8" spans="1:8" ht="15">
      <c r="A8" s="667">
        <v>-1</v>
      </c>
      <c r="B8" s="652" t="s">
        <v>752</v>
      </c>
      <c r="C8" s="668">
        <v>1413786.41</v>
      </c>
      <c r="D8" s="660" t="s">
        <v>799</v>
      </c>
      <c r="G8" s="642"/>
      <c r="H8" s="641"/>
    </row>
    <row r="9" spans="1:8">
      <c r="A9" s="667"/>
      <c r="B9" s="647"/>
      <c r="C9" s="657"/>
      <c r="D9" s="642"/>
      <c r="E9" s="642"/>
      <c r="F9" s="642"/>
      <c r="G9" s="642"/>
      <c r="H9" s="641"/>
    </row>
    <row r="10" spans="1:8" ht="15">
      <c r="A10" s="667">
        <f>A8-1</f>
        <v>-2</v>
      </c>
      <c r="B10" s="643" t="s">
        <v>751</v>
      </c>
      <c r="C10" s="458">
        <v>26961.98</v>
      </c>
      <c r="D10" s="660" t="s">
        <v>750</v>
      </c>
      <c r="E10" s="642"/>
      <c r="F10" s="642"/>
      <c r="G10" s="642"/>
      <c r="H10" s="641"/>
    </row>
    <row r="11" spans="1:8" s="655" customFormat="1" ht="15">
      <c r="A11" s="667"/>
      <c r="B11" s="659"/>
      <c r="C11" s="458"/>
      <c r="D11" s="658"/>
      <c r="E11" s="657"/>
      <c r="F11" s="657"/>
      <c r="G11" s="657"/>
      <c r="H11" s="656"/>
    </row>
    <row r="12" spans="1:8" ht="15">
      <c r="A12" s="667">
        <f>A10-1</f>
        <v>-3</v>
      </c>
      <c r="B12" s="646" t="s">
        <v>791</v>
      </c>
      <c r="C12" s="458">
        <v>531152392.24000001</v>
      </c>
      <c r="D12" s="643" t="s">
        <v>787</v>
      </c>
      <c r="E12" s="642"/>
      <c r="F12" s="642"/>
      <c r="G12" s="642"/>
      <c r="H12" s="641"/>
    </row>
    <row r="13" spans="1:8" ht="15">
      <c r="A13" s="667">
        <f t="shared" ref="A13:A19" si="0">A12-1</f>
        <v>-4</v>
      </c>
      <c r="B13" s="646" t="s">
        <v>792</v>
      </c>
      <c r="C13" s="458">
        <v>-16689973</v>
      </c>
      <c r="D13" s="643" t="s">
        <v>798</v>
      </c>
      <c r="E13" s="642"/>
      <c r="F13" s="642"/>
      <c r="G13" s="642"/>
      <c r="H13" s="641"/>
    </row>
    <row r="14" spans="1:8" ht="15">
      <c r="A14" s="667">
        <f t="shared" si="0"/>
        <v>-5</v>
      </c>
      <c r="B14" s="646" t="s">
        <v>795</v>
      </c>
      <c r="C14" s="458">
        <v>9571559.2300000004</v>
      </c>
      <c r="D14" s="642" t="s">
        <v>749</v>
      </c>
      <c r="E14" s="642"/>
      <c r="F14" s="642"/>
      <c r="G14" s="642"/>
      <c r="H14" s="641"/>
    </row>
    <row r="15" spans="1:8" ht="15">
      <c r="A15" s="667">
        <f t="shared" si="0"/>
        <v>-6</v>
      </c>
      <c r="B15" s="646" t="s">
        <v>793</v>
      </c>
      <c r="C15" s="458">
        <v>83450639.569999993</v>
      </c>
      <c r="D15" s="643" t="s">
        <v>800</v>
      </c>
      <c r="E15" s="642"/>
      <c r="F15" s="642"/>
      <c r="G15" s="642"/>
      <c r="H15" s="641"/>
    </row>
    <row r="16" spans="1:8" ht="15">
      <c r="A16" s="667">
        <f t="shared" si="0"/>
        <v>-7</v>
      </c>
      <c r="B16" s="646" t="s">
        <v>796</v>
      </c>
      <c r="C16" s="458">
        <v>716979.22</v>
      </c>
      <c r="D16" s="643" t="s">
        <v>803</v>
      </c>
      <c r="E16" s="642"/>
      <c r="F16" s="642"/>
      <c r="G16" s="642"/>
      <c r="H16" s="641"/>
    </row>
    <row r="17" spans="1:8" ht="15">
      <c r="A17" s="667">
        <f t="shared" si="0"/>
        <v>-8</v>
      </c>
      <c r="B17" s="646" t="s">
        <v>794</v>
      </c>
      <c r="C17" s="458">
        <v>9237875.8100000005</v>
      </c>
      <c r="D17" s="643" t="s">
        <v>801</v>
      </c>
      <c r="E17" s="642"/>
      <c r="F17" s="642"/>
      <c r="G17" s="642"/>
      <c r="H17" s="641"/>
    </row>
    <row r="18" spans="1:8" ht="15">
      <c r="A18" s="667">
        <f t="shared" si="0"/>
        <v>-9</v>
      </c>
      <c r="B18" s="646" t="s">
        <v>797</v>
      </c>
      <c r="C18" s="664">
        <v>-4261822.78</v>
      </c>
      <c r="D18" s="643" t="s">
        <v>802</v>
      </c>
      <c r="E18" s="642"/>
      <c r="F18" s="642"/>
      <c r="G18" s="642"/>
      <c r="H18" s="641"/>
    </row>
    <row r="19" spans="1:8" ht="15.75" thickBot="1">
      <c r="A19" s="667">
        <f t="shared" si="0"/>
        <v>-10</v>
      </c>
      <c r="B19" s="643" t="s">
        <v>756</v>
      </c>
      <c r="C19" s="669">
        <f>SUM(C12:C18)</f>
        <v>613177650.28999996</v>
      </c>
      <c r="D19" s="654" t="s">
        <v>748</v>
      </c>
      <c r="E19" s="642"/>
      <c r="F19" s="642"/>
      <c r="G19" s="642"/>
      <c r="H19" s="641"/>
    </row>
    <row r="20" spans="1:8" ht="15.75" thickTop="1">
      <c r="A20" s="667"/>
      <c r="B20" s="643"/>
      <c r="C20" s="668"/>
      <c r="D20" s="654"/>
      <c r="E20" s="642"/>
      <c r="F20" s="642"/>
      <c r="G20" s="642"/>
      <c r="H20" s="641"/>
    </row>
    <row r="21" spans="1:8" ht="15">
      <c r="A21" s="667">
        <f>A19-1</f>
        <v>-11</v>
      </c>
      <c r="B21" s="643" t="s">
        <v>788</v>
      </c>
      <c r="C21" s="668">
        <f>C8</f>
        <v>1413786.41</v>
      </c>
      <c r="D21" s="654"/>
      <c r="E21" s="642"/>
      <c r="F21" s="642"/>
      <c r="G21" s="642"/>
      <c r="H21" s="641"/>
    </row>
    <row r="22" spans="1:8" ht="15">
      <c r="A22" s="667">
        <f>A21-1</f>
        <v>-12</v>
      </c>
      <c r="B22" s="643" t="s">
        <v>789</v>
      </c>
      <c r="C22" s="458">
        <f>SUM(C10,C19)</f>
        <v>613204612.26999998</v>
      </c>
      <c r="D22" s="654" t="s">
        <v>757</v>
      </c>
      <c r="E22" s="642"/>
      <c r="F22" s="642"/>
      <c r="G22" s="642"/>
      <c r="H22" s="641"/>
    </row>
    <row r="23" spans="1:8" ht="15">
      <c r="A23" s="667">
        <f>A22-1</f>
        <v>-13</v>
      </c>
      <c r="B23" s="643" t="s">
        <v>825</v>
      </c>
      <c r="C23" s="458">
        <f>SUM(C12:C13)</f>
        <v>514462419.24000001</v>
      </c>
      <c r="D23" s="653"/>
      <c r="E23" s="642"/>
      <c r="F23" s="642"/>
      <c r="G23" s="642"/>
      <c r="H23" s="641"/>
    </row>
    <row r="24" spans="1:8" ht="15">
      <c r="A24" s="667">
        <f>A23-1</f>
        <v>-14</v>
      </c>
      <c r="B24" s="643" t="s">
        <v>758</v>
      </c>
      <c r="C24" s="458">
        <f>SUM(C15:C16)</f>
        <v>84167618.789999992</v>
      </c>
      <c r="D24" s="652" t="s">
        <v>753</v>
      </c>
      <c r="E24" s="642"/>
      <c r="F24" s="642"/>
      <c r="G24" s="642"/>
      <c r="H24" s="641"/>
    </row>
    <row r="25" spans="1:8" ht="15">
      <c r="A25" s="667">
        <f>A24-1</f>
        <v>-15</v>
      </c>
      <c r="B25" s="643" t="s">
        <v>759</v>
      </c>
      <c r="C25" s="458">
        <f>SUM(C17:C18)</f>
        <v>4976053.03</v>
      </c>
      <c r="D25" s="652" t="s">
        <v>754</v>
      </c>
      <c r="E25" s="642"/>
      <c r="F25" s="642"/>
      <c r="G25" s="642"/>
      <c r="H25" s="641"/>
    </row>
    <row r="26" spans="1:8" ht="15">
      <c r="A26" s="667">
        <f>A25-1</f>
        <v>-16</v>
      </c>
      <c r="B26" s="643" t="s">
        <v>760</v>
      </c>
      <c r="C26" s="668">
        <f>SUM(C10,C14)</f>
        <v>9598521.2100000009</v>
      </c>
      <c r="D26" s="652"/>
      <c r="E26" s="642"/>
      <c r="F26" s="642"/>
      <c r="G26" s="642"/>
      <c r="H26" s="641"/>
    </row>
    <row r="27" spans="1:8">
      <c r="A27" s="640"/>
      <c r="B27" s="639"/>
      <c r="C27" s="639"/>
      <c r="D27" s="651"/>
      <c r="E27" s="639"/>
      <c r="F27" s="639"/>
      <c r="G27" s="639"/>
      <c r="H27" s="638"/>
    </row>
    <row r="29" spans="1:8">
      <c r="A29" s="650"/>
      <c r="B29" s="649"/>
      <c r="C29" s="649"/>
      <c r="D29" s="649"/>
      <c r="E29" s="649"/>
      <c r="F29" s="649"/>
      <c r="G29" s="649"/>
      <c r="H29" s="648"/>
    </row>
    <row r="30" spans="1:8">
      <c r="A30" s="644"/>
      <c r="B30" s="647" t="s">
        <v>747</v>
      </c>
      <c r="C30" s="642"/>
      <c r="D30" s="642"/>
      <c r="E30" s="642"/>
      <c r="F30" s="642"/>
      <c r="G30" s="642"/>
      <c r="H30" s="641"/>
    </row>
    <row r="31" spans="1:8">
      <c r="A31" s="644"/>
      <c r="B31" s="643" t="s">
        <v>746</v>
      </c>
      <c r="C31" s="665">
        <f>'Network True-up'!H6</f>
        <v>514462419.01999998</v>
      </c>
      <c r="E31" s="642"/>
      <c r="F31" s="642"/>
      <c r="G31" s="642"/>
      <c r="H31" s="641"/>
    </row>
    <row r="32" spans="1:8">
      <c r="A32" s="644"/>
      <c r="B32" s="642"/>
      <c r="C32" s="642"/>
      <c r="E32" s="642"/>
      <c r="F32" s="642"/>
      <c r="G32" s="642"/>
      <c r="H32" s="641"/>
    </row>
    <row r="33" spans="1:8">
      <c r="A33" s="644"/>
      <c r="B33" s="646" t="s">
        <v>755</v>
      </c>
      <c r="C33" s="645">
        <f>'Network True-up'!H8</f>
        <v>531152392.24000001</v>
      </c>
      <c r="E33" s="642"/>
      <c r="F33" s="642"/>
      <c r="G33" s="642"/>
      <c r="H33" s="641"/>
    </row>
    <row r="34" spans="1:8">
      <c r="A34" s="644"/>
      <c r="B34" s="642"/>
      <c r="C34" s="642"/>
      <c r="E34" s="642"/>
      <c r="F34" s="642"/>
      <c r="G34" s="642"/>
      <c r="H34" s="641"/>
    </row>
    <row r="35" spans="1:8" ht="13.5" thickBot="1">
      <c r="A35" s="644"/>
      <c r="B35" s="643" t="s">
        <v>814</v>
      </c>
      <c r="C35" s="666">
        <f>C31-C33</f>
        <v>-16689973.220000029</v>
      </c>
      <c r="E35" s="642"/>
      <c r="F35" s="642"/>
      <c r="G35" s="642"/>
      <c r="H35" s="641"/>
    </row>
    <row r="36" spans="1:8" ht="13.5" thickTop="1">
      <c r="A36" s="640"/>
      <c r="B36" s="639"/>
      <c r="C36" s="639"/>
      <c r="D36" s="639"/>
      <c r="E36" s="639"/>
      <c r="F36" s="639"/>
      <c r="G36" s="639"/>
      <c r="H36" s="638"/>
    </row>
  </sheetData>
  <pageMargins left="0.75" right="0.75" top="1" bottom="1" header="0.5" footer="0.5"/>
  <pageSetup scale="79" orientation="landscape" copies="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W312"/>
  <sheetViews>
    <sheetView view="pageBreakPreview" zoomScale="70" zoomScaleNormal="70" zoomScaleSheetLayoutView="70" workbookViewId="0"/>
  </sheetViews>
  <sheetFormatPr defaultRowHeight="15"/>
  <cols>
    <col min="1" max="1" width="10.85546875" style="187" bestFit="1" customWidth="1"/>
    <col min="2" max="2" width="7.7109375" style="185" customWidth="1"/>
    <col min="3" max="3" width="1.85546875" style="185" customWidth="1"/>
    <col min="4" max="4" width="69.28515625" style="185" bestFit="1" customWidth="1"/>
    <col min="5" max="5" width="18.140625" style="185" customWidth="1"/>
    <col min="6" max="6" width="21.7109375" style="185" customWidth="1"/>
    <col min="7" max="8" width="18.140625" style="185" customWidth="1"/>
    <col min="9" max="9" width="17.85546875" style="185" customWidth="1"/>
    <col min="10" max="11" width="16.42578125" style="185" customWidth="1"/>
    <col min="12" max="13" width="17.42578125" style="185" customWidth="1"/>
    <col min="14" max="14" width="20.5703125" style="185" customWidth="1"/>
    <col min="15" max="15" width="16.42578125" style="185" customWidth="1"/>
    <col min="16" max="16" width="17.85546875" style="185" customWidth="1"/>
    <col min="17" max="17" width="11.7109375" style="185" bestFit="1" customWidth="1"/>
    <col min="18" max="18" width="16.7109375" style="187" customWidth="1"/>
    <col min="19" max="19" width="12" style="185" bestFit="1" customWidth="1"/>
    <col min="20" max="20" width="11.7109375" style="185" bestFit="1" customWidth="1"/>
    <col min="21" max="22" width="12" style="185" bestFit="1" customWidth="1"/>
    <col min="23" max="23" width="12.85546875" style="185" bestFit="1" customWidth="1"/>
    <col min="24" max="16384" width="9.140625" style="185"/>
  </cols>
  <sheetData>
    <row r="1" spans="2:20">
      <c r="P1" s="186"/>
    </row>
    <row r="2" spans="2:20">
      <c r="P2" s="186"/>
    </row>
    <row r="4" spans="2:20">
      <c r="P4" s="186" t="s">
        <v>351</v>
      </c>
    </row>
    <row r="5" spans="2:20" ht="15.75">
      <c r="D5" s="188" t="s">
        <v>352</v>
      </c>
      <c r="E5" s="188"/>
      <c r="F5" s="188"/>
      <c r="G5" s="188"/>
      <c r="H5" s="189" t="s">
        <v>353</v>
      </c>
      <c r="I5" s="188"/>
      <c r="J5" s="188"/>
      <c r="K5" s="188"/>
      <c r="L5" s="190"/>
      <c r="M5" s="190"/>
      <c r="N5" s="191"/>
      <c r="O5" s="192"/>
      <c r="P5" s="193" t="s">
        <v>548</v>
      </c>
      <c r="Q5" s="194"/>
      <c r="R5" s="195"/>
      <c r="S5" s="194"/>
      <c r="T5" s="194"/>
    </row>
    <row r="6" spans="2:20">
      <c r="D6" s="188"/>
      <c r="E6" s="188"/>
      <c r="F6" s="196" t="s">
        <v>3</v>
      </c>
      <c r="G6" s="196"/>
      <c r="H6" s="196" t="s">
        <v>354</v>
      </c>
      <c r="I6" s="196"/>
      <c r="J6" s="196"/>
      <c r="K6" s="196"/>
      <c r="L6" s="190"/>
      <c r="M6" s="190"/>
      <c r="O6" s="197"/>
      <c r="P6" s="190"/>
      <c r="Q6" s="194"/>
      <c r="R6" s="198"/>
      <c r="S6" s="194"/>
      <c r="T6" s="194"/>
    </row>
    <row r="7" spans="2:20">
      <c r="D7" s="197"/>
      <c r="E7" s="197"/>
      <c r="F7" s="197"/>
      <c r="G7" s="197"/>
      <c r="H7" s="197"/>
      <c r="I7" s="197"/>
      <c r="J7" s="197"/>
      <c r="K7" s="197"/>
      <c r="L7" s="197"/>
      <c r="M7" s="197"/>
      <c r="O7" s="197"/>
      <c r="P7" s="197" t="s">
        <v>355</v>
      </c>
      <c r="Q7" s="194"/>
      <c r="R7" s="195"/>
      <c r="S7" s="194"/>
      <c r="T7" s="194"/>
    </row>
    <row r="8" spans="2:20">
      <c r="B8" s="199"/>
      <c r="D8" s="197"/>
      <c r="E8" s="197"/>
      <c r="F8" s="197"/>
      <c r="G8" s="192"/>
      <c r="H8" s="200" t="s">
        <v>5</v>
      </c>
      <c r="I8" s="192"/>
      <c r="J8" s="197"/>
      <c r="K8" s="197"/>
      <c r="L8" s="197"/>
      <c r="M8" s="197"/>
      <c r="N8" s="197"/>
      <c r="O8" s="197"/>
      <c r="P8" s="197"/>
      <c r="Q8" s="194"/>
      <c r="R8" s="195"/>
      <c r="S8" s="194"/>
      <c r="T8" s="194"/>
    </row>
    <row r="9" spans="2:20">
      <c r="B9" s="199"/>
      <c r="D9" s="197"/>
      <c r="E9" s="197"/>
      <c r="F9" s="197"/>
      <c r="G9" s="197"/>
      <c r="H9" s="201"/>
      <c r="I9" s="197"/>
      <c r="J9" s="197"/>
      <c r="K9" s="197"/>
      <c r="L9" s="197"/>
      <c r="M9" s="197"/>
      <c r="N9" s="197"/>
      <c r="O9" s="197"/>
      <c r="P9" s="197"/>
      <c r="Q9" s="194"/>
      <c r="R9" s="195"/>
      <c r="S9" s="194"/>
      <c r="T9" s="194"/>
    </row>
    <row r="10" spans="2:20">
      <c r="B10" s="199"/>
      <c r="D10" s="197" t="s">
        <v>356</v>
      </c>
      <c r="E10" s="197"/>
      <c r="F10" s="197"/>
      <c r="G10" s="197"/>
      <c r="H10" s="201"/>
      <c r="I10" s="197"/>
      <c r="J10" s="197"/>
      <c r="K10" s="197"/>
      <c r="L10" s="197"/>
      <c r="M10" s="197"/>
      <c r="N10" s="197"/>
      <c r="O10" s="197"/>
      <c r="P10" s="197"/>
      <c r="Q10" s="194"/>
      <c r="R10" s="195"/>
      <c r="S10" s="194"/>
      <c r="T10" s="194"/>
    </row>
    <row r="11" spans="2:20">
      <c r="B11" s="199"/>
      <c r="D11" s="197"/>
      <c r="E11" s="197"/>
      <c r="F11" s="197"/>
      <c r="G11" s="197"/>
      <c r="H11" s="201"/>
      <c r="N11" s="197"/>
      <c r="O11" s="197"/>
      <c r="P11" s="197"/>
      <c r="Q11" s="194"/>
      <c r="R11" s="195"/>
      <c r="S11" s="194"/>
      <c r="T11" s="194"/>
    </row>
    <row r="12" spans="2:20">
      <c r="B12" s="199"/>
      <c r="D12" s="197"/>
      <c r="E12" s="197"/>
      <c r="F12" s="197"/>
      <c r="G12" s="197"/>
      <c r="H12" s="197"/>
      <c r="N12" s="202"/>
      <c r="O12" s="197"/>
      <c r="P12" s="197"/>
      <c r="Q12" s="194"/>
      <c r="R12" s="195"/>
      <c r="S12" s="194"/>
      <c r="T12" s="194"/>
    </row>
    <row r="13" spans="2:20">
      <c r="D13" s="203" t="s">
        <v>62</v>
      </c>
      <c r="E13" s="203"/>
      <c r="F13" s="203" t="s">
        <v>63</v>
      </c>
      <c r="G13" s="203"/>
      <c r="H13" s="203" t="s">
        <v>64</v>
      </c>
      <c r="N13" s="204" t="s">
        <v>65</v>
      </c>
      <c r="O13" s="196"/>
      <c r="P13" s="204"/>
      <c r="Q13" s="205"/>
      <c r="R13" s="206"/>
      <c r="S13" s="205"/>
      <c r="T13" s="207"/>
    </row>
    <row r="14" spans="2:20" ht="15.75">
      <c r="D14" s="208"/>
      <c r="E14" s="208"/>
      <c r="F14" s="209" t="s">
        <v>357</v>
      </c>
      <c r="G14" s="209"/>
      <c r="H14" s="196"/>
      <c r="O14" s="196"/>
      <c r="Q14" s="205"/>
      <c r="R14" s="198"/>
      <c r="S14" s="210"/>
      <c r="T14" s="207"/>
    </row>
    <row r="15" spans="2:20" ht="15.75">
      <c r="B15" s="199" t="s">
        <v>8</v>
      </c>
      <c r="D15" s="208"/>
      <c r="E15" s="208"/>
      <c r="F15" s="211" t="s">
        <v>69</v>
      </c>
      <c r="G15" s="211"/>
      <c r="H15" s="212" t="s">
        <v>68</v>
      </c>
      <c r="N15" s="212" t="s">
        <v>16</v>
      </c>
      <c r="O15" s="196"/>
      <c r="Q15" s="194"/>
      <c r="R15" s="213"/>
      <c r="S15" s="210"/>
      <c r="T15" s="207"/>
    </row>
    <row r="16" spans="2:20" ht="15.75">
      <c r="B16" s="199" t="s">
        <v>10</v>
      </c>
      <c r="D16" s="214"/>
      <c r="E16" s="214"/>
      <c r="F16" s="196"/>
      <c r="G16" s="196"/>
      <c r="H16" s="196"/>
      <c r="N16" s="196"/>
      <c r="O16" s="196"/>
      <c r="P16" s="196"/>
      <c r="Q16" s="194"/>
      <c r="R16" s="215"/>
      <c r="S16" s="205"/>
      <c r="T16" s="207"/>
    </row>
    <row r="17" spans="2:20" ht="15.75">
      <c r="B17" s="216"/>
      <c r="D17" s="208"/>
      <c r="E17" s="208"/>
      <c r="F17" s="196"/>
      <c r="G17" s="196"/>
      <c r="H17" s="196"/>
      <c r="N17" s="196"/>
      <c r="O17" s="196"/>
      <c r="P17" s="196"/>
      <c r="Q17" s="194"/>
      <c r="R17" s="215"/>
      <c r="S17" s="205"/>
      <c r="T17" s="207"/>
    </row>
    <row r="18" spans="2:20">
      <c r="B18" s="217">
        <v>1</v>
      </c>
      <c r="D18" s="208" t="s">
        <v>358</v>
      </c>
      <c r="E18" s="208"/>
      <c r="F18" s="218" t="s">
        <v>359</v>
      </c>
      <c r="G18" s="218"/>
      <c r="H18" s="219">
        <f>'ATC Attach O ER13-1181'!I87+'ATC Attach O ER13-1181'!I88</f>
        <v>4149327607.2907691</v>
      </c>
      <c r="O18" s="196"/>
      <c r="P18" s="196"/>
      <c r="Q18" s="194"/>
      <c r="R18" s="215"/>
      <c r="S18" s="205"/>
      <c r="T18" s="207"/>
    </row>
    <row r="19" spans="2:20">
      <c r="B19" s="217">
        <v>2</v>
      </c>
      <c r="D19" s="208" t="s">
        <v>360</v>
      </c>
      <c r="E19" s="208"/>
      <c r="F19" s="218" t="s">
        <v>361</v>
      </c>
      <c r="G19" s="218"/>
      <c r="H19" s="219">
        <f>'ATC Attach O ER13-1181'!I105+'ATC Attach O ER13-1181'!I106</f>
        <v>3159148104.7459092</v>
      </c>
      <c r="O19" s="196"/>
      <c r="P19" s="196"/>
      <c r="Q19" s="194"/>
      <c r="R19" s="215"/>
      <c r="S19" s="205"/>
      <c r="T19" s="207"/>
    </row>
    <row r="20" spans="2:20">
      <c r="B20" s="217"/>
      <c r="F20" s="218"/>
      <c r="G20" s="218"/>
      <c r="O20" s="196"/>
      <c r="P20" s="196"/>
      <c r="Q20" s="194"/>
      <c r="R20" s="215"/>
      <c r="S20" s="205"/>
      <c r="T20" s="207"/>
    </row>
    <row r="21" spans="2:20">
      <c r="B21" s="217"/>
      <c r="D21" s="208" t="s">
        <v>362</v>
      </c>
      <c r="E21" s="208"/>
      <c r="F21" s="218"/>
      <c r="G21" s="218"/>
      <c r="H21" s="196"/>
      <c r="N21" s="196"/>
      <c r="O21" s="196"/>
      <c r="P21" s="196"/>
      <c r="Q21" s="205"/>
      <c r="R21" s="215"/>
      <c r="S21" s="205"/>
      <c r="T21" s="207"/>
    </row>
    <row r="22" spans="2:20">
      <c r="B22" s="217">
        <v>3</v>
      </c>
      <c r="D22" s="208" t="s">
        <v>363</v>
      </c>
      <c r="E22" s="208"/>
      <c r="F22" s="218" t="s">
        <v>364</v>
      </c>
      <c r="G22" s="218"/>
      <c r="H22" s="219">
        <f>'ATC Attach O ER13-1181'!I165</f>
        <v>146218483.97076175</v>
      </c>
      <c r="N22" s="196"/>
      <c r="O22" s="196"/>
      <c r="P22" s="196"/>
      <c r="Q22" s="205"/>
      <c r="R22" s="215"/>
      <c r="S22" s="205"/>
      <c r="T22" s="207"/>
    </row>
    <row r="23" spans="2:20">
      <c r="B23" s="217" t="s">
        <v>365</v>
      </c>
      <c r="D23" s="208" t="s">
        <v>366</v>
      </c>
      <c r="E23" s="208"/>
      <c r="F23" s="218" t="s">
        <v>367</v>
      </c>
      <c r="G23" s="218"/>
      <c r="H23" s="220">
        <v>19012033.280000001</v>
      </c>
      <c r="N23" s="196"/>
      <c r="O23" s="196"/>
      <c r="P23" s="196"/>
      <c r="Q23" s="205"/>
      <c r="R23" s="215"/>
      <c r="S23" s="205"/>
      <c r="T23" s="207"/>
    </row>
    <row r="24" spans="2:20">
      <c r="B24" s="217" t="s">
        <v>368</v>
      </c>
      <c r="D24" s="208" t="s">
        <v>369</v>
      </c>
      <c r="E24" s="208"/>
      <c r="F24" s="218" t="s">
        <v>370</v>
      </c>
      <c r="G24" s="218"/>
      <c r="H24" s="221">
        <f>+H22-H23</f>
        <v>127206450.69076174</v>
      </c>
      <c r="O24" s="196"/>
      <c r="P24" s="196"/>
      <c r="Q24" s="205"/>
      <c r="R24" s="215"/>
      <c r="S24" s="205"/>
      <c r="T24" s="207"/>
    </row>
    <row r="25" spans="2:20" ht="15.75">
      <c r="B25" s="217">
        <v>4</v>
      </c>
      <c r="D25" s="208" t="s">
        <v>371</v>
      </c>
      <c r="E25" s="208"/>
      <c r="F25" s="218" t="s">
        <v>372</v>
      </c>
      <c r="G25" s="218"/>
      <c r="H25" s="222">
        <f>IF(H24=0,0,H24/H18)</f>
        <v>3.0657123931898685E-2</v>
      </c>
      <c r="N25" s="223">
        <f>H25</f>
        <v>3.0657123931898685E-2</v>
      </c>
      <c r="O25" s="196"/>
      <c r="P25" s="224"/>
      <c r="Q25" s="225"/>
      <c r="R25" s="226"/>
      <c r="S25" s="205"/>
      <c r="T25" s="207"/>
    </row>
    <row r="26" spans="2:20" ht="15.75">
      <c r="B26" s="217"/>
      <c r="D26" s="208"/>
      <c r="E26" s="208"/>
      <c r="F26" s="218"/>
      <c r="G26" s="218"/>
      <c r="H26" s="222"/>
      <c r="N26" s="223"/>
      <c r="O26" s="196"/>
      <c r="P26" s="224"/>
      <c r="Q26" s="225"/>
      <c r="R26" s="226"/>
      <c r="S26" s="205"/>
      <c r="T26" s="207"/>
    </row>
    <row r="27" spans="2:20" ht="15.75">
      <c r="B27" s="227"/>
      <c r="D27" s="208" t="s">
        <v>373</v>
      </c>
      <c r="E27" s="208"/>
      <c r="F27" s="228"/>
      <c r="G27" s="228"/>
      <c r="H27" s="196"/>
      <c r="N27" s="196"/>
      <c r="O27" s="196"/>
      <c r="P27" s="224"/>
      <c r="Q27" s="225"/>
      <c r="R27" s="226"/>
      <c r="S27" s="205"/>
      <c r="T27" s="207"/>
    </row>
    <row r="28" spans="2:20" ht="15.75">
      <c r="B28" s="227" t="s">
        <v>374</v>
      </c>
      <c r="D28" s="208" t="s">
        <v>375</v>
      </c>
      <c r="E28" s="208"/>
      <c r="F28" s="218" t="s">
        <v>376</v>
      </c>
      <c r="G28" s="218"/>
      <c r="H28" s="219">
        <f>'ATC Attach O ER13-1181'!I169+'ATC Attach O ER13-1181'!I170</f>
        <v>7157102</v>
      </c>
      <c r="O28" s="196"/>
      <c r="P28" s="224"/>
      <c r="Q28" s="225"/>
      <c r="R28" s="226"/>
      <c r="S28" s="205"/>
      <c r="T28" s="207"/>
    </row>
    <row r="29" spans="2:20" ht="15.75">
      <c r="B29" s="227" t="s">
        <v>377</v>
      </c>
      <c r="D29" s="208" t="s">
        <v>378</v>
      </c>
      <c r="E29" s="208"/>
      <c r="F29" s="218" t="s">
        <v>379</v>
      </c>
      <c r="G29" s="218"/>
      <c r="H29" s="222">
        <f>IF(H28=0,0,H28/H18)</f>
        <v>1.7248823610418905E-3</v>
      </c>
      <c r="N29" s="223">
        <f>H29</f>
        <v>1.7248823610418905E-3</v>
      </c>
      <c r="O29" s="196"/>
      <c r="P29" s="224"/>
      <c r="Q29" s="225"/>
      <c r="R29" s="226"/>
      <c r="S29" s="205"/>
      <c r="T29" s="207"/>
    </row>
    <row r="30" spans="2:20" ht="15.75">
      <c r="B30" s="217"/>
      <c r="D30" s="208"/>
      <c r="E30" s="208"/>
      <c r="F30" s="218"/>
      <c r="G30" s="218"/>
      <c r="H30" s="222"/>
      <c r="N30" s="223"/>
      <c r="O30" s="196"/>
      <c r="P30" s="224"/>
      <c r="Q30" s="225"/>
      <c r="R30" s="226"/>
      <c r="S30" s="205"/>
      <c r="T30" s="207"/>
    </row>
    <row r="31" spans="2:20">
      <c r="B31" s="227"/>
      <c r="D31" s="208" t="s">
        <v>380</v>
      </c>
      <c r="E31" s="208"/>
      <c r="F31" s="228"/>
      <c r="G31" s="228"/>
      <c r="H31" s="196"/>
      <c r="N31" s="196"/>
      <c r="O31" s="196"/>
      <c r="P31" s="196"/>
      <c r="Q31" s="205"/>
      <c r="R31" s="229"/>
      <c r="S31" s="205"/>
      <c r="T31" s="207"/>
    </row>
    <row r="32" spans="2:20" ht="15.75">
      <c r="B32" s="227" t="s">
        <v>381</v>
      </c>
      <c r="D32" s="208" t="s">
        <v>382</v>
      </c>
      <c r="E32" s="208"/>
      <c r="F32" s="218" t="s">
        <v>383</v>
      </c>
      <c r="G32" s="218"/>
      <c r="H32" s="219">
        <f>'ATC Attach O ER13-1181'!I182</f>
        <v>19083646.300000001</v>
      </c>
      <c r="O32" s="196"/>
      <c r="P32" s="230"/>
      <c r="Q32" s="205"/>
      <c r="R32" s="231"/>
      <c r="S32" s="210"/>
      <c r="T32" s="207"/>
    </row>
    <row r="33" spans="2:20" ht="15.75">
      <c r="B33" s="227" t="s">
        <v>384</v>
      </c>
      <c r="D33" s="208" t="s">
        <v>385</v>
      </c>
      <c r="E33" s="208"/>
      <c r="F33" s="218" t="s">
        <v>386</v>
      </c>
      <c r="G33" s="218"/>
      <c r="H33" s="222">
        <f>IF(H32=0,0,H32/H18)</f>
        <v>4.5992141633907609E-3</v>
      </c>
      <c r="N33" s="223">
        <f>H33</f>
        <v>4.5992141633907609E-3</v>
      </c>
      <c r="O33" s="196"/>
      <c r="P33" s="224"/>
      <c r="Q33" s="205"/>
      <c r="R33" s="226"/>
      <c r="S33" s="210"/>
      <c r="T33" s="207"/>
    </row>
    <row r="34" spans="2:20">
      <c r="B34" s="227"/>
      <c r="D34" s="208"/>
      <c r="E34" s="208"/>
      <c r="F34" s="218"/>
      <c r="G34" s="218"/>
      <c r="H34" s="196"/>
      <c r="N34" s="196"/>
      <c r="O34" s="196"/>
      <c r="S34" s="205"/>
      <c r="T34" s="207"/>
    </row>
    <row r="35" spans="2:20" ht="15.75">
      <c r="B35" s="232" t="s">
        <v>387</v>
      </c>
      <c r="C35" s="233"/>
      <c r="D35" s="214" t="s">
        <v>388</v>
      </c>
      <c r="E35" s="214"/>
      <c r="F35" s="209" t="s">
        <v>389</v>
      </c>
      <c r="G35" s="209"/>
      <c r="H35" s="234"/>
      <c r="N35" s="235">
        <f>N25+N29+N33</f>
        <v>3.6981220456331336E-2</v>
      </c>
      <c r="O35" s="196"/>
      <c r="S35" s="205"/>
      <c r="T35" s="207"/>
    </row>
    <row r="36" spans="2:20">
      <c r="B36" s="227"/>
      <c r="D36" s="208"/>
      <c r="E36" s="208"/>
      <c r="F36" s="218"/>
      <c r="G36" s="218"/>
      <c r="H36" s="196"/>
      <c r="N36" s="196"/>
      <c r="O36" s="196"/>
      <c r="P36" s="196"/>
      <c r="Q36" s="205"/>
      <c r="R36" s="236"/>
      <c r="S36" s="205"/>
      <c r="T36" s="207"/>
    </row>
    <row r="37" spans="2:20">
      <c r="B37" s="227"/>
      <c r="D37" s="196" t="s">
        <v>390</v>
      </c>
      <c r="E37" s="196"/>
      <c r="F37" s="218"/>
      <c r="G37" s="218"/>
      <c r="H37" s="196"/>
      <c r="N37" s="196"/>
      <c r="O37" s="196"/>
      <c r="S37" s="210"/>
      <c r="T37" s="205" t="s">
        <v>3</v>
      </c>
    </row>
    <row r="38" spans="2:20">
      <c r="B38" s="227" t="s">
        <v>391</v>
      </c>
      <c r="D38" s="196" t="s">
        <v>392</v>
      </c>
      <c r="E38" s="196"/>
      <c r="F38" s="218" t="s">
        <v>393</v>
      </c>
      <c r="G38" s="218"/>
      <c r="H38" s="219">
        <f>'ATC Attach O ER13-1181'!I197</f>
        <v>98921602.21656163</v>
      </c>
      <c r="N38" s="196"/>
      <c r="O38" s="196"/>
      <c r="S38" s="210"/>
      <c r="T38" s="205"/>
    </row>
    <row r="39" spans="2:20" ht="15.75">
      <c r="B39" s="227" t="s">
        <v>394</v>
      </c>
      <c r="D39" s="196" t="s">
        <v>395</v>
      </c>
      <c r="E39" s="196"/>
      <c r="F39" s="218" t="s">
        <v>396</v>
      </c>
      <c r="G39" s="218"/>
      <c r="H39" s="222">
        <f>IF(H38=0,0,H38/H19)</f>
        <v>3.1312746011481443E-2</v>
      </c>
      <c r="N39" s="223">
        <f>H39</f>
        <v>3.1312746011481443E-2</v>
      </c>
      <c r="O39" s="196"/>
      <c r="Q39" s="205"/>
      <c r="R39" s="215"/>
      <c r="S39" s="210"/>
      <c r="T39" s="205"/>
    </row>
    <row r="40" spans="2:20">
      <c r="B40" s="227"/>
      <c r="D40" s="196"/>
      <c r="E40" s="196"/>
      <c r="F40" s="218"/>
      <c r="G40" s="218"/>
      <c r="H40" s="196"/>
      <c r="N40" s="196"/>
      <c r="O40" s="196"/>
      <c r="Q40" s="194"/>
      <c r="R40" s="215"/>
      <c r="S40" s="194"/>
      <c r="T40" s="207"/>
    </row>
    <row r="41" spans="2:20">
      <c r="B41" s="227"/>
      <c r="D41" s="208" t="s">
        <v>188</v>
      </c>
      <c r="E41" s="208"/>
      <c r="F41" s="237"/>
      <c r="G41" s="237"/>
      <c r="O41" s="196"/>
      <c r="Q41" s="205"/>
      <c r="R41" s="215"/>
      <c r="S41" s="205"/>
      <c r="T41" s="207"/>
    </row>
    <row r="42" spans="2:20">
      <c r="B42" s="227" t="s">
        <v>397</v>
      </c>
      <c r="D42" s="208" t="s">
        <v>398</v>
      </c>
      <c r="E42" s="208"/>
      <c r="F42" s="218" t="s">
        <v>399</v>
      </c>
      <c r="G42" s="218"/>
      <c r="H42" s="219">
        <f>'ATC Attach O ER13-1181'!I199</f>
        <v>235586448.71995243</v>
      </c>
      <c r="N42" s="196"/>
      <c r="O42" s="196"/>
      <c r="Q42" s="205"/>
      <c r="R42" s="215"/>
      <c r="S42" s="205"/>
      <c r="T42" s="207"/>
    </row>
    <row r="43" spans="2:20" ht="15.75">
      <c r="B43" s="227" t="s">
        <v>400</v>
      </c>
      <c r="D43" s="196" t="s">
        <v>401</v>
      </c>
      <c r="E43" s="196"/>
      <c r="F43" s="218" t="s">
        <v>402</v>
      </c>
      <c r="G43" s="218"/>
      <c r="H43" s="238">
        <f>IF(H42=0,0,H42/H19)</f>
        <v>7.4572777504807952E-2</v>
      </c>
      <c r="N43" s="223">
        <f>H43</f>
        <v>7.4572777504807952E-2</v>
      </c>
      <c r="O43" s="196"/>
      <c r="R43" s="239"/>
      <c r="S43" s="210"/>
      <c r="T43" s="205"/>
    </row>
    <row r="44" spans="2:20">
      <c r="B44" s="227"/>
      <c r="D44" s="208"/>
      <c r="E44" s="208"/>
      <c r="F44" s="218"/>
      <c r="G44" s="218"/>
      <c r="H44" s="196"/>
      <c r="N44" s="196"/>
      <c r="O44" s="196"/>
      <c r="P44" s="237"/>
      <c r="Q44" s="205"/>
      <c r="R44" s="215"/>
      <c r="S44" s="205"/>
      <c r="T44" s="207"/>
    </row>
    <row r="45" spans="2:20" ht="15.75">
      <c r="B45" s="232" t="s">
        <v>403</v>
      </c>
      <c r="C45" s="233"/>
      <c r="D45" s="214" t="s">
        <v>404</v>
      </c>
      <c r="E45" s="214"/>
      <c r="F45" s="209" t="s">
        <v>405</v>
      </c>
      <c r="G45" s="209"/>
      <c r="H45" s="234"/>
      <c r="N45" s="235">
        <f>N39+N43</f>
        <v>0.1058855235162894</v>
      </c>
      <c r="O45" s="196"/>
      <c r="P45" s="237"/>
      <c r="Q45" s="205"/>
      <c r="R45" s="215"/>
      <c r="S45" s="205"/>
      <c r="T45" s="207"/>
    </row>
    <row r="46" spans="2:20">
      <c r="O46" s="197"/>
      <c r="P46" s="197"/>
      <c r="Q46" s="205"/>
      <c r="R46" s="215"/>
      <c r="S46" s="205"/>
      <c r="T46" s="207"/>
    </row>
    <row r="47" spans="2:20">
      <c r="O47" s="197"/>
      <c r="P47" s="197"/>
      <c r="Q47" s="205"/>
      <c r="R47" s="215"/>
      <c r="S47" s="205"/>
      <c r="T47" s="207"/>
    </row>
    <row r="48" spans="2:20">
      <c r="O48" s="197"/>
      <c r="P48" s="197"/>
      <c r="Q48" s="205"/>
      <c r="R48" s="215"/>
      <c r="S48" s="205"/>
      <c r="T48" s="207"/>
    </row>
    <row r="49" spans="2:20">
      <c r="O49" s="197"/>
      <c r="P49" s="197"/>
      <c r="Q49" s="207"/>
      <c r="R49" s="195"/>
      <c r="S49" s="207"/>
      <c r="T49" s="207"/>
    </row>
    <row r="50" spans="2:20">
      <c r="O50" s="196"/>
      <c r="P50" s="196"/>
      <c r="Q50" s="205"/>
      <c r="R50" s="195"/>
      <c r="S50" s="205"/>
      <c r="T50" s="207"/>
    </row>
    <row r="51" spans="2:20" ht="15.75">
      <c r="O51" s="196"/>
      <c r="P51" s="224"/>
      <c r="Q51" s="205"/>
      <c r="R51" s="215"/>
      <c r="S51" s="217"/>
      <c r="T51" s="205"/>
    </row>
    <row r="52" spans="2:20" ht="15.75">
      <c r="O52" s="196"/>
      <c r="P52" s="224"/>
      <c r="Q52" s="205"/>
      <c r="R52" s="215"/>
      <c r="S52" s="217"/>
      <c r="T52" s="205"/>
    </row>
    <row r="53" spans="2:20" ht="15.75">
      <c r="O53" s="196"/>
      <c r="P53" s="224"/>
      <c r="Q53" s="205"/>
      <c r="R53" s="215"/>
      <c r="S53" s="217"/>
      <c r="T53" s="205"/>
    </row>
    <row r="54" spans="2:20" ht="15.75">
      <c r="B54" s="227"/>
      <c r="D54" s="240"/>
      <c r="E54" s="240"/>
      <c r="F54" s="228"/>
      <c r="G54" s="228"/>
      <c r="H54" s="196"/>
      <c r="I54" s="240"/>
      <c r="J54" s="240"/>
      <c r="K54" s="222"/>
      <c r="L54" s="240"/>
      <c r="M54" s="240"/>
      <c r="N54" s="196"/>
      <c r="O54" s="196"/>
      <c r="P54" s="224"/>
      <c r="Q54" s="205"/>
      <c r="R54" s="215"/>
      <c r="S54" s="217"/>
      <c r="T54" s="205"/>
    </row>
    <row r="55" spans="2:20" ht="15.75">
      <c r="B55" s="227"/>
      <c r="D55" s="240"/>
      <c r="E55" s="240"/>
      <c r="F55" s="228"/>
      <c r="G55" s="228"/>
      <c r="H55" s="196"/>
      <c r="I55" s="240"/>
      <c r="J55" s="240"/>
      <c r="K55" s="222"/>
      <c r="L55" s="240"/>
      <c r="M55" s="240"/>
      <c r="N55" s="196"/>
      <c r="O55" s="196"/>
      <c r="P55" s="224"/>
      <c r="Q55" s="205"/>
      <c r="R55" s="215"/>
      <c r="S55" s="217"/>
      <c r="T55" s="205"/>
    </row>
    <row r="56" spans="2:20" ht="15.75">
      <c r="B56" s="241"/>
      <c r="D56" s="227"/>
      <c r="E56" s="227"/>
      <c r="F56" s="228"/>
      <c r="G56" s="228"/>
      <c r="H56" s="196"/>
      <c r="I56" s="240"/>
      <c r="J56" s="240"/>
      <c r="K56" s="222"/>
      <c r="L56" s="240"/>
      <c r="M56" s="240"/>
      <c r="O56" s="196"/>
      <c r="P56" s="242"/>
      <c r="Q56" s="243"/>
      <c r="R56" s="215"/>
      <c r="S56" s="217"/>
      <c r="T56" s="205"/>
    </row>
    <row r="57" spans="2:20" ht="15.75">
      <c r="B57" s="241"/>
      <c r="D57" s="227"/>
      <c r="E57" s="227"/>
      <c r="F57" s="228"/>
      <c r="G57" s="228"/>
      <c r="H57" s="196"/>
      <c r="I57" s="240"/>
      <c r="J57" s="240"/>
      <c r="K57" s="222"/>
      <c r="L57" s="240"/>
      <c r="M57" s="240"/>
      <c r="O57" s="196"/>
      <c r="P57" s="224"/>
      <c r="Q57" s="243"/>
      <c r="R57" s="215"/>
      <c r="S57" s="217"/>
      <c r="T57" s="205"/>
    </row>
    <row r="58" spans="2:20" ht="15.75">
      <c r="B58" s="244"/>
      <c r="D58" s="227"/>
      <c r="E58" s="227"/>
      <c r="F58" s="228"/>
      <c r="G58" s="228"/>
      <c r="H58" s="196"/>
      <c r="I58" s="240"/>
      <c r="J58" s="240"/>
      <c r="K58" s="222"/>
      <c r="L58" s="240"/>
      <c r="M58" s="240"/>
      <c r="O58" s="196"/>
      <c r="P58" s="224"/>
      <c r="Q58" s="243"/>
      <c r="R58" s="215"/>
      <c r="S58" s="217"/>
      <c r="T58" s="205"/>
    </row>
    <row r="59" spans="2:20">
      <c r="B59" s="199"/>
      <c r="D59" s="240"/>
      <c r="E59" s="240"/>
      <c r="F59" s="240"/>
      <c r="G59" s="240"/>
      <c r="H59" s="196"/>
      <c r="I59" s="240"/>
      <c r="J59" s="240"/>
      <c r="K59" s="240"/>
      <c r="L59" s="240"/>
      <c r="M59" s="240"/>
      <c r="O59" s="196"/>
      <c r="P59" s="196"/>
      <c r="Q59" s="205"/>
      <c r="R59" s="215"/>
      <c r="S59" s="210"/>
      <c r="T59" s="205" t="s">
        <v>3</v>
      </c>
    </row>
    <row r="60" spans="2:20">
      <c r="P60" s="186"/>
    </row>
    <row r="61" spans="2:20">
      <c r="P61" s="186"/>
    </row>
    <row r="63" spans="2:20">
      <c r="B63" s="199"/>
      <c r="D63" s="240"/>
      <c r="E63" s="240"/>
      <c r="F63" s="240"/>
      <c r="G63" s="240"/>
      <c r="H63" s="196"/>
      <c r="I63" s="240"/>
      <c r="J63" s="240"/>
      <c r="K63" s="240"/>
      <c r="L63" s="240"/>
      <c r="M63" s="240"/>
      <c r="O63" s="196"/>
      <c r="P63" s="245" t="s">
        <v>351</v>
      </c>
      <c r="Q63" s="205"/>
      <c r="R63" s="195"/>
      <c r="S63" s="205"/>
      <c r="T63" s="207"/>
    </row>
    <row r="64" spans="2:20" ht="15.75">
      <c r="B64" s="199"/>
      <c r="D64" s="208" t="str">
        <f>D5</f>
        <v>Formula Rate calculation</v>
      </c>
      <c r="E64" s="208"/>
      <c r="F64" s="240"/>
      <c r="G64" s="240"/>
      <c r="H64" s="240" t="str">
        <f>H5</f>
        <v xml:space="preserve">     Rate Formula Template</v>
      </c>
      <c r="I64" s="240"/>
      <c r="J64" s="240"/>
      <c r="K64" s="240"/>
      <c r="L64" s="240"/>
      <c r="M64" s="240"/>
      <c r="O64" s="196"/>
      <c r="P64" s="246" t="str">
        <f>$P$5</f>
        <v>For  the 12 months ended 12/31/2013</v>
      </c>
      <c r="Q64" s="205"/>
      <c r="R64" s="195"/>
      <c r="S64" s="205"/>
      <c r="T64" s="207"/>
    </row>
    <row r="65" spans="1:23" ht="15.75">
      <c r="B65" s="199"/>
      <c r="D65" s="208"/>
      <c r="E65" s="208"/>
      <c r="F65" s="240"/>
      <c r="G65" s="240"/>
      <c r="H65" s="240" t="s">
        <v>354</v>
      </c>
      <c r="I65" s="240"/>
      <c r="J65" s="240"/>
      <c r="K65" s="240"/>
      <c r="L65" s="240"/>
      <c r="M65" s="240"/>
      <c r="N65" s="196"/>
      <c r="O65" s="196"/>
      <c r="P65" s="247"/>
      <c r="Q65" s="205"/>
      <c r="R65" s="195"/>
      <c r="S65" s="205"/>
      <c r="T65" s="207"/>
    </row>
    <row r="66" spans="1:23" ht="14.25" customHeight="1">
      <c r="B66" s="199"/>
      <c r="D66" s="240"/>
      <c r="E66" s="240"/>
      <c r="F66" s="240"/>
      <c r="G66" s="240"/>
      <c r="H66" s="240"/>
      <c r="I66" s="240"/>
      <c r="J66" s="240"/>
      <c r="K66" s="240"/>
      <c r="L66" s="240"/>
      <c r="M66" s="240"/>
      <c r="O66" s="196"/>
      <c r="P66" s="240" t="s">
        <v>406</v>
      </c>
      <c r="Q66" s="205"/>
      <c r="R66" s="195"/>
      <c r="S66" s="205"/>
      <c r="T66" s="207"/>
    </row>
    <row r="67" spans="1:23">
      <c r="B67" s="199"/>
      <c r="F67" s="240"/>
      <c r="G67" s="240"/>
      <c r="H67" s="240" t="str">
        <f>H8</f>
        <v>American Transmission Company LLC</v>
      </c>
      <c r="I67" s="240"/>
      <c r="J67" s="240"/>
      <c r="K67" s="240"/>
      <c r="L67" s="240"/>
      <c r="M67" s="240"/>
      <c r="N67" s="240"/>
      <c r="O67" s="196"/>
      <c r="P67" s="196"/>
      <c r="Q67" s="205"/>
      <c r="R67" s="195"/>
      <c r="S67" s="205"/>
      <c r="T67" s="207"/>
    </row>
    <row r="68" spans="1:23">
      <c r="B68" s="199"/>
      <c r="F68" s="208"/>
      <c r="G68" s="208"/>
      <c r="H68" s="208"/>
      <c r="I68" s="208"/>
      <c r="J68" s="208"/>
      <c r="K68" s="208"/>
      <c r="L68" s="208"/>
      <c r="M68" s="208"/>
      <c r="N68" s="208"/>
      <c r="O68" s="208"/>
      <c r="P68" s="208"/>
      <c r="Q68" s="205"/>
      <c r="R68" s="195"/>
      <c r="S68" s="205"/>
      <c r="T68" s="207"/>
    </row>
    <row r="69" spans="1:23" ht="15.75">
      <c r="B69" s="199"/>
      <c r="D69" s="240"/>
      <c r="E69" s="240"/>
      <c r="F69" s="214" t="s">
        <v>407</v>
      </c>
      <c r="G69" s="214"/>
      <c r="I69" s="197"/>
      <c r="J69" s="197"/>
      <c r="K69" s="197"/>
      <c r="L69" s="197"/>
      <c r="M69" s="197"/>
      <c r="N69" s="197"/>
      <c r="O69" s="196"/>
      <c r="P69" s="196"/>
      <c r="Q69" s="205"/>
      <c r="R69" s="195"/>
      <c r="S69" s="205"/>
      <c r="T69" s="207"/>
    </row>
    <row r="70" spans="1:23" ht="15.75">
      <c r="B70" s="199"/>
      <c r="D70" s="240"/>
      <c r="E70" s="240"/>
      <c r="F70" s="214"/>
      <c r="G70" s="214"/>
      <c r="I70" s="197"/>
      <c r="J70" s="197"/>
      <c r="K70" s="197"/>
      <c r="L70" s="197"/>
      <c r="M70" s="197"/>
      <c r="N70" s="197"/>
      <c r="O70" s="196"/>
      <c r="P70" s="196"/>
      <c r="Q70" s="205"/>
      <c r="R70" s="195"/>
      <c r="S70" s="205"/>
      <c r="T70" s="207"/>
    </row>
    <row r="71" spans="1:23" ht="15.75">
      <c r="B71" s="199"/>
      <c r="D71" s="248">
        <v>-1</v>
      </c>
      <c r="E71" s="248">
        <v>-2</v>
      </c>
      <c r="F71" s="248">
        <v>-3</v>
      </c>
      <c r="G71" s="248">
        <v>-4</v>
      </c>
      <c r="H71" s="248">
        <v>-5</v>
      </c>
      <c r="I71" s="248">
        <v>-6</v>
      </c>
      <c r="J71" s="248">
        <v>-7</v>
      </c>
      <c r="K71" s="248">
        <v>-8</v>
      </c>
      <c r="L71" s="248">
        <v>-9</v>
      </c>
      <c r="M71" s="248" t="s">
        <v>408</v>
      </c>
      <c r="N71" s="248">
        <v>-10</v>
      </c>
      <c r="O71" s="248">
        <v>-11</v>
      </c>
      <c r="P71" s="248">
        <v>-12</v>
      </c>
      <c r="Q71" s="205"/>
      <c r="R71" s="195"/>
      <c r="S71" s="205"/>
      <c r="T71" s="207"/>
    </row>
    <row r="72" spans="1:23" ht="63">
      <c r="B72" s="249" t="s">
        <v>409</v>
      </c>
      <c r="C72" s="250"/>
      <c r="D72" s="250" t="s">
        <v>410</v>
      </c>
      <c r="E72" s="251" t="s">
        <v>411</v>
      </c>
      <c r="F72" s="252" t="s">
        <v>412</v>
      </c>
      <c r="G72" s="252" t="s">
        <v>388</v>
      </c>
      <c r="H72" s="253" t="s">
        <v>413</v>
      </c>
      <c r="I72" s="252" t="s">
        <v>414</v>
      </c>
      <c r="J72" s="252" t="s">
        <v>404</v>
      </c>
      <c r="K72" s="253" t="s">
        <v>415</v>
      </c>
      <c r="L72" s="252" t="s">
        <v>416</v>
      </c>
      <c r="M72" s="254" t="s">
        <v>417</v>
      </c>
      <c r="N72" s="255" t="s">
        <v>418</v>
      </c>
      <c r="O72" s="256" t="s">
        <v>419</v>
      </c>
      <c r="P72" s="255" t="s">
        <v>420</v>
      </c>
      <c r="Q72" s="225"/>
      <c r="R72" s="195"/>
      <c r="S72" s="205"/>
      <c r="T72" s="207"/>
    </row>
    <row r="73" spans="1:23" ht="46.5" customHeight="1">
      <c r="B73" s="257"/>
      <c r="C73" s="258"/>
      <c r="D73" s="258"/>
      <c r="E73" s="258"/>
      <c r="F73" s="259" t="s">
        <v>33</v>
      </c>
      <c r="G73" s="259" t="s">
        <v>421</v>
      </c>
      <c r="H73" s="260" t="s">
        <v>422</v>
      </c>
      <c r="I73" s="259" t="s">
        <v>35</v>
      </c>
      <c r="J73" s="259" t="s">
        <v>423</v>
      </c>
      <c r="K73" s="260" t="s">
        <v>424</v>
      </c>
      <c r="L73" s="259" t="s">
        <v>57</v>
      </c>
      <c r="M73" s="261" t="s">
        <v>425</v>
      </c>
      <c r="N73" s="262" t="s">
        <v>426</v>
      </c>
      <c r="O73" s="263" t="s">
        <v>427</v>
      </c>
      <c r="P73" s="264" t="s">
        <v>428</v>
      </c>
      <c r="Q73" s="205"/>
      <c r="R73" s="195"/>
      <c r="S73" s="205"/>
      <c r="T73" s="207"/>
    </row>
    <row r="74" spans="1:23">
      <c r="B74" s="265"/>
      <c r="C74" s="197"/>
      <c r="D74" s="197"/>
      <c r="E74" s="197"/>
      <c r="F74" s="197"/>
      <c r="G74" s="197"/>
      <c r="H74" s="266"/>
      <c r="I74" s="197"/>
      <c r="J74" s="197"/>
      <c r="K74" s="266"/>
      <c r="L74" s="197"/>
      <c r="M74" s="267"/>
      <c r="N74" s="266"/>
      <c r="O74" s="196"/>
      <c r="P74" s="268"/>
      <c r="Q74" s="205"/>
      <c r="R74" s="195"/>
      <c r="S74" s="205"/>
      <c r="T74" s="207"/>
    </row>
    <row r="75" spans="1:23">
      <c r="A75" s="269"/>
      <c r="B75" s="270" t="s">
        <v>142</v>
      </c>
      <c r="C75" s="187"/>
      <c r="D75" s="271" t="s">
        <v>429</v>
      </c>
      <c r="E75" s="272">
        <v>345</v>
      </c>
      <c r="F75" s="273">
        <f>SUM(V125:V126)</f>
        <v>148572047.65153846</v>
      </c>
      <c r="G75" s="274">
        <f>$N$35</f>
        <v>3.6981220456331336E-2</v>
      </c>
      <c r="H75" s="275">
        <f>F75*G75</f>
        <v>5494375.6478501083</v>
      </c>
      <c r="I75" s="273">
        <f>SUM(V125,V130)</f>
        <v>131692752.05615386</v>
      </c>
      <c r="J75" s="274">
        <f>$N$45</f>
        <v>0.1058855235162894</v>
      </c>
      <c r="K75" s="275">
        <f>I75*J75</f>
        <v>13944355.994766749</v>
      </c>
      <c r="L75" s="273">
        <f>V128</f>
        <v>3848466.92</v>
      </c>
      <c r="M75" s="273">
        <f>V124</f>
        <v>0</v>
      </c>
      <c r="N75" s="275">
        <f>H75+K75+L75+M75</f>
        <v>23287198.562616855</v>
      </c>
      <c r="O75" s="276">
        <f>'2011 Schedule 26 True-Up'!AE12</f>
        <v>-3882675.67865628</v>
      </c>
      <c r="P75" s="275">
        <f>N75+O75</f>
        <v>19404522.883960575</v>
      </c>
      <c r="Q75" s="277"/>
      <c r="R75" s="278"/>
      <c r="S75" s="277"/>
      <c r="T75" s="277"/>
      <c r="U75" s="277"/>
      <c r="V75" s="277"/>
      <c r="W75" s="277"/>
    </row>
    <row r="76" spans="1:23">
      <c r="A76" s="269"/>
      <c r="B76" s="270" t="s">
        <v>430</v>
      </c>
      <c r="C76" s="187"/>
      <c r="D76" s="271" t="s">
        <v>431</v>
      </c>
      <c r="E76" s="272">
        <v>1453</v>
      </c>
      <c r="F76" s="273">
        <f>SUM(V133:V134)</f>
        <v>8751971.6800000034</v>
      </c>
      <c r="G76" s="274">
        <f t="shared" ref="G76:G89" si="0">$N$35</f>
        <v>3.6981220456331336E-2</v>
      </c>
      <c r="H76" s="275">
        <f t="shared" ref="H76:H89" si="1">F76*G76</f>
        <v>323658.59412564867</v>
      </c>
      <c r="I76" s="273">
        <f>SUM(V133,V138)</f>
        <v>7563739.3972307695</v>
      </c>
      <c r="J76" s="274">
        <f>$N$45</f>
        <v>0.1058855235162894</v>
      </c>
      <c r="K76" s="275">
        <f>I76*J76</f>
        <v>800890.50581656327</v>
      </c>
      <c r="L76" s="273">
        <f>V136</f>
        <v>251596.08</v>
      </c>
      <c r="M76" s="273">
        <f>V132</f>
        <v>0</v>
      </c>
      <c r="N76" s="275">
        <f>H76+K76+L76+M76</f>
        <v>1376145.1799422121</v>
      </c>
      <c r="O76" s="276">
        <f>'2011 Schedule 26 True-Up'!AE13</f>
        <v>-137275.69011719729</v>
      </c>
      <c r="P76" s="275">
        <f>N76+O76</f>
        <v>1238869.4898250147</v>
      </c>
      <c r="Q76" s="277"/>
      <c r="R76" s="278"/>
      <c r="S76" s="277"/>
      <c r="T76" s="277"/>
      <c r="U76" s="277"/>
      <c r="V76" s="277"/>
      <c r="W76" s="277"/>
    </row>
    <row r="77" spans="1:23">
      <c r="A77" s="269"/>
      <c r="B77" s="270" t="s">
        <v>432</v>
      </c>
      <c r="C77" s="187"/>
      <c r="D77" s="271" t="s">
        <v>433</v>
      </c>
      <c r="E77" s="272">
        <v>352</v>
      </c>
      <c r="F77" s="273">
        <f>SUM(V141:V142)</f>
        <v>92879628.797692284</v>
      </c>
      <c r="G77" s="274">
        <f t="shared" si="0"/>
        <v>3.6981220456331336E-2</v>
      </c>
      <c r="H77" s="275">
        <f t="shared" si="1"/>
        <v>3434802.0284696789</v>
      </c>
      <c r="I77" s="273">
        <f>SUM(V141,V146)</f>
        <v>82847019.024615362</v>
      </c>
      <c r="J77" s="274">
        <f>$N$45</f>
        <v>0.1058855235162894</v>
      </c>
      <c r="K77" s="275">
        <f>I77*J77</f>
        <v>8772299.9811853841</v>
      </c>
      <c r="L77" s="273">
        <f>V144</f>
        <v>2407539.0600000005</v>
      </c>
      <c r="M77" s="273">
        <f>V140</f>
        <v>0</v>
      </c>
      <c r="N77" s="275">
        <f>H77+K77+L77+M77</f>
        <v>14614641.069655063</v>
      </c>
      <c r="O77" s="276">
        <f>'2011 Schedule 26 True-Up'!AE14</f>
        <v>-1222146.1256743765</v>
      </c>
      <c r="P77" s="275">
        <f>N77+O77</f>
        <v>13392494.943980686</v>
      </c>
      <c r="Q77" s="277"/>
      <c r="R77" s="278"/>
      <c r="S77" s="277"/>
      <c r="T77" s="277"/>
      <c r="U77" s="277"/>
      <c r="V77" s="277"/>
      <c r="W77" s="277"/>
    </row>
    <row r="78" spans="1:23">
      <c r="A78" s="269"/>
      <c r="B78" s="270" t="s">
        <v>434</v>
      </c>
      <c r="C78" s="187"/>
      <c r="D78" s="271" t="s">
        <v>435</v>
      </c>
      <c r="E78" s="272">
        <v>356</v>
      </c>
      <c r="F78" s="273">
        <f>SUM(V149:V150)</f>
        <v>138072579.35076925</v>
      </c>
      <c r="G78" s="274">
        <f t="shared" si="0"/>
        <v>3.6981220456331336E-2</v>
      </c>
      <c r="H78" s="275">
        <f t="shared" si="1"/>
        <v>5106092.4959450997</v>
      </c>
      <c r="I78" s="273">
        <f>SUM(V149,V154)</f>
        <v>136450205.56846154</v>
      </c>
      <c r="J78" s="274">
        <f t="shared" ref="J78:J89" si="2">$N$45</f>
        <v>0.1058855235162894</v>
      </c>
      <c r="K78" s="275">
        <f t="shared" ref="K78:K89" si="3">I78*J78</f>
        <v>14448101.450521857</v>
      </c>
      <c r="L78" s="273">
        <f>V152</f>
        <v>3040145.7200000007</v>
      </c>
      <c r="M78" s="273">
        <f>V148</f>
        <v>0</v>
      </c>
      <c r="N78" s="275">
        <f t="shared" ref="N78:N89" si="4">H78+K78+L78+M78</f>
        <v>22594339.666466959</v>
      </c>
      <c r="O78" s="276">
        <f>'2011 Schedule 26 True-Up'!AE15</f>
        <v>-1422653.7058480422</v>
      </c>
      <c r="P78" s="275">
        <f t="shared" ref="P78:P89" si="5">N78+O78</f>
        <v>21171685.960618917</v>
      </c>
      <c r="Q78" s="277"/>
      <c r="R78" s="278"/>
      <c r="S78" s="277"/>
      <c r="T78" s="277"/>
      <c r="U78" s="277"/>
      <c r="V78" s="277"/>
      <c r="W78" s="277"/>
    </row>
    <row r="79" spans="1:23">
      <c r="A79" s="269"/>
      <c r="B79" s="270" t="s">
        <v>436</v>
      </c>
      <c r="C79" s="187"/>
      <c r="D79" s="271" t="s">
        <v>440</v>
      </c>
      <c r="E79" s="272">
        <v>1616</v>
      </c>
      <c r="F79" s="273">
        <f>SUM(V157:V158)</f>
        <v>1379725.8599999999</v>
      </c>
      <c r="G79" s="274">
        <f t="shared" si="0"/>
        <v>3.6981220456331336E-2</v>
      </c>
      <c r="H79" s="275">
        <f t="shared" si="1"/>
        <v>51023.946197961341</v>
      </c>
      <c r="I79" s="273">
        <f>SUM(V157,V162)</f>
        <v>1199461.73</v>
      </c>
      <c r="J79" s="274">
        <f t="shared" si="2"/>
        <v>0.1058855235162894</v>
      </c>
      <c r="K79" s="275">
        <f t="shared" si="3"/>
        <v>127005.63321880416</v>
      </c>
      <c r="L79" s="273">
        <f>V160</f>
        <v>76292.640000000014</v>
      </c>
      <c r="M79" s="273">
        <f>V156</f>
        <v>0</v>
      </c>
      <c r="N79" s="275">
        <f t="shared" si="4"/>
        <v>254322.2194167655</v>
      </c>
      <c r="O79" s="276">
        <f>'2011 Schedule 26 True-Up'!AE19</f>
        <v>1854.8827152634885</v>
      </c>
      <c r="P79" s="275">
        <f t="shared" si="5"/>
        <v>256177.10213202899</v>
      </c>
      <c r="Q79" s="277"/>
      <c r="R79" s="278"/>
      <c r="S79" s="277"/>
      <c r="T79" s="277"/>
      <c r="U79" s="277"/>
      <c r="V79" s="277"/>
      <c r="W79" s="277"/>
    </row>
    <row r="80" spans="1:23">
      <c r="A80" s="269"/>
      <c r="B80" s="270" t="s">
        <v>438</v>
      </c>
      <c r="C80" s="187"/>
      <c r="D80" s="271" t="s">
        <v>442</v>
      </c>
      <c r="E80" s="272" t="s">
        <v>443</v>
      </c>
      <c r="F80" s="273">
        <f>SUM(V165:V166)</f>
        <v>2147722.77</v>
      </c>
      <c r="G80" s="274">
        <f t="shared" si="0"/>
        <v>3.6981220456331336E-2</v>
      </c>
      <c r="H80" s="275">
        <f t="shared" si="1"/>
        <v>79425.4092364526</v>
      </c>
      <c r="I80" s="273">
        <f>SUM(V165,V170)</f>
        <v>2067188.4649999999</v>
      </c>
      <c r="J80" s="274">
        <f t="shared" si="2"/>
        <v>0.1058855235162894</v>
      </c>
      <c r="K80" s="275">
        <f t="shared" si="3"/>
        <v>218885.33282335967</v>
      </c>
      <c r="L80" s="273">
        <f>V168</f>
        <v>119407.43999999997</v>
      </c>
      <c r="M80" s="273">
        <f>V164</f>
        <v>0</v>
      </c>
      <c r="N80" s="275">
        <f t="shared" si="4"/>
        <v>417718.18205981224</v>
      </c>
      <c r="O80" s="276">
        <f>'2011 Schedule 26 True-Up'!AE22</f>
        <v>-904.05537991300605</v>
      </c>
      <c r="P80" s="275">
        <f t="shared" si="5"/>
        <v>416814.12667989923</v>
      </c>
      <c r="Q80" s="277"/>
      <c r="R80" s="278"/>
      <c r="S80" s="277"/>
      <c r="T80" s="277"/>
      <c r="U80" s="277"/>
      <c r="V80" s="277"/>
      <c r="W80" s="277"/>
    </row>
    <row r="81" spans="1:23">
      <c r="A81" s="269"/>
      <c r="B81" s="270" t="s">
        <v>439</v>
      </c>
      <c r="C81" s="187"/>
      <c r="D81" s="271" t="s">
        <v>449</v>
      </c>
      <c r="E81" s="272">
        <v>1950</v>
      </c>
      <c r="F81" s="273">
        <f>SUM(V189:V190)</f>
        <v>15402302.789999994</v>
      </c>
      <c r="G81" s="274">
        <f t="shared" si="0"/>
        <v>3.6981220456331336E-2</v>
      </c>
      <c r="H81" s="275">
        <f t="shared" si="1"/>
        <v>569595.95501215698</v>
      </c>
      <c r="I81" s="273">
        <f>SUM(V189,V194)</f>
        <v>14514794.929999998</v>
      </c>
      <c r="J81" s="274">
        <f t="shared" si="2"/>
        <v>0.1058855235162894</v>
      </c>
      <c r="K81" s="275">
        <f t="shared" si="3"/>
        <v>1536906.6598946329</v>
      </c>
      <c r="L81" s="273">
        <f>V192</f>
        <v>456122.52000000008</v>
      </c>
      <c r="M81" s="273">
        <f>V188</f>
        <v>0</v>
      </c>
      <c r="N81" s="275">
        <f t="shared" si="4"/>
        <v>2562625.1349067898</v>
      </c>
      <c r="O81" s="276">
        <f>'2011 Schedule 26 True-Up'!AE26</f>
        <v>230842.3575688994</v>
      </c>
      <c r="P81" s="275">
        <f t="shared" si="5"/>
        <v>2793467.4924756894</v>
      </c>
      <c r="Q81" s="277"/>
      <c r="R81" s="278"/>
      <c r="S81" s="277"/>
      <c r="T81" s="277"/>
      <c r="U81" s="277"/>
      <c r="V81" s="277"/>
      <c r="W81" s="277"/>
    </row>
    <row r="82" spans="1:23">
      <c r="A82" s="269"/>
      <c r="B82" s="270" t="s">
        <v>441</v>
      </c>
      <c r="C82" s="187"/>
      <c r="D82" s="271" t="s">
        <v>453</v>
      </c>
      <c r="E82" s="272">
        <v>2846</v>
      </c>
      <c r="F82" s="273">
        <f>SUM(V197:V198)</f>
        <v>66221517.537692308</v>
      </c>
      <c r="G82" s="274">
        <f t="shared" si="0"/>
        <v>3.6981220456331336E-2</v>
      </c>
      <c r="H82" s="275">
        <f t="shared" si="1"/>
        <v>2448952.5390142109</v>
      </c>
      <c r="I82" s="273">
        <f>SUM(V197,V202)</f>
        <v>66117244.606153846</v>
      </c>
      <c r="J82" s="274">
        <f t="shared" si="2"/>
        <v>0.1058855235162894</v>
      </c>
      <c r="K82" s="275">
        <f t="shared" si="3"/>
        <v>7000859.0585771613</v>
      </c>
      <c r="L82" s="273">
        <f>V200</f>
        <v>307098.11</v>
      </c>
      <c r="M82" s="273">
        <f>V196</f>
        <v>0</v>
      </c>
      <c r="N82" s="275">
        <f t="shared" si="4"/>
        <v>9756909.7075913716</v>
      </c>
      <c r="O82" s="276">
        <f>'2011 Schedule 26 True-Up'!AE27</f>
        <v>164155.84411879614</v>
      </c>
      <c r="P82" s="275">
        <f t="shared" si="5"/>
        <v>9921065.5517101679</v>
      </c>
      <c r="Q82" s="277"/>
      <c r="R82" s="278"/>
      <c r="S82" s="277"/>
      <c r="T82" s="277"/>
      <c r="U82" s="277"/>
      <c r="V82" s="277"/>
      <c r="W82" s="277"/>
    </row>
    <row r="83" spans="1:23">
      <c r="A83" s="269"/>
      <c r="B83" s="270" t="s">
        <v>444</v>
      </c>
      <c r="C83" s="187"/>
      <c r="D83" s="271" t="s">
        <v>445</v>
      </c>
      <c r="E83" s="272">
        <v>2837</v>
      </c>
      <c r="F83" s="273">
        <f>SUM(V173:V174)</f>
        <v>626602.79500000004</v>
      </c>
      <c r="G83" s="274">
        <f t="shared" si="0"/>
        <v>3.6981220456331336E-2</v>
      </c>
      <c r="H83" s="275">
        <f t="shared" si="1"/>
        <v>23172.536100448393</v>
      </c>
      <c r="I83" s="273">
        <f>SUM(V173,V178)</f>
        <v>600582.11</v>
      </c>
      <c r="J83" s="274">
        <f t="shared" si="2"/>
        <v>0.1058855235162894</v>
      </c>
      <c r="K83" s="275">
        <f t="shared" si="3"/>
        <v>63592.951131867703</v>
      </c>
      <c r="L83" s="273">
        <f>V176</f>
        <v>36557.87999999999</v>
      </c>
      <c r="M83" s="273">
        <f>V172</f>
        <v>0</v>
      </c>
      <c r="N83" s="275">
        <f t="shared" si="4"/>
        <v>123323.36723231609</v>
      </c>
      <c r="O83" s="276">
        <f>'2011 Schedule 26 True-Up'!AE24</f>
        <v>0</v>
      </c>
      <c r="P83" s="275">
        <f t="shared" si="5"/>
        <v>123323.36723231609</v>
      </c>
      <c r="Q83" s="277"/>
      <c r="R83" s="278"/>
      <c r="S83" s="277"/>
      <c r="T83" s="277"/>
      <c r="U83" s="277"/>
      <c r="V83" s="277"/>
      <c r="W83" s="277"/>
    </row>
    <row r="84" spans="1:23">
      <c r="A84" s="269"/>
      <c r="B84" s="270" t="s">
        <v>446</v>
      </c>
      <c r="C84" s="187"/>
      <c r="D84" s="271" t="s">
        <v>447</v>
      </c>
      <c r="E84" s="272">
        <v>2793</v>
      </c>
      <c r="F84" s="273">
        <f>SUM(V181:V182)</f>
        <v>405929.96499999991</v>
      </c>
      <c r="G84" s="274">
        <f t="shared" si="0"/>
        <v>3.6981220456331336E-2</v>
      </c>
      <c r="H84" s="275">
        <f t="shared" si="1"/>
        <v>15011.785525495859</v>
      </c>
      <c r="I84" s="273">
        <f>SUM(V181,V186)</f>
        <v>380857.00499999995</v>
      </c>
      <c r="J84" s="274">
        <f t="shared" si="2"/>
        <v>0.1058855235162894</v>
      </c>
      <c r="K84" s="275">
        <f t="shared" si="3"/>
        <v>40327.243359271044</v>
      </c>
      <c r="L84" s="273">
        <f>V184</f>
        <v>35397.12000000001</v>
      </c>
      <c r="M84" s="273">
        <f>V180</f>
        <v>0</v>
      </c>
      <c r="N84" s="275">
        <f t="shared" si="4"/>
        <v>90736.14888476691</v>
      </c>
      <c r="O84" s="276">
        <f>'2011 Schedule 26 True-Up'!AE25</f>
        <v>-25771.58026706686</v>
      </c>
      <c r="P84" s="275">
        <f t="shared" si="5"/>
        <v>64964.568617700046</v>
      </c>
      <c r="Q84" s="277"/>
      <c r="R84" s="278"/>
      <c r="S84" s="277"/>
      <c r="T84" s="277"/>
      <c r="U84" s="277"/>
      <c r="V84" s="277"/>
      <c r="W84" s="277"/>
    </row>
    <row r="85" spans="1:23">
      <c r="A85" s="269"/>
      <c r="B85" s="270" t="s">
        <v>448</v>
      </c>
      <c r="C85" s="187"/>
      <c r="D85" s="271" t="s">
        <v>455</v>
      </c>
      <c r="E85" s="272">
        <v>1270</v>
      </c>
      <c r="F85" s="273">
        <f>SUM(V205:V206)</f>
        <v>0</v>
      </c>
      <c r="G85" s="274">
        <f t="shared" si="0"/>
        <v>3.6981220456331336E-2</v>
      </c>
      <c r="H85" s="275">
        <f t="shared" si="1"/>
        <v>0</v>
      </c>
      <c r="I85" s="273">
        <f>SUM(V205,V210)</f>
        <v>0</v>
      </c>
      <c r="J85" s="274">
        <f t="shared" si="2"/>
        <v>0.1058855235162894</v>
      </c>
      <c r="K85" s="275">
        <f t="shared" si="3"/>
        <v>0</v>
      </c>
      <c r="L85" s="273">
        <f>V208</f>
        <v>0</v>
      </c>
      <c r="M85" s="273">
        <f>V204</f>
        <v>403444.35</v>
      </c>
      <c r="N85" s="275">
        <f t="shared" si="4"/>
        <v>403444.35</v>
      </c>
      <c r="O85" s="276">
        <v>0</v>
      </c>
      <c r="P85" s="275">
        <f t="shared" si="5"/>
        <v>403444.35</v>
      </c>
      <c r="Q85" s="277"/>
      <c r="R85" s="278"/>
      <c r="S85" s="277"/>
      <c r="T85" s="277"/>
      <c r="U85" s="277"/>
      <c r="V85" s="277"/>
      <c r="W85" s="277"/>
    </row>
    <row r="86" spans="1:23">
      <c r="A86" s="269"/>
      <c r="B86" s="270" t="s">
        <v>450</v>
      </c>
      <c r="C86" s="187"/>
      <c r="D86" s="271" t="s">
        <v>456</v>
      </c>
      <c r="E86" s="272">
        <v>3125</v>
      </c>
      <c r="F86" s="273">
        <f>SUM(V213:V214)</f>
        <v>1397137.2084615384</v>
      </c>
      <c r="G86" s="274">
        <f t="shared" si="0"/>
        <v>3.6981220456331336E-2</v>
      </c>
      <c r="H86" s="275">
        <f t="shared" si="1"/>
        <v>51667.839113859503</v>
      </c>
      <c r="I86" s="273">
        <f>SUM(V213,V218)</f>
        <v>1397137.2084615384</v>
      </c>
      <c r="J86" s="274">
        <f t="shared" si="2"/>
        <v>0.1058855235162894</v>
      </c>
      <c r="K86" s="275">
        <f t="shared" si="3"/>
        <v>147936.60474203713</v>
      </c>
      <c r="L86" s="273">
        <f>V216</f>
        <v>0</v>
      </c>
      <c r="M86" s="273">
        <f>V212</f>
        <v>0</v>
      </c>
      <c r="N86" s="275">
        <f t="shared" si="4"/>
        <v>199604.44385589665</v>
      </c>
      <c r="O86" s="276">
        <v>0</v>
      </c>
      <c r="P86" s="275">
        <f t="shared" si="5"/>
        <v>199604.44385589665</v>
      </c>
      <c r="Q86" s="277"/>
      <c r="R86" s="278"/>
      <c r="S86" s="277"/>
      <c r="T86" s="277"/>
      <c r="U86" s="277"/>
      <c r="V86" s="277"/>
      <c r="W86" s="277"/>
    </row>
    <row r="87" spans="1:23">
      <c r="A87" s="269"/>
      <c r="B87" s="270" t="s">
        <v>452</v>
      </c>
      <c r="C87" s="187"/>
      <c r="D87" s="271" t="s">
        <v>451</v>
      </c>
      <c r="E87" s="272">
        <v>3206</v>
      </c>
      <c r="F87" s="273">
        <f>SUM(V221:V222,V245:V246)</f>
        <v>0</v>
      </c>
      <c r="G87" s="274">
        <f t="shared" si="0"/>
        <v>3.6981220456331336E-2</v>
      </c>
      <c r="H87" s="275">
        <f t="shared" si="1"/>
        <v>0</v>
      </c>
      <c r="I87" s="273">
        <f>SUM(V221,V226,V245,V250)</f>
        <v>0</v>
      </c>
      <c r="J87" s="274">
        <f t="shared" si="2"/>
        <v>0.1058855235162894</v>
      </c>
      <c r="K87" s="275">
        <f t="shared" si="3"/>
        <v>0</v>
      </c>
      <c r="L87" s="273">
        <f>SUM(V224,V248)</f>
        <v>0</v>
      </c>
      <c r="M87" s="273">
        <f>SUM(V220,V244)</f>
        <v>179313.55999999994</v>
      </c>
      <c r="N87" s="275">
        <f t="shared" si="4"/>
        <v>179313.55999999994</v>
      </c>
      <c r="O87" s="276">
        <v>0</v>
      </c>
      <c r="P87" s="275">
        <f t="shared" si="5"/>
        <v>179313.55999999994</v>
      </c>
      <c r="Q87" s="277"/>
      <c r="R87" s="278"/>
      <c r="S87" s="277"/>
      <c r="T87" s="277"/>
      <c r="U87" s="277"/>
      <c r="V87" s="277"/>
      <c r="W87" s="277"/>
    </row>
    <row r="88" spans="1:23" ht="45">
      <c r="A88" s="269"/>
      <c r="B88" s="270" t="s">
        <v>454</v>
      </c>
      <c r="C88" s="187"/>
      <c r="D88" s="271" t="s">
        <v>457</v>
      </c>
      <c r="E88" s="272">
        <v>3679</v>
      </c>
      <c r="F88" s="273">
        <f>SUM(V229:V230,V237:V238)</f>
        <v>0</v>
      </c>
      <c r="G88" s="274">
        <f t="shared" si="0"/>
        <v>3.6981220456331336E-2</v>
      </c>
      <c r="H88" s="275">
        <f t="shared" si="1"/>
        <v>0</v>
      </c>
      <c r="I88" s="273">
        <f>SUM(V229,V234,V237,V242)</f>
        <v>0</v>
      </c>
      <c r="J88" s="274">
        <f t="shared" si="2"/>
        <v>0.1058855235162894</v>
      </c>
      <c r="K88" s="275">
        <f t="shared" si="3"/>
        <v>0</v>
      </c>
      <c r="L88" s="273">
        <f>SUM(V232,V240)</f>
        <v>0</v>
      </c>
      <c r="M88" s="273">
        <f>SUM(V228,V236)</f>
        <v>8307296.9499999993</v>
      </c>
      <c r="N88" s="275">
        <f t="shared" si="4"/>
        <v>8307296.9499999993</v>
      </c>
      <c r="O88" s="276">
        <v>0</v>
      </c>
      <c r="P88" s="275">
        <f t="shared" si="5"/>
        <v>8307296.9499999993</v>
      </c>
      <c r="Q88" s="277"/>
      <c r="R88" s="278"/>
      <c r="S88" s="277"/>
      <c r="T88" s="277"/>
      <c r="U88" s="277"/>
      <c r="V88" s="277"/>
      <c r="W88" s="277"/>
    </row>
    <row r="89" spans="1:23">
      <c r="A89" s="269" t="str">
        <f>IF(P89=0,"",COUNT($A$74:A88)+1)</f>
        <v/>
      </c>
      <c r="B89" s="270"/>
      <c r="C89" s="187"/>
      <c r="D89" s="271"/>
      <c r="E89" s="272"/>
      <c r="F89" s="273">
        <v>0</v>
      </c>
      <c r="G89" s="274">
        <f t="shared" si="0"/>
        <v>3.6981220456331336E-2</v>
      </c>
      <c r="H89" s="275">
        <f t="shared" si="1"/>
        <v>0</v>
      </c>
      <c r="I89" s="273">
        <v>0</v>
      </c>
      <c r="J89" s="274">
        <f t="shared" si="2"/>
        <v>0.1058855235162894</v>
      </c>
      <c r="K89" s="275">
        <f t="shared" si="3"/>
        <v>0</v>
      </c>
      <c r="L89" s="273">
        <v>0</v>
      </c>
      <c r="M89" s="273">
        <v>0</v>
      </c>
      <c r="N89" s="275">
        <f t="shared" si="4"/>
        <v>0</v>
      </c>
      <c r="O89" s="276">
        <v>0</v>
      </c>
      <c r="P89" s="275">
        <f t="shared" si="5"/>
        <v>0</v>
      </c>
      <c r="Q89" s="277"/>
      <c r="R89" s="278"/>
      <c r="S89" s="277"/>
      <c r="T89" s="277"/>
      <c r="U89" s="277"/>
      <c r="V89" s="277"/>
      <c r="W89" s="277"/>
    </row>
    <row r="90" spans="1:23">
      <c r="A90" s="269" t="str">
        <f>IF(P90=0,"",COUNT($A$74:A89)+1)</f>
        <v/>
      </c>
      <c r="B90" s="270"/>
      <c r="C90" s="187"/>
      <c r="D90" s="271"/>
      <c r="E90" s="272"/>
      <c r="F90" s="279"/>
      <c r="G90" s="274"/>
      <c r="H90" s="275"/>
      <c r="I90" s="279"/>
      <c r="J90" s="274"/>
      <c r="K90" s="275"/>
      <c r="L90" s="279"/>
      <c r="M90" s="279"/>
      <c r="N90" s="275"/>
      <c r="O90" s="280"/>
      <c r="P90" s="275"/>
      <c r="Q90" s="277"/>
      <c r="R90" s="278"/>
      <c r="S90" s="277"/>
      <c r="T90" s="277"/>
      <c r="U90" s="277"/>
      <c r="V90" s="277"/>
      <c r="W90" s="277"/>
    </row>
    <row r="91" spans="1:23">
      <c r="A91" s="269" t="str">
        <f>IF(P91=0,"",COUNT($A$74:A90)+1)</f>
        <v/>
      </c>
      <c r="B91" s="270"/>
      <c r="C91" s="187"/>
      <c r="D91" s="281"/>
      <c r="E91" s="282"/>
      <c r="F91" s="279"/>
      <c r="G91" s="274"/>
      <c r="H91" s="275"/>
      <c r="I91" s="279"/>
      <c r="J91" s="274"/>
      <c r="K91" s="275"/>
      <c r="L91" s="279"/>
      <c r="M91" s="279"/>
      <c r="N91" s="275"/>
      <c r="O91" s="280"/>
      <c r="P91" s="275"/>
      <c r="Q91" s="277"/>
      <c r="R91" s="278"/>
      <c r="S91" s="277"/>
      <c r="T91" s="277"/>
      <c r="U91" s="277"/>
      <c r="V91" s="277"/>
      <c r="W91" s="277"/>
    </row>
    <row r="92" spans="1:23">
      <c r="A92" s="269" t="str">
        <f>IF(P92=0,"",COUNT($A$74:A91)+1)</f>
        <v/>
      </c>
      <c r="B92" s="270"/>
      <c r="C92" s="187"/>
      <c r="D92" s="281"/>
      <c r="E92" s="282"/>
      <c r="F92" s="279"/>
      <c r="G92" s="274"/>
      <c r="H92" s="275"/>
      <c r="I92" s="279"/>
      <c r="J92" s="274"/>
      <c r="K92" s="275"/>
      <c r="L92" s="279"/>
      <c r="M92" s="279"/>
      <c r="N92" s="275"/>
      <c r="O92" s="280"/>
      <c r="P92" s="275"/>
      <c r="Q92" s="277"/>
      <c r="R92" s="278"/>
      <c r="S92" s="277"/>
      <c r="T92" s="277"/>
      <c r="U92" s="277"/>
      <c r="V92" s="277"/>
      <c r="W92" s="277"/>
    </row>
    <row r="93" spans="1:23">
      <c r="A93" s="269" t="str">
        <f>IF(P93=0,"",COUNT($A$74:A92)+1)</f>
        <v/>
      </c>
      <c r="B93" s="270"/>
      <c r="C93" s="187"/>
      <c r="D93" s="281"/>
      <c r="E93" s="282"/>
      <c r="F93" s="279"/>
      <c r="G93" s="274"/>
      <c r="H93" s="275"/>
      <c r="I93" s="279"/>
      <c r="J93" s="274"/>
      <c r="K93" s="275"/>
      <c r="L93" s="279"/>
      <c r="M93" s="279"/>
      <c r="N93" s="275"/>
      <c r="O93" s="280"/>
      <c r="P93" s="275"/>
      <c r="Q93" s="277"/>
      <c r="R93" s="278"/>
      <c r="S93" s="277"/>
      <c r="T93" s="277"/>
      <c r="U93" s="277"/>
      <c r="V93" s="277"/>
      <c r="W93" s="277"/>
    </row>
    <row r="94" spans="1:23">
      <c r="A94" s="269" t="str">
        <f>IF(P94=0,"",COUNT($A$74:A93)+1)</f>
        <v/>
      </c>
      <c r="B94" s="270"/>
      <c r="C94" s="187"/>
      <c r="D94" s="281"/>
      <c r="E94" s="282"/>
      <c r="F94" s="279"/>
      <c r="G94" s="274"/>
      <c r="H94" s="275"/>
      <c r="I94" s="279"/>
      <c r="J94" s="274"/>
      <c r="K94" s="275"/>
      <c r="L94" s="279"/>
      <c r="M94" s="279"/>
      <c r="N94" s="275"/>
      <c r="O94" s="280"/>
      <c r="P94" s="275"/>
      <c r="Q94" s="277"/>
      <c r="R94" s="278"/>
      <c r="S94" s="277"/>
      <c r="T94" s="277"/>
      <c r="U94" s="277"/>
      <c r="V94" s="277"/>
      <c r="W94" s="277"/>
    </row>
    <row r="95" spans="1:23">
      <c r="A95" s="269" t="str">
        <f>IF(P95=0,"",COUNT($A$74:A94)+1)</f>
        <v/>
      </c>
      <c r="B95" s="270"/>
      <c r="C95" s="187"/>
      <c r="D95" s="281"/>
      <c r="E95" s="282"/>
      <c r="F95" s="279"/>
      <c r="G95" s="274"/>
      <c r="H95" s="275"/>
      <c r="I95" s="279"/>
      <c r="J95" s="274"/>
      <c r="K95" s="275"/>
      <c r="L95" s="279"/>
      <c r="M95" s="279"/>
      <c r="N95" s="275"/>
      <c r="O95" s="280"/>
      <c r="P95" s="275"/>
      <c r="Q95" s="277"/>
      <c r="R95" s="278"/>
      <c r="S95" s="277"/>
      <c r="T95" s="277"/>
      <c r="U95" s="277"/>
      <c r="V95" s="277"/>
      <c r="W95" s="277"/>
    </row>
    <row r="96" spans="1:23">
      <c r="A96" s="269" t="str">
        <f>IF(P96=0,"",COUNT($A$74:A95)+1)</f>
        <v/>
      </c>
      <c r="B96" s="270"/>
      <c r="C96" s="187"/>
      <c r="D96" s="281"/>
      <c r="E96" s="282"/>
      <c r="F96" s="279"/>
      <c r="G96" s="274"/>
      <c r="H96" s="275"/>
      <c r="I96" s="279"/>
      <c r="J96" s="274"/>
      <c r="K96" s="275"/>
      <c r="L96" s="279"/>
      <c r="M96" s="279"/>
      <c r="N96" s="275"/>
      <c r="O96" s="280"/>
      <c r="P96" s="275"/>
      <c r="Q96" s="277"/>
      <c r="R96" s="278"/>
      <c r="S96" s="277"/>
      <c r="T96" s="277"/>
      <c r="U96" s="277"/>
      <c r="V96" s="277"/>
      <c r="W96" s="277"/>
    </row>
    <row r="97" spans="1:23">
      <c r="A97" s="269" t="str">
        <f>IF(P97=0,"",COUNT($A$74:A96)+1)</f>
        <v/>
      </c>
      <c r="B97" s="270"/>
      <c r="C97" s="187"/>
      <c r="D97" s="281"/>
      <c r="E97" s="282"/>
      <c r="F97" s="279"/>
      <c r="G97" s="274"/>
      <c r="H97" s="275"/>
      <c r="I97" s="279"/>
      <c r="J97" s="274"/>
      <c r="K97" s="275"/>
      <c r="L97" s="279"/>
      <c r="M97" s="279"/>
      <c r="N97" s="275"/>
      <c r="O97" s="280"/>
      <c r="P97" s="275"/>
      <c r="Q97" s="277"/>
      <c r="R97" s="278"/>
      <c r="S97" s="277"/>
      <c r="T97" s="277"/>
      <c r="U97" s="277"/>
      <c r="V97" s="277"/>
      <c r="W97" s="277"/>
    </row>
    <row r="98" spans="1:23">
      <c r="A98" s="283"/>
      <c r="B98" s="284"/>
      <c r="C98" s="285"/>
      <c r="D98" s="286"/>
      <c r="E98" s="286"/>
      <c r="F98" s="286"/>
      <c r="G98" s="286"/>
      <c r="H98" s="287"/>
      <c r="I98" s="286"/>
      <c r="J98" s="286"/>
      <c r="K98" s="287"/>
      <c r="L98" s="286"/>
      <c r="M98" s="286"/>
      <c r="N98" s="287"/>
      <c r="O98" s="286"/>
      <c r="P98" s="287"/>
      <c r="Q98" s="277"/>
      <c r="R98" s="278"/>
      <c r="S98" s="277"/>
      <c r="T98" s="277"/>
      <c r="U98" s="277"/>
      <c r="V98" s="277"/>
      <c r="W98" s="277"/>
    </row>
    <row r="99" spans="1:23">
      <c r="B99" s="204" t="s">
        <v>458</v>
      </c>
      <c r="D99" s="208" t="s">
        <v>459</v>
      </c>
      <c r="E99" s="208"/>
      <c r="F99" s="228"/>
      <c r="G99" s="228"/>
      <c r="H99" s="196"/>
      <c r="I99" s="196"/>
      <c r="J99" s="196"/>
      <c r="K99" s="196"/>
      <c r="L99" s="196"/>
      <c r="M99" s="288">
        <f>SUM(M75:M98)</f>
        <v>8890054.8599999994</v>
      </c>
      <c r="N99" s="288">
        <f>SUM(N75:N98)</f>
        <v>84167618.542628825</v>
      </c>
      <c r="O99" s="289">
        <f>SUM(O75:O98)</f>
        <v>-6294573.7515399167</v>
      </c>
      <c r="P99" s="288">
        <f>SUM(P75:P98)</f>
        <v>77873044.791088894</v>
      </c>
      <c r="Q99" s="277"/>
      <c r="R99" s="290"/>
      <c r="S99" s="277"/>
      <c r="T99" s="277"/>
      <c r="U99" s="277"/>
      <c r="V99" s="277"/>
      <c r="W99" s="277"/>
    </row>
    <row r="100" spans="1:23">
      <c r="B100" s="291"/>
      <c r="C100" s="277"/>
      <c r="D100" s="277"/>
      <c r="E100" s="277"/>
      <c r="F100" s="277"/>
      <c r="G100" s="277"/>
      <c r="H100" s="277"/>
      <c r="I100" s="277"/>
      <c r="J100" s="277"/>
      <c r="K100" s="277"/>
      <c r="L100" s="277"/>
      <c r="M100" s="277"/>
      <c r="N100" s="277"/>
      <c r="O100" s="277"/>
      <c r="P100" s="277"/>
      <c r="Q100" s="277"/>
      <c r="R100" s="290"/>
      <c r="S100" s="277"/>
      <c r="T100" s="277"/>
      <c r="U100" s="277"/>
      <c r="V100" s="277"/>
      <c r="W100" s="277"/>
    </row>
    <row r="101" spans="1:23">
      <c r="B101" s="292">
        <v>3</v>
      </c>
      <c r="C101" s="277"/>
      <c r="D101" s="240" t="s">
        <v>460</v>
      </c>
      <c r="E101" s="277"/>
      <c r="F101" s="277"/>
      <c r="G101" s="277"/>
      <c r="H101" s="277"/>
      <c r="I101" s="277"/>
      <c r="J101" s="277"/>
      <c r="K101" s="277"/>
      <c r="L101" s="277"/>
      <c r="M101" s="277"/>
      <c r="N101" s="288">
        <f>N99</f>
        <v>84167618.542628825</v>
      </c>
      <c r="O101" s="277"/>
      <c r="P101" s="277"/>
      <c r="Q101" s="277"/>
      <c r="R101" s="290"/>
      <c r="S101" s="277"/>
      <c r="T101" s="277"/>
      <c r="U101" s="277"/>
      <c r="V101" s="277"/>
      <c r="W101" s="277"/>
    </row>
    <row r="102" spans="1:23">
      <c r="B102" s="277"/>
      <c r="C102" s="277"/>
      <c r="D102" s="277"/>
      <c r="E102" s="277"/>
      <c r="F102" s="277"/>
      <c r="G102" s="277"/>
      <c r="H102" s="277"/>
      <c r="I102" s="277"/>
      <c r="J102" s="277"/>
      <c r="K102" s="277"/>
      <c r="L102" s="277"/>
      <c r="M102" s="277"/>
      <c r="N102" s="277"/>
      <c r="O102" s="277"/>
      <c r="P102" s="277"/>
      <c r="Q102" s="277"/>
      <c r="R102" s="290"/>
      <c r="S102" s="277"/>
      <c r="T102" s="277"/>
      <c r="U102" s="277"/>
      <c r="V102" s="277"/>
      <c r="W102" s="277"/>
    </row>
    <row r="103" spans="1:23">
      <c r="B103" s="277"/>
      <c r="C103" s="277"/>
      <c r="D103" s="277"/>
      <c r="E103" s="277"/>
      <c r="F103" s="277"/>
      <c r="G103" s="277"/>
      <c r="H103" s="277"/>
      <c r="I103" s="277"/>
      <c r="J103" s="277"/>
      <c r="K103" s="277"/>
      <c r="L103" s="277"/>
      <c r="M103" s="277"/>
      <c r="N103" s="277"/>
      <c r="O103" s="277"/>
      <c r="P103" s="277"/>
      <c r="Q103" s="277"/>
      <c r="R103" s="290"/>
      <c r="S103" s="277"/>
      <c r="T103" s="277"/>
      <c r="U103" s="277"/>
      <c r="V103" s="277"/>
      <c r="W103" s="277"/>
    </row>
    <row r="104" spans="1:23">
      <c r="B104" s="240" t="s">
        <v>284</v>
      </c>
      <c r="C104" s="277"/>
      <c r="D104" s="277"/>
      <c r="E104" s="277"/>
      <c r="F104" s="277"/>
      <c r="G104" s="277"/>
      <c r="H104" s="277"/>
      <c r="I104" s="277"/>
      <c r="J104" s="277"/>
      <c r="K104" s="277"/>
      <c r="L104" s="277"/>
      <c r="M104" s="277"/>
      <c r="N104" s="277"/>
      <c r="O104" s="277"/>
      <c r="P104" s="277"/>
      <c r="Q104" s="277"/>
      <c r="R104" s="290"/>
      <c r="S104" s="277"/>
      <c r="T104" s="277"/>
      <c r="U104" s="277"/>
      <c r="V104" s="277"/>
      <c r="W104" s="277"/>
    </row>
    <row r="105" spans="1:23" ht="15.75" thickBot="1">
      <c r="B105" s="293" t="s">
        <v>285</v>
      </c>
      <c r="C105" s="277"/>
      <c r="D105" s="277"/>
      <c r="E105" s="277"/>
      <c r="F105" s="277"/>
      <c r="G105" s="277"/>
      <c r="H105" s="277"/>
      <c r="I105" s="277"/>
      <c r="J105" s="277"/>
      <c r="K105" s="277"/>
      <c r="L105" s="277"/>
      <c r="M105" s="277"/>
      <c r="N105" s="277"/>
      <c r="O105" s="277"/>
      <c r="P105" s="277"/>
      <c r="Q105" s="277"/>
      <c r="R105" s="290"/>
      <c r="S105" s="277"/>
      <c r="T105" s="277"/>
      <c r="U105" s="277"/>
      <c r="V105" s="277"/>
      <c r="W105" s="277"/>
    </row>
    <row r="106" spans="1:23">
      <c r="B106" s="294" t="s">
        <v>286</v>
      </c>
      <c r="D106" s="735" t="s">
        <v>461</v>
      </c>
      <c r="E106" s="735"/>
      <c r="F106" s="735"/>
      <c r="G106" s="735"/>
      <c r="H106" s="735"/>
      <c r="I106" s="735"/>
      <c r="J106" s="735"/>
      <c r="K106" s="735"/>
      <c r="L106" s="735"/>
      <c r="M106" s="735"/>
      <c r="N106" s="735"/>
      <c r="O106" s="735"/>
      <c r="P106" s="735"/>
      <c r="Q106" s="277"/>
      <c r="R106" s="290"/>
      <c r="S106" s="277"/>
      <c r="T106" s="277"/>
      <c r="U106" s="277"/>
      <c r="V106" s="277"/>
      <c r="W106" s="277"/>
    </row>
    <row r="107" spans="1:23">
      <c r="B107" s="294" t="s">
        <v>288</v>
      </c>
      <c r="D107" s="735" t="s">
        <v>462</v>
      </c>
      <c r="E107" s="735"/>
      <c r="F107" s="735"/>
      <c r="G107" s="735"/>
      <c r="H107" s="735"/>
      <c r="I107" s="735"/>
      <c r="J107" s="735"/>
      <c r="K107" s="735"/>
      <c r="L107" s="735"/>
      <c r="M107" s="735"/>
      <c r="N107" s="735"/>
      <c r="O107" s="735"/>
      <c r="P107" s="735"/>
      <c r="Q107" s="277"/>
      <c r="R107" s="290"/>
      <c r="S107" s="277"/>
      <c r="T107" s="277"/>
      <c r="U107" s="277"/>
      <c r="V107" s="277"/>
      <c r="W107" s="277"/>
    </row>
    <row r="108" spans="1:23" ht="33" customHeight="1">
      <c r="B108" s="294" t="s">
        <v>290</v>
      </c>
      <c r="D108" s="735" t="s">
        <v>463</v>
      </c>
      <c r="E108" s="735"/>
      <c r="F108" s="735"/>
      <c r="G108" s="735"/>
      <c r="H108" s="735"/>
      <c r="I108" s="735"/>
      <c r="J108" s="735"/>
      <c r="K108" s="735"/>
      <c r="L108" s="735"/>
      <c r="M108" s="735"/>
      <c r="N108" s="735"/>
      <c r="O108" s="735"/>
      <c r="P108" s="735"/>
      <c r="Q108" s="277"/>
      <c r="R108" s="290"/>
      <c r="S108" s="277"/>
      <c r="T108" s="277"/>
      <c r="U108" s="277"/>
      <c r="V108" s="277"/>
      <c r="W108" s="277"/>
    </row>
    <row r="109" spans="1:23">
      <c r="B109" s="294" t="s">
        <v>292</v>
      </c>
      <c r="D109" s="736" t="s">
        <v>464</v>
      </c>
      <c r="E109" s="736"/>
      <c r="F109" s="736"/>
      <c r="G109" s="736"/>
      <c r="H109" s="736"/>
      <c r="I109" s="736"/>
      <c r="J109" s="736"/>
      <c r="K109" s="736"/>
      <c r="L109" s="736"/>
      <c r="M109" s="736"/>
      <c r="N109" s="736"/>
      <c r="O109" s="736"/>
      <c r="P109" s="736"/>
      <c r="Q109" s="277"/>
      <c r="R109" s="290"/>
      <c r="S109" s="277"/>
      <c r="T109" s="277"/>
      <c r="U109" s="277"/>
      <c r="V109" s="277"/>
      <c r="W109" s="277"/>
    </row>
    <row r="110" spans="1:23">
      <c r="B110" s="295" t="s">
        <v>293</v>
      </c>
      <c r="D110" s="733" t="s">
        <v>465</v>
      </c>
      <c r="E110" s="733"/>
      <c r="F110" s="733"/>
      <c r="G110" s="733"/>
      <c r="H110" s="733"/>
      <c r="I110" s="733"/>
      <c r="J110" s="733"/>
      <c r="K110" s="733"/>
      <c r="L110" s="733"/>
      <c r="M110" s="733"/>
      <c r="N110" s="733"/>
      <c r="O110" s="733"/>
      <c r="P110" s="733"/>
      <c r="Q110" s="277"/>
      <c r="R110" s="290"/>
      <c r="S110" s="277"/>
      <c r="T110" s="277"/>
      <c r="U110" s="277"/>
      <c r="V110" s="277"/>
      <c r="W110" s="277"/>
    </row>
    <row r="111" spans="1:23">
      <c r="B111" s="295" t="s">
        <v>295</v>
      </c>
      <c r="D111" s="733" t="s">
        <v>466</v>
      </c>
      <c r="E111" s="733"/>
      <c r="F111" s="733"/>
      <c r="G111" s="733"/>
      <c r="H111" s="733"/>
      <c r="I111" s="733"/>
      <c r="J111" s="733"/>
      <c r="K111" s="733"/>
      <c r="L111" s="733"/>
      <c r="M111" s="733"/>
      <c r="N111" s="733"/>
      <c r="O111" s="733"/>
      <c r="P111" s="733"/>
      <c r="Q111" s="277"/>
      <c r="R111" s="290"/>
      <c r="S111" s="277"/>
      <c r="T111" s="277"/>
      <c r="U111" s="277"/>
      <c r="V111" s="277"/>
      <c r="W111" s="277"/>
    </row>
    <row r="112" spans="1:23">
      <c r="B112" s="295" t="s">
        <v>297</v>
      </c>
      <c r="D112" s="733" t="s">
        <v>467</v>
      </c>
      <c r="E112" s="733"/>
      <c r="F112" s="733"/>
      <c r="G112" s="733"/>
      <c r="H112" s="733"/>
      <c r="I112" s="733"/>
      <c r="J112" s="733"/>
      <c r="K112" s="733"/>
      <c r="L112" s="733"/>
      <c r="M112" s="733"/>
      <c r="N112" s="733"/>
      <c r="O112" s="733"/>
      <c r="P112" s="733"/>
      <c r="Q112" s="277"/>
      <c r="R112" s="290"/>
      <c r="S112" s="277"/>
      <c r="T112" s="277"/>
      <c r="U112" s="277"/>
      <c r="V112" s="277"/>
      <c r="W112" s="277"/>
    </row>
    <row r="113" spans="2:23">
      <c r="B113" s="295" t="s">
        <v>299</v>
      </c>
      <c r="D113" s="733" t="s">
        <v>468</v>
      </c>
      <c r="E113" s="733"/>
      <c r="F113" s="733"/>
      <c r="G113" s="733"/>
      <c r="H113" s="733"/>
      <c r="I113" s="733"/>
      <c r="J113" s="733"/>
      <c r="K113" s="733"/>
      <c r="L113" s="733"/>
      <c r="M113" s="733"/>
      <c r="N113" s="733"/>
      <c r="O113" s="733"/>
      <c r="P113" s="733"/>
      <c r="Q113" s="277"/>
      <c r="R113" s="290"/>
      <c r="S113" s="277"/>
      <c r="T113" s="277"/>
      <c r="U113" s="277"/>
      <c r="V113" s="277"/>
      <c r="W113" s="277"/>
    </row>
    <row r="114" spans="2:23">
      <c r="B114" s="296" t="s">
        <v>301</v>
      </c>
      <c r="C114" s="297"/>
      <c r="D114" s="734" t="s">
        <v>469</v>
      </c>
      <c r="E114" s="734"/>
      <c r="F114" s="734"/>
      <c r="G114" s="734"/>
      <c r="H114" s="734"/>
      <c r="I114" s="734"/>
      <c r="J114" s="734"/>
      <c r="K114" s="734"/>
      <c r="L114" s="734"/>
      <c r="M114" s="734"/>
      <c r="N114" s="734"/>
      <c r="O114" s="734"/>
      <c r="P114" s="734"/>
      <c r="Q114" s="297"/>
      <c r="R114" s="298"/>
      <c r="S114" s="297"/>
      <c r="T114" s="297"/>
      <c r="U114" s="297"/>
      <c r="V114" s="277"/>
      <c r="W114" s="277"/>
    </row>
    <row r="115" spans="2:23">
      <c r="B115" s="296" t="s">
        <v>303</v>
      </c>
      <c r="C115" s="299"/>
      <c r="D115" s="734" t="s">
        <v>470</v>
      </c>
      <c r="E115" s="734"/>
      <c r="F115" s="734"/>
      <c r="G115" s="734"/>
      <c r="H115" s="734"/>
      <c r="I115" s="734"/>
      <c r="J115" s="734"/>
      <c r="K115" s="734"/>
      <c r="L115" s="734"/>
      <c r="M115" s="734"/>
      <c r="N115" s="734"/>
      <c r="O115" s="734"/>
      <c r="P115" s="734"/>
      <c r="Q115" s="297"/>
      <c r="R115" s="298"/>
      <c r="S115" s="297"/>
      <c r="T115" s="297"/>
      <c r="U115" s="297"/>
      <c r="V115" s="277"/>
      <c r="W115" s="277"/>
    </row>
    <row r="116" spans="2:23" ht="15.75">
      <c r="B116" s="241"/>
      <c r="C116" s="247"/>
      <c r="D116" s="300"/>
      <c r="E116" s="227"/>
      <c r="F116" s="228"/>
      <c r="G116" s="228"/>
      <c r="H116" s="196"/>
      <c r="I116" s="240"/>
      <c r="J116" s="240"/>
      <c r="K116" s="222"/>
      <c r="L116" s="240"/>
      <c r="M116" s="240"/>
      <c r="O116" s="196"/>
      <c r="P116" s="224"/>
      <c r="Q116" s="277"/>
      <c r="R116" s="290"/>
      <c r="S116" s="277"/>
      <c r="T116" s="277"/>
      <c r="U116" s="277"/>
      <c r="V116" s="277"/>
      <c r="W116" s="277"/>
    </row>
    <row r="117" spans="2:23">
      <c r="D117" s="277"/>
      <c r="E117" s="277"/>
      <c r="F117" s="277"/>
      <c r="G117" s="277"/>
      <c r="H117" s="277"/>
      <c r="I117" s="277"/>
      <c r="J117" s="277"/>
      <c r="K117" s="277"/>
      <c r="L117" s="277"/>
      <c r="M117" s="277"/>
      <c r="N117" s="277"/>
      <c r="O117" s="277"/>
      <c r="P117" s="277"/>
      <c r="Q117" s="277"/>
      <c r="R117" s="290"/>
      <c r="S117" s="277"/>
      <c r="T117" s="277"/>
      <c r="U117" s="277"/>
      <c r="V117" s="277"/>
      <c r="W117" s="277"/>
    </row>
    <row r="118" spans="2:23">
      <c r="D118" s="277"/>
      <c r="E118" s="277"/>
      <c r="F118" s="277"/>
      <c r="G118" s="277"/>
      <c r="H118" s="277"/>
      <c r="I118" s="277"/>
      <c r="J118" s="277"/>
      <c r="K118" s="277"/>
      <c r="L118" s="277"/>
      <c r="M118" s="277"/>
      <c r="N118" s="277"/>
      <c r="O118" s="277"/>
      <c r="P118" s="277"/>
      <c r="Q118" s="277"/>
      <c r="R118" s="290"/>
      <c r="S118" s="277"/>
      <c r="T118" s="277"/>
      <c r="U118" s="277"/>
      <c r="V118" s="277"/>
      <c r="W118" s="277"/>
    </row>
    <row r="119" spans="2:23">
      <c r="D119" s="277"/>
      <c r="E119" s="277"/>
      <c r="F119" s="277"/>
      <c r="G119" s="277"/>
      <c r="H119" s="277"/>
      <c r="I119" s="277"/>
      <c r="J119" s="277"/>
      <c r="K119" s="277"/>
      <c r="L119" s="277"/>
      <c r="M119" s="277"/>
      <c r="N119" s="277"/>
      <c r="O119" s="277"/>
      <c r="P119" s="277"/>
      <c r="Q119" s="277"/>
      <c r="R119" s="290"/>
      <c r="S119" s="277"/>
      <c r="T119" s="277"/>
      <c r="U119" s="277"/>
      <c r="V119" s="277"/>
      <c r="W119" s="277"/>
    </row>
    <row r="120" spans="2:23">
      <c r="D120" s="277"/>
      <c r="E120" s="277"/>
      <c r="F120" s="277"/>
      <c r="G120" s="277"/>
      <c r="H120" s="277"/>
      <c r="I120" s="277"/>
      <c r="J120" s="277"/>
      <c r="K120" s="277"/>
      <c r="L120" s="277"/>
      <c r="M120" s="277"/>
      <c r="N120" s="277"/>
      <c r="O120" s="277"/>
      <c r="P120" s="277"/>
      <c r="Q120" s="277"/>
      <c r="R120" s="290"/>
      <c r="S120" s="277"/>
      <c r="T120" s="277"/>
      <c r="U120" s="277"/>
      <c r="V120" s="277"/>
      <c r="W120" s="277"/>
    </row>
    <row r="121" spans="2:23">
      <c r="D121" s="277"/>
      <c r="E121" s="277"/>
      <c r="F121" s="277"/>
      <c r="G121" s="277"/>
      <c r="H121" s="277"/>
      <c r="I121" s="277"/>
      <c r="J121" s="277"/>
      <c r="K121" s="277"/>
      <c r="L121" s="277"/>
      <c r="M121" s="277"/>
      <c r="N121" s="277"/>
      <c r="O121" s="277"/>
      <c r="P121" s="277"/>
      <c r="Q121" s="277"/>
      <c r="R121" s="290"/>
      <c r="S121" s="277"/>
      <c r="T121" s="277"/>
      <c r="U121" s="277"/>
      <c r="V121" s="277"/>
      <c r="W121" s="277"/>
    </row>
    <row r="122" spans="2:23" s="587" customFormat="1" ht="31.5">
      <c r="B122" s="583" t="s">
        <v>673</v>
      </c>
      <c r="C122" s="583"/>
      <c r="D122" s="584" t="s">
        <v>674</v>
      </c>
      <c r="E122" s="584"/>
      <c r="F122" s="584"/>
      <c r="G122" s="585">
        <v>41274</v>
      </c>
      <c r="H122" s="585">
        <v>41305</v>
      </c>
      <c r="I122" s="585">
        <v>41333</v>
      </c>
      <c r="J122" s="585">
        <v>41364</v>
      </c>
      <c r="K122" s="585">
        <v>41394</v>
      </c>
      <c r="L122" s="585">
        <v>41425</v>
      </c>
      <c r="M122" s="585">
        <v>41455</v>
      </c>
      <c r="N122" s="585">
        <v>41486</v>
      </c>
      <c r="O122" s="585">
        <v>41517</v>
      </c>
      <c r="P122" s="585">
        <v>41547</v>
      </c>
      <c r="Q122" s="585">
        <v>41578</v>
      </c>
      <c r="R122" s="585">
        <v>41608</v>
      </c>
      <c r="S122" s="585">
        <v>41639</v>
      </c>
      <c r="T122" s="586" t="s">
        <v>577</v>
      </c>
      <c r="U122" s="585" t="s">
        <v>675</v>
      </c>
      <c r="V122" s="586" t="s">
        <v>676</v>
      </c>
    </row>
    <row r="123" spans="2:23" s="592" customFormat="1" ht="15.75">
      <c r="B123" s="588"/>
      <c r="C123" s="588"/>
      <c r="D123" s="589"/>
      <c r="E123" s="589"/>
      <c r="F123" s="589"/>
      <c r="G123" s="590"/>
      <c r="H123" s="590"/>
      <c r="I123" s="591"/>
      <c r="J123" s="591"/>
      <c r="K123" s="590"/>
      <c r="L123" s="590"/>
      <c r="M123" s="591"/>
      <c r="N123" s="591"/>
      <c r="O123" s="590"/>
      <c r="P123" s="591"/>
      <c r="Q123" s="591"/>
      <c r="R123" s="591"/>
      <c r="S123" s="591"/>
    </row>
    <row r="124" spans="2:23" s="612" customFormat="1" ht="36.75">
      <c r="B124" s="588"/>
      <c r="C124" s="588"/>
      <c r="D124" s="559"/>
      <c r="E124" s="559"/>
      <c r="F124" s="558" t="s">
        <v>677</v>
      </c>
      <c r="G124" s="557"/>
      <c r="H124" s="594"/>
      <c r="I124" s="594"/>
      <c r="J124" s="594"/>
      <c r="K124" s="594"/>
      <c r="L124" s="594"/>
      <c r="M124" s="594"/>
      <c r="N124" s="594"/>
      <c r="O124" s="594"/>
      <c r="P124" s="594"/>
      <c r="Q124" s="594"/>
      <c r="R124" s="594"/>
      <c r="S124" s="594"/>
      <c r="T124" s="602"/>
      <c r="U124" s="602"/>
      <c r="V124" s="602">
        <f>SUM(H124:S124)</f>
        <v>0</v>
      </c>
    </row>
    <row r="125" spans="2:23" s="612" customFormat="1" ht="15.75">
      <c r="B125" s="588"/>
      <c r="C125" s="588"/>
      <c r="D125" s="731" t="s">
        <v>678</v>
      </c>
      <c r="E125" s="593" t="s">
        <v>679</v>
      </c>
      <c r="F125" s="589" t="s">
        <v>549</v>
      </c>
      <c r="G125" s="594">
        <v>0</v>
      </c>
      <c r="H125" s="594">
        <v>0</v>
      </c>
      <c r="I125" s="594">
        <v>0</v>
      </c>
      <c r="J125" s="594">
        <v>0</v>
      </c>
      <c r="K125" s="594">
        <v>0</v>
      </c>
      <c r="L125" s="594">
        <v>0</v>
      </c>
      <c r="M125" s="594">
        <v>0</v>
      </c>
      <c r="N125" s="594">
        <v>0</v>
      </c>
      <c r="O125" s="594">
        <v>0</v>
      </c>
      <c r="P125" s="594">
        <v>0</v>
      </c>
      <c r="Q125" s="594">
        <v>0</v>
      </c>
      <c r="R125" s="594">
        <v>0</v>
      </c>
      <c r="S125" s="594">
        <v>0</v>
      </c>
      <c r="T125" s="594">
        <v>0</v>
      </c>
      <c r="U125" s="595">
        <v>1</v>
      </c>
      <c r="V125" s="594">
        <f>T125*U125</f>
        <v>0</v>
      </c>
    </row>
    <row r="126" spans="2:23" s="612" customFormat="1" ht="15" customHeight="1">
      <c r="B126" s="588"/>
      <c r="C126" s="588"/>
      <c r="D126" s="732"/>
      <c r="E126" s="593" t="s">
        <v>679</v>
      </c>
      <c r="F126" s="589" t="s">
        <v>680</v>
      </c>
      <c r="G126" s="594">
        <v>148597383.20000002</v>
      </c>
      <c r="H126" s="594">
        <v>148597383.20000002</v>
      </c>
      <c r="I126" s="594">
        <v>148597383.20000005</v>
      </c>
      <c r="J126" s="594">
        <v>148574562.78000003</v>
      </c>
      <c r="K126" s="594">
        <v>148563323.00999999</v>
      </c>
      <c r="L126" s="594">
        <v>148563323.01000002</v>
      </c>
      <c r="M126" s="594">
        <v>148563323.00999996</v>
      </c>
      <c r="N126" s="594">
        <v>148563323.00999999</v>
      </c>
      <c r="O126" s="594">
        <v>148563323.00999996</v>
      </c>
      <c r="P126" s="594">
        <v>148563323.00999996</v>
      </c>
      <c r="Q126" s="594">
        <v>148563323.00999996</v>
      </c>
      <c r="R126" s="594">
        <v>148563323.00999996</v>
      </c>
      <c r="S126" s="594">
        <v>148563323.00999996</v>
      </c>
      <c r="T126" s="594">
        <v>148572047.65153846</v>
      </c>
      <c r="U126" s="595">
        <v>1</v>
      </c>
      <c r="V126" s="594">
        <f>T126*U126</f>
        <v>148572047.65153846</v>
      </c>
    </row>
    <row r="127" spans="2:23" s="612" customFormat="1" ht="15.75">
      <c r="B127" s="588">
        <v>345</v>
      </c>
      <c r="C127" s="588"/>
      <c r="D127" s="732"/>
      <c r="E127" s="593" t="s">
        <v>679</v>
      </c>
      <c r="F127" s="589" t="s">
        <v>681</v>
      </c>
      <c r="G127" s="594">
        <v>14659422.800000001</v>
      </c>
      <c r="H127" s="596">
        <v>14980234.810000001</v>
      </c>
      <c r="I127" s="596">
        <v>15301046.82</v>
      </c>
      <c r="J127" s="594">
        <v>15621858.83</v>
      </c>
      <c r="K127" s="594">
        <v>15919850.42</v>
      </c>
      <c r="L127" s="596">
        <v>16229325.540000001</v>
      </c>
      <c r="M127" s="596">
        <v>16549990.040000001</v>
      </c>
      <c r="N127" s="594">
        <v>16870654.539999999</v>
      </c>
      <c r="O127" s="596">
        <v>17191319.039999999</v>
      </c>
      <c r="P127" s="594">
        <v>17511983.539999999</v>
      </c>
      <c r="Q127" s="594">
        <v>17832648.039999999</v>
      </c>
      <c r="R127" s="594">
        <v>18153312.539999999</v>
      </c>
      <c r="S127" s="594">
        <v>18473977.039999999</v>
      </c>
      <c r="T127" s="594"/>
    </row>
    <row r="128" spans="2:23" s="612" customFormat="1" ht="15.75">
      <c r="B128" s="588"/>
      <c r="C128" s="588"/>
      <c r="D128" s="732"/>
      <c r="E128" s="593" t="s">
        <v>679</v>
      </c>
      <c r="F128" s="589" t="s">
        <v>682</v>
      </c>
      <c r="G128" s="597">
        <v>320812.01</v>
      </c>
      <c r="H128" s="597">
        <v>320812.01</v>
      </c>
      <c r="I128" s="597">
        <v>320812.01</v>
      </c>
      <c r="J128" s="597">
        <v>320812.01</v>
      </c>
      <c r="K128" s="597">
        <v>320714.89</v>
      </c>
      <c r="L128" s="597">
        <v>320664.5</v>
      </c>
      <c r="M128" s="597">
        <v>320664.5</v>
      </c>
      <c r="N128" s="597">
        <v>320664.5</v>
      </c>
      <c r="O128" s="597">
        <v>320664.5</v>
      </c>
      <c r="P128" s="597">
        <v>320664.5</v>
      </c>
      <c r="Q128" s="597">
        <v>320664.5</v>
      </c>
      <c r="R128" s="597">
        <v>320664.5</v>
      </c>
      <c r="S128" s="597">
        <v>320664.5</v>
      </c>
      <c r="T128" s="594"/>
      <c r="V128" s="594">
        <f>SUM(H128:S128)</f>
        <v>3848466.92</v>
      </c>
    </row>
    <row r="129" spans="2:22" s="612" customFormat="1" ht="15.75">
      <c r="B129" s="588"/>
      <c r="C129" s="588"/>
      <c r="D129" s="732"/>
      <c r="E129" s="593" t="s">
        <v>679</v>
      </c>
      <c r="F129" s="598" t="s">
        <v>683</v>
      </c>
      <c r="G129" s="600">
        <v>0</v>
      </c>
      <c r="H129" s="599">
        <v>0</v>
      </c>
      <c r="I129" s="599">
        <v>0</v>
      </c>
      <c r="J129" s="599">
        <v>22820.42</v>
      </c>
      <c r="K129" s="599">
        <v>11239.77</v>
      </c>
      <c r="L129" s="599">
        <v>0</v>
      </c>
      <c r="M129" s="599">
        <v>0</v>
      </c>
      <c r="N129" s="600">
        <v>0</v>
      </c>
      <c r="O129" s="599">
        <v>0</v>
      </c>
      <c r="P129" s="600">
        <v>0</v>
      </c>
      <c r="Q129" s="600">
        <v>0</v>
      </c>
      <c r="R129" s="600">
        <v>0</v>
      </c>
      <c r="S129" s="600">
        <v>0</v>
      </c>
      <c r="T129" s="594"/>
    </row>
    <row r="130" spans="2:22" s="612" customFormat="1" ht="15.75">
      <c r="B130" s="588"/>
      <c r="C130" s="588"/>
      <c r="D130" s="732"/>
      <c r="E130" s="593" t="s">
        <v>679</v>
      </c>
      <c r="F130" s="590" t="s">
        <v>684</v>
      </c>
      <c r="G130" s="601">
        <f>G126-(SUM(G127:G128,-G129))</f>
        <v>133617148.39000002</v>
      </c>
      <c r="H130" s="601">
        <f>H126-(SUM(H127:H128,-H129))</f>
        <v>133296336.38000003</v>
      </c>
      <c r="I130" s="601">
        <f t="shared" ref="I130:S130" si="6">I126-(SUM(I127:I128,-I129))</f>
        <v>132975524.37000005</v>
      </c>
      <c r="J130" s="601">
        <f t="shared" si="6"/>
        <v>132654712.36000003</v>
      </c>
      <c r="K130" s="601">
        <f t="shared" si="6"/>
        <v>132333997.46999998</v>
      </c>
      <c r="L130" s="601">
        <f t="shared" si="6"/>
        <v>132013332.97000001</v>
      </c>
      <c r="M130" s="601">
        <f t="shared" si="6"/>
        <v>131692668.46999997</v>
      </c>
      <c r="N130" s="601">
        <f t="shared" si="6"/>
        <v>131372003.97</v>
      </c>
      <c r="O130" s="601">
        <f t="shared" si="6"/>
        <v>131051339.46999997</v>
      </c>
      <c r="P130" s="601">
        <f t="shared" si="6"/>
        <v>130730674.96999997</v>
      </c>
      <c r="Q130" s="601">
        <f t="shared" si="6"/>
        <v>130410010.46999997</v>
      </c>
      <c r="R130" s="601">
        <f t="shared" si="6"/>
        <v>130089345.96999997</v>
      </c>
      <c r="S130" s="601">
        <f t="shared" si="6"/>
        <v>129768681.46999997</v>
      </c>
      <c r="T130" s="594">
        <v>131692752.05615386</v>
      </c>
      <c r="U130" s="595">
        <v>1</v>
      </c>
      <c r="V130" s="594">
        <f>T130*U130</f>
        <v>131692752.05615386</v>
      </c>
    </row>
    <row r="131" spans="2:22" s="612" customFormat="1" ht="15.75">
      <c r="B131" s="588"/>
      <c r="C131" s="588"/>
      <c r="D131" s="603"/>
      <c r="E131" s="603"/>
      <c r="F131" s="604"/>
      <c r="G131" s="605"/>
      <c r="H131" s="605"/>
      <c r="I131" s="605"/>
      <c r="J131" s="605"/>
      <c r="K131" s="605"/>
      <c r="L131" s="605"/>
      <c r="M131" s="605"/>
      <c r="N131" s="605"/>
      <c r="O131" s="605"/>
      <c r="P131" s="605"/>
      <c r="Q131" s="605"/>
      <c r="R131" s="605"/>
      <c r="S131" s="605"/>
      <c r="T131" s="605"/>
      <c r="U131" s="605"/>
      <c r="V131" s="605"/>
    </row>
    <row r="132" spans="2:22" s="612" customFormat="1" ht="36.75">
      <c r="B132" s="588"/>
      <c r="C132" s="588"/>
      <c r="D132" s="559"/>
      <c r="E132" s="559"/>
      <c r="F132" s="558" t="s">
        <v>677</v>
      </c>
      <c r="G132" s="557"/>
      <c r="H132" s="594"/>
      <c r="I132" s="594"/>
      <c r="J132" s="594"/>
      <c r="K132" s="594"/>
      <c r="L132" s="594"/>
      <c r="M132" s="594"/>
      <c r="N132" s="594"/>
      <c r="O132" s="594"/>
      <c r="P132" s="594"/>
      <c r="Q132" s="594"/>
      <c r="R132" s="594"/>
      <c r="S132" s="594"/>
      <c r="T132" s="602"/>
      <c r="U132" s="602"/>
      <c r="V132" s="602">
        <f>SUM(H132:S132)</f>
        <v>0</v>
      </c>
    </row>
    <row r="133" spans="2:22" s="612" customFormat="1" ht="15.75">
      <c r="B133" s="588"/>
      <c r="C133" s="588"/>
      <c r="D133" s="731" t="s">
        <v>685</v>
      </c>
      <c r="E133" s="593" t="s">
        <v>686</v>
      </c>
      <c r="F133" s="589" t="s">
        <v>549</v>
      </c>
      <c r="G133" s="594">
        <v>0</v>
      </c>
      <c r="H133" s="594">
        <v>0</v>
      </c>
      <c r="I133" s="594">
        <v>0</v>
      </c>
      <c r="J133" s="594">
        <v>0</v>
      </c>
      <c r="K133" s="594">
        <v>0</v>
      </c>
      <c r="L133" s="594">
        <v>0</v>
      </c>
      <c r="M133" s="594">
        <v>0</v>
      </c>
      <c r="N133" s="594">
        <v>0</v>
      </c>
      <c r="O133" s="594">
        <v>0</v>
      </c>
      <c r="P133" s="594">
        <v>0</v>
      </c>
      <c r="Q133" s="594">
        <v>0</v>
      </c>
      <c r="R133" s="594">
        <v>0</v>
      </c>
      <c r="S133" s="594">
        <v>0</v>
      </c>
      <c r="T133" s="594">
        <v>0</v>
      </c>
      <c r="U133" s="595">
        <v>1</v>
      </c>
      <c r="V133" s="594">
        <f>T133*U133</f>
        <v>0</v>
      </c>
    </row>
    <row r="134" spans="2:22" s="612" customFormat="1" ht="15" customHeight="1">
      <c r="B134" s="588"/>
      <c r="C134" s="588"/>
      <c r="D134" s="732"/>
      <c r="E134" s="593" t="s">
        <v>686</v>
      </c>
      <c r="F134" s="589" t="s">
        <v>680</v>
      </c>
      <c r="G134" s="594">
        <v>8751971.6799999997</v>
      </c>
      <c r="H134" s="594">
        <v>8751971.6799999997</v>
      </c>
      <c r="I134" s="594">
        <v>8751971.6799999997</v>
      </c>
      <c r="J134" s="594">
        <v>8751971.6799999997</v>
      </c>
      <c r="K134" s="594">
        <v>8751971.6799999997</v>
      </c>
      <c r="L134" s="594">
        <v>8751971.6799999997</v>
      </c>
      <c r="M134" s="594">
        <v>8751971.6800000016</v>
      </c>
      <c r="N134" s="594">
        <v>8751971.6799999997</v>
      </c>
      <c r="O134" s="594">
        <v>8751971.6799999997</v>
      </c>
      <c r="P134" s="594">
        <v>8751971.6799999997</v>
      </c>
      <c r="Q134" s="594">
        <v>8751971.6799999997</v>
      </c>
      <c r="R134" s="594">
        <v>8751971.6799999997</v>
      </c>
      <c r="S134" s="594">
        <v>8751971.6800000016</v>
      </c>
      <c r="T134" s="594">
        <v>8751971.6800000034</v>
      </c>
      <c r="U134" s="595">
        <v>1</v>
      </c>
      <c r="V134" s="594">
        <f>T134*U134</f>
        <v>8751971.6800000034</v>
      </c>
    </row>
    <row r="135" spans="2:22" s="612" customFormat="1" ht="15.75">
      <c r="B135" s="588">
        <v>1453</v>
      </c>
      <c r="C135" s="588"/>
      <c r="D135" s="732"/>
      <c r="E135" s="593" t="s">
        <v>686</v>
      </c>
      <c r="F135" s="589" t="s">
        <v>681</v>
      </c>
      <c r="G135" s="594">
        <v>1041467.9029999996</v>
      </c>
      <c r="H135" s="596">
        <v>1062434.2429999996</v>
      </c>
      <c r="I135" s="596">
        <v>1083400.5829999996</v>
      </c>
      <c r="J135" s="594">
        <v>1104366.9229999997</v>
      </c>
      <c r="K135" s="594">
        <v>1125333.26</v>
      </c>
      <c r="L135" s="596">
        <v>1146299.6029999999</v>
      </c>
      <c r="M135" s="596">
        <v>1167265.943</v>
      </c>
      <c r="N135" s="594">
        <v>1188232.2830000001</v>
      </c>
      <c r="O135" s="596">
        <v>1209198.6230000001</v>
      </c>
      <c r="P135" s="594">
        <v>1230164.9630000002</v>
      </c>
      <c r="Q135" s="594">
        <v>1251131.3030000003</v>
      </c>
      <c r="R135" s="594">
        <v>1272097.6430000004</v>
      </c>
      <c r="S135" s="594">
        <v>1293063.9830000005</v>
      </c>
      <c r="T135" s="594"/>
    </row>
    <row r="136" spans="2:22" s="612" customFormat="1" ht="15.75">
      <c r="B136" s="588"/>
      <c r="C136" s="588"/>
      <c r="D136" s="732"/>
      <c r="E136" s="593" t="s">
        <v>686</v>
      </c>
      <c r="F136" s="589" t="s">
        <v>682</v>
      </c>
      <c r="G136" s="597">
        <v>20966.34</v>
      </c>
      <c r="H136" s="597">
        <v>20966.34</v>
      </c>
      <c r="I136" s="597">
        <v>20966.34</v>
      </c>
      <c r="J136" s="597">
        <v>20966.34</v>
      </c>
      <c r="K136" s="597">
        <v>20966.34</v>
      </c>
      <c r="L136" s="597">
        <v>20966.34</v>
      </c>
      <c r="M136" s="597">
        <v>20966.34</v>
      </c>
      <c r="N136" s="597">
        <v>20966.34</v>
      </c>
      <c r="O136" s="597">
        <v>20966.34</v>
      </c>
      <c r="P136" s="597">
        <v>20966.34</v>
      </c>
      <c r="Q136" s="597">
        <v>20966.34</v>
      </c>
      <c r="R136" s="597">
        <v>20966.34</v>
      </c>
      <c r="S136" s="597">
        <v>20966.34</v>
      </c>
      <c r="T136" s="594"/>
      <c r="V136" s="594">
        <f>SUM(H136:S136)</f>
        <v>251596.08</v>
      </c>
    </row>
    <row r="137" spans="2:22" s="612" customFormat="1" ht="15.75">
      <c r="B137" s="588"/>
      <c r="C137" s="588"/>
      <c r="D137" s="732"/>
      <c r="E137" s="593" t="s">
        <v>686</v>
      </c>
      <c r="F137" s="598" t="s">
        <v>683</v>
      </c>
      <c r="G137" s="600">
        <v>0</v>
      </c>
      <c r="H137" s="599">
        <v>0</v>
      </c>
      <c r="I137" s="599">
        <v>0</v>
      </c>
      <c r="J137" s="600">
        <v>0</v>
      </c>
      <c r="K137" s="600">
        <v>0</v>
      </c>
      <c r="L137" s="599">
        <v>0</v>
      </c>
      <c r="M137" s="599">
        <v>0</v>
      </c>
      <c r="N137" s="600">
        <v>0</v>
      </c>
      <c r="O137" s="599">
        <v>0</v>
      </c>
      <c r="P137" s="600">
        <v>0</v>
      </c>
      <c r="Q137" s="600">
        <v>0</v>
      </c>
      <c r="R137" s="600">
        <v>0</v>
      </c>
      <c r="S137" s="600">
        <v>0</v>
      </c>
      <c r="T137" s="594"/>
    </row>
    <row r="138" spans="2:22" s="612" customFormat="1" ht="15.75">
      <c r="B138" s="588"/>
      <c r="C138" s="588"/>
      <c r="D138" s="732"/>
      <c r="E138" s="593" t="s">
        <v>686</v>
      </c>
      <c r="F138" s="590" t="s">
        <v>684</v>
      </c>
      <c r="G138" s="601">
        <f t="shared" ref="G138:S138" si="7">G134-(SUM(G135:G136,-G137))</f>
        <v>7689537.4369999999</v>
      </c>
      <c r="H138" s="601">
        <f t="shared" si="7"/>
        <v>7668571.0970000001</v>
      </c>
      <c r="I138" s="601">
        <f t="shared" si="7"/>
        <v>7647604.7570000002</v>
      </c>
      <c r="J138" s="601">
        <f t="shared" si="7"/>
        <v>7626638.4169999994</v>
      </c>
      <c r="K138" s="601">
        <f t="shared" si="7"/>
        <v>7605672.0800000001</v>
      </c>
      <c r="L138" s="601">
        <f t="shared" si="7"/>
        <v>7584705.7369999997</v>
      </c>
      <c r="M138" s="601">
        <f t="shared" si="7"/>
        <v>7563739.3970000017</v>
      </c>
      <c r="N138" s="601">
        <f t="shared" si="7"/>
        <v>7542773.057</v>
      </c>
      <c r="O138" s="601">
        <f t="shared" si="7"/>
        <v>7521806.7169999992</v>
      </c>
      <c r="P138" s="601">
        <f t="shared" si="7"/>
        <v>7500840.3769999994</v>
      </c>
      <c r="Q138" s="601">
        <f t="shared" si="7"/>
        <v>7479874.0369999995</v>
      </c>
      <c r="R138" s="601">
        <f t="shared" si="7"/>
        <v>7458907.6969999988</v>
      </c>
      <c r="S138" s="601">
        <f t="shared" si="7"/>
        <v>7437941.3570000008</v>
      </c>
      <c r="T138" s="594">
        <v>7563739.3972307695</v>
      </c>
      <c r="U138" s="595">
        <v>1</v>
      </c>
      <c r="V138" s="594">
        <f>T138*U138</f>
        <v>7563739.3972307695</v>
      </c>
    </row>
    <row r="139" spans="2:22" s="612" customFormat="1" ht="15.75">
      <c r="B139" s="588"/>
      <c r="C139" s="588"/>
      <c r="D139" s="603"/>
      <c r="E139" s="603"/>
      <c r="F139" s="604"/>
      <c r="G139" s="605"/>
      <c r="H139" s="605"/>
      <c r="I139" s="605"/>
      <c r="J139" s="605"/>
      <c r="K139" s="605"/>
      <c r="L139" s="605"/>
      <c r="M139" s="605"/>
      <c r="N139" s="605"/>
      <c r="O139" s="605"/>
      <c r="P139" s="605"/>
      <c r="Q139" s="605"/>
      <c r="R139" s="605"/>
      <c r="S139" s="605"/>
      <c r="T139" s="605"/>
      <c r="U139" s="605"/>
      <c r="V139" s="605"/>
    </row>
    <row r="140" spans="2:22" s="612" customFormat="1" ht="36.75">
      <c r="B140" s="588"/>
      <c r="C140" s="588"/>
      <c r="D140" s="559"/>
      <c r="E140" s="559"/>
      <c r="F140" s="558" t="s">
        <v>677</v>
      </c>
      <c r="G140" s="557"/>
      <c r="H140" s="594"/>
      <c r="I140" s="594"/>
      <c r="J140" s="594"/>
      <c r="K140" s="594"/>
      <c r="L140" s="594"/>
      <c r="M140" s="594"/>
      <c r="N140" s="594"/>
      <c r="O140" s="594"/>
      <c r="P140" s="594"/>
      <c r="Q140" s="594"/>
      <c r="R140" s="594"/>
      <c r="S140" s="594"/>
      <c r="T140" s="602"/>
      <c r="U140" s="602"/>
      <c r="V140" s="602">
        <f>SUM(H140:S140)</f>
        <v>0</v>
      </c>
    </row>
    <row r="141" spans="2:22" s="612" customFormat="1" ht="15.75">
      <c r="B141" s="588"/>
      <c r="C141" s="588"/>
      <c r="D141" s="731" t="s">
        <v>687</v>
      </c>
      <c r="E141" s="593" t="s">
        <v>688</v>
      </c>
      <c r="F141" s="589" t="s">
        <v>549</v>
      </c>
      <c r="G141" s="594">
        <v>0</v>
      </c>
      <c r="H141" s="594">
        <v>0</v>
      </c>
      <c r="I141" s="594">
        <v>0</v>
      </c>
      <c r="J141" s="594">
        <v>0</v>
      </c>
      <c r="K141" s="594">
        <v>0</v>
      </c>
      <c r="L141" s="594">
        <v>0</v>
      </c>
      <c r="M141" s="594">
        <v>0</v>
      </c>
      <c r="N141" s="594">
        <v>0</v>
      </c>
      <c r="O141" s="594">
        <v>0</v>
      </c>
      <c r="P141" s="594">
        <v>0</v>
      </c>
      <c r="Q141" s="594">
        <v>0</v>
      </c>
      <c r="R141" s="594">
        <v>0</v>
      </c>
      <c r="S141" s="594">
        <v>0</v>
      </c>
      <c r="T141" s="594">
        <v>0</v>
      </c>
      <c r="U141" s="595">
        <v>1</v>
      </c>
      <c r="V141" s="594">
        <f>T141*U141</f>
        <v>0</v>
      </c>
    </row>
    <row r="142" spans="2:22" s="612" customFormat="1" ht="15" customHeight="1">
      <c r="B142" s="588"/>
      <c r="C142" s="588"/>
      <c r="D142" s="732"/>
      <c r="E142" s="593" t="s">
        <v>688</v>
      </c>
      <c r="F142" s="589" t="s">
        <v>680</v>
      </c>
      <c r="G142" s="594">
        <v>92880728.389999956</v>
      </c>
      <c r="H142" s="594">
        <v>92880728.389999956</v>
      </c>
      <c r="I142" s="594">
        <v>92880728.389999956</v>
      </c>
      <c r="J142" s="594">
        <v>92880728.389999956</v>
      </c>
      <c r="K142" s="594">
        <v>92880728.390000001</v>
      </c>
      <c r="L142" s="594">
        <v>92880728.389999956</v>
      </c>
      <c r="M142" s="594">
        <v>92880728.390000001</v>
      </c>
      <c r="N142" s="594">
        <v>92880728.390000001</v>
      </c>
      <c r="O142" s="594">
        <v>92880728.390000001</v>
      </c>
      <c r="P142" s="594">
        <v>92880728.390000001</v>
      </c>
      <c r="Q142" s="594">
        <v>92875963.489999995</v>
      </c>
      <c r="R142" s="594">
        <v>92875963.489999995</v>
      </c>
      <c r="S142" s="594">
        <v>92875963.489999995</v>
      </c>
      <c r="T142" s="594">
        <v>92879628.797692284</v>
      </c>
      <c r="U142" s="595">
        <v>1</v>
      </c>
      <c r="V142" s="594">
        <f>T142*U142</f>
        <v>92879628.797692284</v>
      </c>
    </row>
    <row r="143" spans="2:22" s="612" customFormat="1" ht="15.75">
      <c r="B143" s="588">
        <v>352</v>
      </c>
      <c r="C143" s="588"/>
      <c r="D143" s="732"/>
      <c r="E143" s="593" t="s">
        <v>688</v>
      </c>
      <c r="F143" s="589" t="s">
        <v>681</v>
      </c>
      <c r="G143" s="594">
        <v>8629295.3800000027</v>
      </c>
      <c r="H143" s="596">
        <v>8829926.5200000033</v>
      </c>
      <c r="I143" s="596">
        <v>9030557.6600000039</v>
      </c>
      <c r="J143" s="594">
        <v>9231188.8000000045</v>
      </c>
      <c r="K143" s="594">
        <v>9431819.9399999995</v>
      </c>
      <c r="L143" s="596">
        <v>9632451.0800000057</v>
      </c>
      <c r="M143" s="596">
        <v>9833082.2200000063</v>
      </c>
      <c r="N143" s="594">
        <v>10033713.360000007</v>
      </c>
      <c r="O143" s="596">
        <v>10234344.500000007</v>
      </c>
      <c r="P143" s="594">
        <v>10434975.640000008</v>
      </c>
      <c r="Q143" s="594">
        <v>10635606.780000009</v>
      </c>
      <c r="R143" s="594">
        <v>10831473.020000009</v>
      </c>
      <c r="S143" s="594">
        <v>11032086.850000009</v>
      </c>
      <c r="T143" s="594"/>
    </row>
    <row r="144" spans="2:22" s="612" customFormat="1" ht="15.75">
      <c r="B144" s="588"/>
      <c r="C144" s="588"/>
      <c r="D144" s="732"/>
      <c r="E144" s="593" t="s">
        <v>688</v>
      </c>
      <c r="F144" s="589" t="s">
        <v>682</v>
      </c>
      <c r="G144" s="597">
        <v>200631.14</v>
      </c>
      <c r="H144" s="597">
        <v>200631.14</v>
      </c>
      <c r="I144" s="597">
        <v>200631.14</v>
      </c>
      <c r="J144" s="597">
        <v>200631.14</v>
      </c>
      <c r="K144" s="597">
        <v>200631.14</v>
      </c>
      <c r="L144" s="597">
        <v>200631.14</v>
      </c>
      <c r="M144" s="597">
        <v>200631.14</v>
      </c>
      <c r="N144" s="597">
        <v>200631.14</v>
      </c>
      <c r="O144" s="597">
        <v>200631.14</v>
      </c>
      <c r="P144" s="597">
        <v>200631.14</v>
      </c>
      <c r="Q144" s="597">
        <v>200631.14</v>
      </c>
      <c r="R144" s="597">
        <v>200613.83</v>
      </c>
      <c r="S144" s="597">
        <v>200613.83</v>
      </c>
      <c r="T144" s="594"/>
      <c r="V144" s="594">
        <f>SUM(H144:S144)</f>
        <v>2407539.0600000005</v>
      </c>
    </row>
    <row r="145" spans="2:22" s="612" customFormat="1" ht="15.75">
      <c r="B145" s="588"/>
      <c r="C145" s="588"/>
      <c r="D145" s="732"/>
      <c r="E145" s="593" t="s">
        <v>688</v>
      </c>
      <c r="F145" s="598" t="s">
        <v>683</v>
      </c>
      <c r="G145" s="599">
        <v>0</v>
      </c>
      <c r="H145" s="599">
        <v>0</v>
      </c>
      <c r="I145" s="599">
        <v>0</v>
      </c>
      <c r="J145" s="600">
        <v>0</v>
      </c>
      <c r="K145" s="599">
        <v>0</v>
      </c>
      <c r="L145" s="599">
        <v>0</v>
      </c>
      <c r="M145" s="599">
        <v>0</v>
      </c>
      <c r="N145" s="600">
        <v>0</v>
      </c>
      <c r="O145" s="599">
        <v>0</v>
      </c>
      <c r="P145" s="599">
        <v>0</v>
      </c>
      <c r="Q145" s="599">
        <v>4764.8999999999996</v>
      </c>
      <c r="R145" s="599">
        <v>0</v>
      </c>
      <c r="S145" s="599">
        <v>0</v>
      </c>
      <c r="T145" s="594"/>
    </row>
    <row r="146" spans="2:22" s="612" customFormat="1" ht="15.75">
      <c r="B146" s="588"/>
      <c r="C146" s="588"/>
      <c r="D146" s="732"/>
      <c r="E146" s="593" t="s">
        <v>688</v>
      </c>
      <c r="F146" s="590" t="s">
        <v>684</v>
      </c>
      <c r="G146" s="601">
        <f t="shared" ref="G146:S146" si="8">G142-(SUM(G143:G144,-G145))</f>
        <v>84050801.869999945</v>
      </c>
      <c r="H146" s="601">
        <f t="shared" si="8"/>
        <v>83850170.729999959</v>
      </c>
      <c r="I146" s="601">
        <f t="shared" si="8"/>
        <v>83649539.589999944</v>
      </c>
      <c r="J146" s="601">
        <f t="shared" si="8"/>
        <v>83448908.449999958</v>
      </c>
      <c r="K146" s="601">
        <f t="shared" si="8"/>
        <v>83248277.310000002</v>
      </c>
      <c r="L146" s="601">
        <f t="shared" si="8"/>
        <v>83047646.169999957</v>
      </c>
      <c r="M146" s="601">
        <f t="shared" si="8"/>
        <v>82847015.030000001</v>
      </c>
      <c r="N146" s="601">
        <f t="shared" si="8"/>
        <v>82646383.889999986</v>
      </c>
      <c r="O146" s="601">
        <f t="shared" si="8"/>
        <v>82445752.75</v>
      </c>
      <c r="P146" s="601">
        <f t="shared" si="8"/>
        <v>82245121.609999985</v>
      </c>
      <c r="Q146" s="601">
        <f t="shared" si="8"/>
        <v>82044490.469999984</v>
      </c>
      <c r="R146" s="601">
        <f t="shared" si="8"/>
        <v>81843876.639999986</v>
      </c>
      <c r="S146" s="601">
        <f t="shared" si="8"/>
        <v>81643262.809999987</v>
      </c>
      <c r="T146" s="594">
        <v>82847019.024615362</v>
      </c>
      <c r="U146" s="595">
        <v>1</v>
      </c>
      <c r="V146" s="594">
        <f>T146*U146</f>
        <v>82847019.024615362</v>
      </c>
    </row>
    <row r="147" spans="2:22" s="612" customFormat="1" ht="15.75">
      <c r="B147" s="588"/>
      <c r="C147" s="588"/>
      <c r="D147" s="603"/>
      <c r="E147" s="603"/>
      <c r="F147" s="604"/>
      <c r="G147" s="606"/>
      <c r="H147" s="606"/>
      <c r="I147" s="606"/>
      <c r="J147" s="606"/>
      <c r="K147" s="606"/>
      <c r="L147" s="606"/>
      <c r="M147" s="606"/>
      <c r="N147" s="606"/>
      <c r="O147" s="606"/>
      <c r="P147" s="606"/>
      <c r="Q147" s="606"/>
      <c r="R147" s="606"/>
      <c r="S147" s="606"/>
      <c r="T147" s="605"/>
      <c r="U147" s="605"/>
      <c r="V147" s="605"/>
    </row>
    <row r="148" spans="2:22" s="612" customFormat="1" ht="36.75">
      <c r="B148" s="588"/>
      <c r="C148" s="588"/>
      <c r="D148" s="559"/>
      <c r="E148" s="559"/>
      <c r="F148" s="558" t="s">
        <v>677</v>
      </c>
      <c r="G148" s="557"/>
      <c r="H148" s="594"/>
      <c r="I148" s="594"/>
      <c r="J148" s="594"/>
      <c r="K148" s="594"/>
      <c r="L148" s="594"/>
      <c r="M148" s="594"/>
      <c r="N148" s="594"/>
      <c r="O148" s="594"/>
      <c r="P148" s="594"/>
      <c r="Q148" s="594"/>
      <c r="R148" s="594"/>
      <c r="S148" s="594"/>
      <c r="T148" s="602"/>
      <c r="U148" s="602"/>
      <c r="V148" s="602">
        <f>SUM(H148:S148)</f>
        <v>0</v>
      </c>
    </row>
    <row r="149" spans="2:22" s="612" customFormat="1" ht="15.75">
      <c r="B149" s="588"/>
      <c r="C149" s="588"/>
      <c r="D149" s="731" t="s">
        <v>689</v>
      </c>
      <c r="E149" s="593" t="s">
        <v>690</v>
      </c>
      <c r="F149" s="589" t="s">
        <v>549</v>
      </c>
      <c r="G149" s="594">
        <v>117419865.29000001</v>
      </c>
      <c r="H149" s="594">
        <v>118380597.31</v>
      </c>
      <c r="I149" s="594">
        <v>0</v>
      </c>
      <c r="J149" s="594">
        <v>0</v>
      </c>
      <c r="K149" s="594">
        <v>0</v>
      </c>
      <c r="L149" s="594">
        <v>0</v>
      </c>
      <c r="M149" s="594">
        <v>0</v>
      </c>
      <c r="N149" s="594">
        <v>0</v>
      </c>
      <c r="O149" s="594">
        <v>0</v>
      </c>
      <c r="P149" s="594">
        <v>0</v>
      </c>
      <c r="Q149" s="594">
        <v>0</v>
      </c>
      <c r="R149" s="594">
        <v>0</v>
      </c>
      <c r="S149" s="594">
        <v>0</v>
      </c>
      <c r="T149" s="594">
        <v>18138497.123076923</v>
      </c>
      <c r="U149" s="595">
        <v>1</v>
      </c>
      <c r="V149" s="594">
        <f>T149*U149</f>
        <v>18138497.123076923</v>
      </c>
    </row>
    <row r="150" spans="2:22" s="612" customFormat="1" ht="15" customHeight="1">
      <c r="B150" s="588"/>
      <c r="C150" s="588"/>
      <c r="D150" s="732"/>
      <c r="E150" s="593" t="s">
        <v>690</v>
      </c>
      <c r="F150" s="589" t="s">
        <v>680</v>
      </c>
      <c r="G150" s="594">
        <v>18119595.730000004</v>
      </c>
      <c r="H150" s="594">
        <v>18153835.280000001</v>
      </c>
      <c r="I150" s="594">
        <v>136981259.99000001</v>
      </c>
      <c r="J150" s="594">
        <v>137234293.26999998</v>
      </c>
      <c r="K150" s="594">
        <v>137618672.78999999</v>
      </c>
      <c r="L150" s="594">
        <v>138126956.84000009</v>
      </c>
      <c r="M150" s="594">
        <v>138418638.31</v>
      </c>
      <c r="N150" s="594">
        <v>138507408.17000002</v>
      </c>
      <c r="O150" s="594">
        <v>138633659.18000001</v>
      </c>
      <c r="P150" s="594">
        <v>139051947.44</v>
      </c>
      <c r="Q150" s="594">
        <v>139243135.02000001</v>
      </c>
      <c r="R150" s="594">
        <v>139454406.94</v>
      </c>
      <c r="S150" s="594">
        <v>139599260</v>
      </c>
      <c r="T150" s="594">
        <v>119934082.22769234</v>
      </c>
      <c r="U150" s="595">
        <v>1</v>
      </c>
      <c r="V150" s="594">
        <f>T150*U150</f>
        <v>119934082.22769234</v>
      </c>
    </row>
    <row r="151" spans="2:22" s="612" customFormat="1" ht="15.75">
      <c r="B151" s="588">
        <v>356</v>
      </c>
      <c r="C151" s="588"/>
      <c r="D151" s="732"/>
      <c r="E151" s="593" t="s">
        <v>690</v>
      </c>
      <c r="F151" s="589" t="s">
        <v>681</v>
      </c>
      <c r="G151" s="594">
        <v>258334.52999999997</v>
      </c>
      <c r="H151" s="594">
        <v>299234.92</v>
      </c>
      <c r="I151" s="594">
        <v>343158.81</v>
      </c>
      <c r="J151" s="594">
        <v>379123.98</v>
      </c>
      <c r="K151" s="594">
        <v>676940.17</v>
      </c>
      <c r="L151" s="594">
        <v>970814.78</v>
      </c>
      <c r="M151" s="594">
        <v>1265524.1800000002</v>
      </c>
      <c r="N151" s="594">
        <v>1561333.9900000002</v>
      </c>
      <c r="O151" s="596">
        <v>1857771.9800000002</v>
      </c>
      <c r="P151" s="594">
        <v>2154386.2800000003</v>
      </c>
      <c r="Q151" s="594">
        <v>2451271.0500000003</v>
      </c>
      <c r="R151" s="594">
        <v>2749326.08</v>
      </c>
      <c r="S151" s="594">
        <v>3047787.62</v>
      </c>
      <c r="T151" s="594"/>
    </row>
    <row r="152" spans="2:22" s="612" customFormat="1" ht="15.75">
      <c r="B152" s="588"/>
      <c r="C152" s="588"/>
      <c r="D152" s="732"/>
      <c r="E152" s="593" t="s">
        <v>690</v>
      </c>
      <c r="F152" s="589" t="s">
        <v>682</v>
      </c>
      <c r="G152" s="597">
        <v>35705.08</v>
      </c>
      <c r="H152" s="597">
        <v>35786.370000000003</v>
      </c>
      <c r="I152" s="597">
        <v>35965.17</v>
      </c>
      <c r="J152" s="597">
        <v>297816.19</v>
      </c>
      <c r="K152" s="597">
        <v>293874.61</v>
      </c>
      <c r="L152" s="597">
        <v>294709.40000000002</v>
      </c>
      <c r="M152" s="597">
        <v>295809.81</v>
      </c>
      <c r="N152" s="597">
        <v>296437.99</v>
      </c>
      <c r="O152" s="597">
        <v>296614.3</v>
      </c>
      <c r="P152" s="597">
        <v>296884.77</v>
      </c>
      <c r="Q152" s="597">
        <v>298055.03000000003</v>
      </c>
      <c r="R152" s="597">
        <v>298461.53999999998</v>
      </c>
      <c r="S152" s="597">
        <v>299730.53999999998</v>
      </c>
      <c r="T152" s="594"/>
      <c r="V152" s="594">
        <f>SUM(H152:S152)</f>
        <v>3040145.7200000007</v>
      </c>
    </row>
    <row r="153" spans="2:22" s="612" customFormat="1" ht="15.75">
      <c r="B153" s="588"/>
      <c r="C153" s="588"/>
      <c r="D153" s="732"/>
      <c r="E153" s="593" t="s">
        <v>690</v>
      </c>
      <c r="F153" s="598" t="s">
        <v>683</v>
      </c>
      <c r="G153" s="599">
        <v>0</v>
      </c>
      <c r="H153" s="599">
        <v>0</v>
      </c>
      <c r="I153" s="599">
        <v>0</v>
      </c>
      <c r="J153" s="599">
        <v>0</v>
      </c>
      <c r="K153" s="599">
        <v>0</v>
      </c>
      <c r="L153" s="600">
        <v>0</v>
      </c>
      <c r="M153" s="599">
        <v>0</v>
      </c>
      <c r="N153" s="600">
        <v>0</v>
      </c>
      <c r="O153" s="599">
        <v>0</v>
      </c>
      <c r="P153" s="599">
        <v>0</v>
      </c>
      <c r="Q153" s="599">
        <v>0</v>
      </c>
      <c r="R153" s="599">
        <v>0</v>
      </c>
      <c r="S153" s="599">
        <v>0</v>
      </c>
      <c r="T153" s="594"/>
    </row>
    <row r="154" spans="2:22" s="612" customFormat="1" ht="15.75">
      <c r="B154" s="588"/>
      <c r="C154" s="588"/>
      <c r="D154" s="732"/>
      <c r="E154" s="593" t="s">
        <v>690</v>
      </c>
      <c r="F154" s="590" t="s">
        <v>684</v>
      </c>
      <c r="G154" s="601">
        <f t="shared" ref="G154:S154" si="9">G150-(SUM(G151:G152,-G153))</f>
        <v>17825556.120000005</v>
      </c>
      <c r="H154" s="601">
        <f t="shared" si="9"/>
        <v>17818813.990000002</v>
      </c>
      <c r="I154" s="601">
        <f t="shared" si="9"/>
        <v>136602136.01000002</v>
      </c>
      <c r="J154" s="601">
        <f t="shared" si="9"/>
        <v>136557353.09999999</v>
      </c>
      <c r="K154" s="601">
        <f t="shared" si="9"/>
        <v>136647858.00999999</v>
      </c>
      <c r="L154" s="601">
        <f t="shared" si="9"/>
        <v>136861432.66000009</v>
      </c>
      <c r="M154" s="601">
        <f t="shared" si="9"/>
        <v>136857304.31999999</v>
      </c>
      <c r="N154" s="601">
        <f t="shared" si="9"/>
        <v>136649636.19000003</v>
      </c>
      <c r="O154" s="601">
        <f t="shared" si="9"/>
        <v>136479272.90000001</v>
      </c>
      <c r="P154" s="601">
        <f t="shared" si="9"/>
        <v>136600676.38999999</v>
      </c>
      <c r="Q154" s="601">
        <f t="shared" si="9"/>
        <v>136493808.94</v>
      </c>
      <c r="R154" s="601">
        <f t="shared" si="9"/>
        <v>136406619.31999999</v>
      </c>
      <c r="S154" s="601">
        <f t="shared" si="9"/>
        <v>136251741.84</v>
      </c>
      <c r="T154" s="594">
        <v>118311708.44538461</v>
      </c>
      <c r="U154" s="595">
        <v>1</v>
      </c>
      <c r="V154" s="594">
        <f>T154*U154</f>
        <v>118311708.44538461</v>
      </c>
    </row>
    <row r="155" spans="2:22" s="612" customFormat="1" ht="15.75">
      <c r="B155" s="588"/>
      <c r="C155" s="588"/>
      <c r="D155" s="603"/>
      <c r="E155" s="603"/>
      <c r="F155" s="604"/>
      <c r="G155" s="606"/>
      <c r="H155" s="606"/>
      <c r="I155" s="606"/>
      <c r="J155" s="606"/>
      <c r="K155" s="606"/>
      <c r="L155" s="606"/>
      <c r="M155" s="606"/>
      <c r="N155" s="606"/>
      <c r="O155" s="606"/>
      <c r="P155" s="606"/>
      <c r="Q155" s="606"/>
      <c r="R155" s="606"/>
      <c r="S155" s="606"/>
      <c r="T155" s="605"/>
      <c r="U155" s="605"/>
      <c r="V155" s="605"/>
    </row>
    <row r="156" spans="2:22" s="612" customFormat="1" ht="36.75">
      <c r="B156" s="588"/>
      <c r="C156" s="588"/>
      <c r="D156" s="559"/>
      <c r="E156" s="559"/>
      <c r="F156" s="558" t="s">
        <v>677</v>
      </c>
      <c r="G156" s="557"/>
      <c r="H156" s="594"/>
      <c r="I156" s="594"/>
      <c r="J156" s="594"/>
      <c r="K156" s="594"/>
      <c r="L156" s="594"/>
      <c r="M156" s="594"/>
      <c r="N156" s="594"/>
      <c r="O156" s="594"/>
      <c r="P156" s="594"/>
      <c r="Q156" s="594"/>
      <c r="R156" s="594"/>
      <c r="S156" s="594"/>
      <c r="T156" s="602"/>
      <c r="U156" s="602"/>
      <c r="V156" s="602">
        <f>SUM(H156:S156)</f>
        <v>0</v>
      </c>
    </row>
    <row r="157" spans="2:22" s="612" customFormat="1" ht="15.75">
      <c r="B157" s="588"/>
      <c r="C157" s="588"/>
      <c r="D157" s="731" t="s">
        <v>691</v>
      </c>
      <c r="E157" s="593" t="s">
        <v>692</v>
      </c>
      <c r="F157" s="589" t="s">
        <v>549</v>
      </c>
      <c r="G157" s="594">
        <v>0</v>
      </c>
      <c r="H157" s="594">
        <v>0</v>
      </c>
      <c r="I157" s="594">
        <v>0</v>
      </c>
      <c r="J157" s="594">
        <v>0</v>
      </c>
      <c r="K157" s="594">
        <v>0</v>
      </c>
      <c r="L157" s="594">
        <v>0</v>
      </c>
      <c r="M157" s="594">
        <v>0</v>
      </c>
      <c r="N157" s="594">
        <v>0</v>
      </c>
      <c r="O157" s="594">
        <v>0</v>
      </c>
      <c r="P157" s="594">
        <v>0</v>
      </c>
      <c r="Q157" s="594">
        <v>0</v>
      </c>
      <c r="R157" s="594">
        <v>0</v>
      </c>
      <c r="S157" s="594">
        <v>0</v>
      </c>
      <c r="T157" s="594">
        <v>0</v>
      </c>
      <c r="U157" s="595">
        <v>0</v>
      </c>
      <c r="V157" s="594">
        <f>T157*U157</f>
        <v>0</v>
      </c>
    </row>
    <row r="158" spans="2:22" s="612" customFormat="1" ht="15" customHeight="1">
      <c r="B158" s="588"/>
      <c r="C158" s="588"/>
      <c r="D158" s="732"/>
      <c r="E158" s="593" t="s">
        <v>692</v>
      </c>
      <c r="F158" s="589" t="s">
        <v>680</v>
      </c>
      <c r="G158" s="594">
        <v>2759451.72</v>
      </c>
      <c r="H158" s="594">
        <v>2759451.72</v>
      </c>
      <c r="I158" s="594">
        <v>2759451.7200000007</v>
      </c>
      <c r="J158" s="594">
        <v>2759451.72</v>
      </c>
      <c r="K158" s="594">
        <v>2759451.72</v>
      </c>
      <c r="L158" s="594">
        <v>2759451.72</v>
      </c>
      <c r="M158" s="594">
        <v>2759451.7199999997</v>
      </c>
      <c r="N158" s="594">
        <v>2759451.7199999997</v>
      </c>
      <c r="O158" s="594">
        <v>2759451.72</v>
      </c>
      <c r="P158" s="594">
        <v>2759451.72</v>
      </c>
      <c r="Q158" s="594">
        <v>2759451.72</v>
      </c>
      <c r="R158" s="594">
        <v>2759451.72</v>
      </c>
      <c r="S158" s="594">
        <v>2759451.7199999997</v>
      </c>
      <c r="T158" s="594">
        <v>2759451.7199999997</v>
      </c>
      <c r="U158" s="595">
        <v>0.5</v>
      </c>
      <c r="V158" s="594">
        <f>T158*U158</f>
        <v>1379725.8599999999</v>
      </c>
    </row>
    <row r="159" spans="2:22" s="612" customFormat="1" ht="15.75">
      <c r="B159" s="588">
        <v>1616</v>
      </c>
      <c r="C159" s="588"/>
      <c r="D159" s="732"/>
      <c r="E159" s="593" t="s">
        <v>692</v>
      </c>
      <c r="F159" s="589" t="s">
        <v>681</v>
      </c>
      <c r="G159" s="594">
        <v>316024.2200000002</v>
      </c>
      <c r="H159" s="596">
        <v>322381.94000000018</v>
      </c>
      <c r="I159" s="596">
        <v>328739.66000000015</v>
      </c>
      <c r="J159" s="594">
        <v>335097.38000000012</v>
      </c>
      <c r="K159" s="594">
        <v>341455.1</v>
      </c>
      <c r="L159" s="596">
        <v>347812.82000000007</v>
      </c>
      <c r="M159" s="596">
        <v>354170.54000000004</v>
      </c>
      <c r="N159" s="594">
        <v>360528.26</v>
      </c>
      <c r="O159" s="596">
        <v>366885.98</v>
      </c>
      <c r="P159" s="594">
        <v>373243.69999999995</v>
      </c>
      <c r="Q159" s="594">
        <v>379601.41999999993</v>
      </c>
      <c r="R159" s="594">
        <v>385959.1399999999</v>
      </c>
      <c r="S159" s="594">
        <v>392316.85999999987</v>
      </c>
      <c r="T159" s="594"/>
    </row>
    <row r="160" spans="2:22" s="612" customFormat="1" ht="15.75">
      <c r="B160" s="588"/>
      <c r="C160" s="588"/>
      <c r="D160" s="732"/>
      <c r="E160" s="593" t="s">
        <v>692</v>
      </c>
      <c r="F160" s="589" t="s">
        <v>682</v>
      </c>
      <c r="G160" s="597">
        <v>6357.7200000000012</v>
      </c>
      <c r="H160" s="597">
        <v>6357.7200000000012</v>
      </c>
      <c r="I160" s="597">
        <v>6357.7200000000012</v>
      </c>
      <c r="J160" s="597">
        <v>6357.72</v>
      </c>
      <c r="K160" s="597">
        <v>6357.72</v>
      </c>
      <c r="L160" s="597">
        <v>6357.72</v>
      </c>
      <c r="M160" s="597">
        <v>6357.72</v>
      </c>
      <c r="N160" s="597">
        <v>6357.72</v>
      </c>
      <c r="O160" s="597">
        <v>6357.72</v>
      </c>
      <c r="P160" s="597">
        <v>6357.72</v>
      </c>
      <c r="Q160" s="597">
        <v>6357.72</v>
      </c>
      <c r="R160" s="597">
        <v>6357.72</v>
      </c>
      <c r="S160" s="597">
        <v>6357.72</v>
      </c>
      <c r="T160" s="594"/>
      <c r="V160" s="594">
        <f>SUM(H160:S160)</f>
        <v>76292.640000000014</v>
      </c>
    </row>
    <row r="161" spans="2:22" s="612" customFormat="1" ht="15.75">
      <c r="B161" s="588"/>
      <c r="C161" s="588"/>
      <c r="D161" s="732"/>
      <c r="E161" s="593" t="s">
        <v>692</v>
      </c>
      <c r="F161" s="598" t="s">
        <v>683</v>
      </c>
      <c r="G161" s="599">
        <v>0</v>
      </c>
      <c r="H161" s="599">
        <v>0</v>
      </c>
      <c r="I161" s="599">
        <v>0</v>
      </c>
      <c r="J161" s="599">
        <v>0</v>
      </c>
      <c r="K161" s="599">
        <v>0</v>
      </c>
      <c r="L161" s="599">
        <v>0</v>
      </c>
      <c r="M161" s="599">
        <v>0</v>
      </c>
      <c r="N161" s="600">
        <v>0</v>
      </c>
      <c r="O161" s="599">
        <v>0</v>
      </c>
      <c r="P161" s="599">
        <v>0</v>
      </c>
      <c r="Q161" s="599">
        <v>0</v>
      </c>
      <c r="R161" s="599">
        <v>0</v>
      </c>
      <c r="S161" s="599">
        <v>0</v>
      </c>
      <c r="T161" s="594"/>
    </row>
    <row r="162" spans="2:22" s="612" customFormat="1" ht="15.75">
      <c r="B162" s="588"/>
      <c r="C162" s="588"/>
      <c r="D162" s="732"/>
      <c r="E162" s="593" t="s">
        <v>692</v>
      </c>
      <c r="F162" s="590" t="s">
        <v>684</v>
      </c>
      <c r="G162" s="601">
        <f t="shared" ref="G162:S162" si="10">G158-(SUM(G159:G160,-G161))</f>
        <v>2437069.7800000003</v>
      </c>
      <c r="H162" s="601">
        <f t="shared" si="10"/>
        <v>2430712.06</v>
      </c>
      <c r="I162" s="601">
        <f t="shared" si="10"/>
        <v>2424354.3400000008</v>
      </c>
      <c r="J162" s="601">
        <f t="shared" si="10"/>
        <v>2417996.62</v>
      </c>
      <c r="K162" s="601">
        <f t="shared" si="10"/>
        <v>2411638.9000000004</v>
      </c>
      <c r="L162" s="601">
        <f t="shared" si="10"/>
        <v>2405281.1800000002</v>
      </c>
      <c r="M162" s="601">
        <f t="shared" si="10"/>
        <v>2398923.46</v>
      </c>
      <c r="N162" s="601">
        <f t="shared" si="10"/>
        <v>2392565.7399999998</v>
      </c>
      <c r="O162" s="601">
        <f t="shared" si="10"/>
        <v>2386208.0200000005</v>
      </c>
      <c r="P162" s="601">
        <f t="shared" si="10"/>
        <v>2379850.3000000003</v>
      </c>
      <c r="Q162" s="601">
        <f t="shared" si="10"/>
        <v>2373492.58</v>
      </c>
      <c r="R162" s="601">
        <f t="shared" si="10"/>
        <v>2367134.8600000003</v>
      </c>
      <c r="S162" s="601">
        <f t="shared" si="10"/>
        <v>2360777.1399999997</v>
      </c>
      <c r="T162" s="594">
        <v>2398923.46</v>
      </c>
      <c r="U162" s="595">
        <v>0.5</v>
      </c>
      <c r="V162" s="594">
        <f>T162*U162</f>
        <v>1199461.73</v>
      </c>
    </row>
    <row r="163" spans="2:22" s="612" customFormat="1" ht="15.75">
      <c r="B163" s="588"/>
      <c r="C163" s="588"/>
      <c r="D163" s="603"/>
      <c r="E163" s="603"/>
      <c r="F163" s="604"/>
      <c r="G163" s="606"/>
      <c r="H163" s="606"/>
      <c r="I163" s="606"/>
      <c r="J163" s="606"/>
      <c r="K163" s="606"/>
      <c r="L163" s="606"/>
      <c r="M163" s="606"/>
      <c r="N163" s="606"/>
      <c r="O163" s="606"/>
      <c r="P163" s="606"/>
      <c r="Q163" s="606"/>
      <c r="R163" s="606"/>
      <c r="S163" s="606"/>
      <c r="T163" s="605"/>
      <c r="U163" s="605"/>
      <c r="V163" s="605"/>
    </row>
    <row r="164" spans="2:22" s="612" customFormat="1" ht="36.75">
      <c r="B164" s="588"/>
      <c r="C164" s="588"/>
      <c r="D164" s="559"/>
      <c r="E164" s="559"/>
      <c r="F164" s="558" t="s">
        <v>677</v>
      </c>
      <c r="G164" s="557"/>
      <c r="H164" s="594"/>
      <c r="I164" s="594"/>
      <c r="J164" s="594"/>
      <c r="K164" s="594"/>
      <c r="L164" s="594"/>
      <c r="M164" s="594"/>
      <c r="N164" s="594"/>
      <c r="O164" s="594"/>
      <c r="P164" s="594"/>
      <c r="Q164" s="594"/>
      <c r="R164" s="594"/>
      <c r="S164" s="594"/>
      <c r="T164" s="602"/>
      <c r="U164" s="602"/>
      <c r="V164" s="602">
        <f>SUM(H164:S164)</f>
        <v>0</v>
      </c>
    </row>
    <row r="165" spans="2:22" s="612" customFormat="1" ht="15.75">
      <c r="B165" s="588"/>
      <c r="C165" s="588"/>
      <c r="D165" s="731" t="s">
        <v>693</v>
      </c>
      <c r="E165" s="593" t="s">
        <v>694</v>
      </c>
      <c r="F165" s="589" t="s">
        <v>549</v>
      </c>
      <c r="G165" s="594">
        <v>0</v>
      </c>
      <c r="H165" s="594">
        <v>0</v>
      </c>
      <c r="I165" s="594">
        <v>0</v>
      </c>
      <c r="J165" s="594">
        <v>0</v>
      </c>
      <c r="K165" s="594">
        <v>0</v>
      </c>
      <c r="L165" s="594">
        <v>0</v>
      </c>
      <c r="M165" s="594">
        <v>0</v>
      </c>
      <c r="N165" s="594">
        <v>0</v>
      </c>
      <c r="O165" s="594">
        <v>0</v>
      </c>
      <c r="P165" s="594">
        <v>0</v>
      </c>
      <c r="Q165" s="594">
        <v>0</v>
      </c>
      <c r="R165" s="594">
        <v>0</v>
      </c>
      <c r="S165" s="594">
        <v>0</v>
      </c>
      <c r="T165" s="594">
        <v>0</v>
      </c>
      <c r="U165" s="595">
        <v>0</v>
      </c>
      <c r="V165" s="594">
        <f>T165*U165</f>
        <v>0</v>
      </c>
    </row>
    <row r="166" spans="2:22" s="612" customFormat="1" ht="15" customHeight="1">
      <c r="B166" s="588"/>
      <c r="C166" s="588"/>
      <c r="D166" s="732"/>
      <c r="E166" s="593" t="s">
        <v>694</v>
      </c>
      <c r="F166" s="589" t="s">
        <v>680</v>
      </c>
      <c r="G166" s="594">
        <v>4295445.54</v>
      </c>
      <c r="H166" s="594">
        <v>4295445.54</v>
      </c>
      <c r="I166" s="594">
        <v>4295445.54</v>
      </c>
      <c r="J166" s="594">
        <v>4295445.54</v>
      </c>
      <c r="K166" s="594">
        <v>4295445.54</v>
      </c>
      <c r="L166" s="594">
        <v>4295445.54</v>
      </c>
      <c r="M166" s="594">
        <v>4295445.54</v>
      </c>
      <c r="N166" s="594">
        <v>4295445.54</v>
      </c>
      <c r="O166" s="594">
        <v>4295445.54</v>
      </c>
      <c r="P166" s="594">
        <v>4295445.54</v>
      </c>
      <c r="Q166" s="594">
        <v>4295445.54</v>
      </c>
      <c r="R166" s="594">
        <v>4295445.54</v>
      </c>
      <c r="S166" s="594">
        <v>4295445.54</v>
      </c>
      <c r="T166" s="594">
        <v>4295445.54</v>
      </c>
      <c r="U166" s="595">
        <v>0.5</v>
      </c>
      <c r="V166" s="594">
        <f>T166*U166</f>
        <v>2147722.77</v>
      </c>
    </row>
    <row r="167" spans="2:22" s="612" customFormat="1">
      <c r="B167" s="553" t="s">
        <v>443</v>
      </c>
      <c r="C167" s="553"/>
      <c r="D167" s="732"/>
      <c r="E167" s="593" t="s">
        <v>694</v>
      </c>
      <c r="F167" s="589" t="s">
        <v>681</v>
      </c>
      <c r="G167" s="594">
        <v>91414.26999999999</v>
      </c>
      <c r="H167" s="594">
        <v>101364.88999999998</v>
      </c>
      <c r="I167" s="594">
        <v>111315.50999999998</v>
      </c>
      <c r="J167" s="594">
        <v>121266.12999999998</v>
      </c>
      <c r="K167" s="594">
        <v>131216.75</v>
      </c>
      <c r="L167" s="594">
        <v>141167.36999999997</v>
      </c>
      <c r="M167" s="594">
        <v>151117.98999999996</v>
      </c>
      <c r="N167" s="594">
        <v>161068.60999999996</v>
      </c>
      <c r="O167" s="594">
        <v>171019.22999999995</v>
      </c>
      <c r="P167" s="594">
        <v>180969.84999999995</v>
      </c>
      <c r="Q167" s="594">
        <v>190920.46999999994</v>
      </c>
      <c r="R167" s="594">
        <v>200871.08999999994</v>
      </c>
      <c r="S167" s="594">
        <v>210821.70999999993</v>
      </c>
      <c r="T167" s="594"/>
    </row>
    <row r="168" spans="2:22" s="612" customFormat="1" ht="15.75">
      <c r="B168" s="588"/>
      <c r="C168" s="588"/>
      <c r="D168" s="732"/>
      <c r="E168" s="593" t="s">
        <v>694</v>
      </c>
      <c r="F168" s="589" t="s">
        <v>682</v>
      </c>
      <c r="G168" s="597">
        <v>9950.619999999999</v>
      </c>
      <c r="H168" s="597">
        <v>9950.619999999999</v>
      </c>
      <c r="I168" s="597">
        <v>9950.619999999999</v>
      </c>
      <c r="J168" s="597">
        <v>9950.619999999999</v>
      </c>
      <c r="K168" s="597">
        <v>9950.6200000000008</v>
      </c>
      <c r="L168" s="597">
        <v>9950.6200000000008</v>
      </c>
      <c r="M168" s="597">
        <v>9950.6200000000008</v>
      </c>
      <c r="N168" s="597">
        <v>9950.6200000000008</v>
      </c>
      <c r="O168" s="597">
        <v>9950.6200000000008</v>
      </c>
      <c r="P168" s="597">
        <v>9950.6200000000008</v>
      </c>
      <c r="Q168" s="597">
        <v>9950.6200000000008</v>
      </c>
      <c r="R168" s="597">
        <v>9950.6200000000008</v>
      </c>
      <c r="S168" s="597">
        <v>9950.6200000000008</v>
      </c>
      <c r="T168" s="594"/>
      <c r="V168" s="594">
        <f>SUM(H168:S168)</f>
        <v>119407.43999999997</v>
      </c>
    </row>
    <row r="169" spans="2:22" s="612" customFormat="1" ht="15.75">
      <c r="B169" s="588"/>
      <c r="C169" s="588"/>
      <c r="D169" s="732"/>
      <c r="E169" s="593" t="s">
        <v>694</v>
      </c>
      <c r="F169" s="598" t="s">
        <v>683</v>
      </c>
      <c r="G169" s="599">
        <v>0</v>
      </c>
      <c r="H169" s="599">
        <v>0</v>
      </c>
      <c r="I169" s="599">
        <v>0</v>
      </c>
      <c r="J169" s="599">
        <v>0</v>
      </c>
      <c r="K169" s="599">
        <v>0</v>
      </c>
      <c r="L169" s="599">
        <v>0</v>
      </c>
      <c r="M169" s="599">
        <v>0</v>
      </c>
      <c r="N169" s="600">
        <v>0</v>
      </c>
      <c r="O169" s="599">
        <v>0</v>
      </c>
      <c r="P169" s="599">
        <v>0</v>
      </c>
      <c r="Q169" s="599">
        <v>0</v>
      </c>
      <c r="R169" s="599">
        <v>0</v>
      </c>
      <c r="S169" s="599">
        <v>0</v>
      </c>
      <c r="T169" s="594"/>
    </row>
    <row r="170" spans="2:22" s="612" customFormat="1" ht="15.75">
      <c r="B170" s="588"/>
      <c r="C170" s="588"/>
      <c r="D170" s="732"/>
      <c r="E170" s="593" t="s">
        <v>694</v>
      </c>
      <c r="F170" s="590" t="s">
        <v>684</v>
      </c>
      <c r="G170" s="601">
        <f t="shared" ref="G170:S170" si="11">G166-(SUM(G167:G168,-G169))</f>
        <v>4194080.65</v>
      </c>
      <c r="H170" s="601">
        <f t="shared" si="11"/>
        <v>4184130.0300000003</v>
      </c>
      <c r="I170" s="601">
        <f t="shared" si="11"/>
        <v>4174179.41</v>
      </c>
      <c r="J170" s="601">
        <f t="shared" si="11"/>
        <v>4164228.79</v>
      </c>
      <c r="K170" s="601">
        <f t="shared" si="11"/>
        <v>4154278.17</v>
      </c>
      <c r="L170" s="601">
        <f t="shared" si="11"/>
        <v>4144327.5500000003</v>
      </c>
      <c r="M170" s="601">
        <f t="shared" si="11"/>
        <v>4134376.93</v>
      </c>
      <c r="N170" s="601">
        <f t="shared" si="11"/>
        <v>4124426.31</v>
      </c>
      <c r="O170" s="601">
        <f t="shared" si="11"/>
        <v>4114475.69</v>
      </c>
      <c r="P170" s="601">
        <f t="shared" si="11"/>
        <v>4104525.0700000003</v>
      </c>
      <c r="Q170" s="601">
        <f t="shared" si="11"/>
        <v>4094574.45</v>
      </c>
      <c r="R170" s="601">
        <f t="shared" si="11"/>
        <v>4084623.83</v>
      </c>
      <c r="S170" s="601">
        <f t="shared" si="11"/>
        <v>4074673.21</v>
      </c>
      <c r="T170" s="594">
        <v>4134376.9299999997</v>
      </c>
      <c r="U170" s="595">
        <v>0.5</v>
      </c>
      <c r="V170" s="594">
        <f>T170*U170</f>
        <v>2067188.4649999999</v>
      </c>
    </row>
    <row r="171" spans="2:22" s="612" customFormat="1" ht="15.75">
      <c r="B171" s="588"/>
      <c r="C171" s="588"/>
      <c r="D171" s="603"/>
      <c r="E171" s="603"/>
      <c r="F171" s="604"/>
      <c r="G171" s="606"/>
      <c r="H171" s="606"/>
      <c r="I171" s="606"/>
      <c r="J171" s="606"/>
      <c r="K171" s="606"/>
      <c r="L171" s="606"/>
      <c r="M171" s="606"/>
      <c r="N171" s="606"/>
      <c r="O171" s="606"/>
      <c r="P171" s="606"/>
      <c r="Q171" s="606"/>
      <c r="R171" s="606"/>
      <c r="S171" s="606"/>
      <c r="T171" s="605"/>
      <c r="U171" s="605"/>
      <c r="V171" s="605"/>
    </row>
    <row r="172" spans="2:22" s="612" customFormat="1" ht="36.75">
      <c r="B172" s="588"/>
      <c r="C172" s="588"/>
      <c r="D172" s="559"/>
      <c r="E172" s="559"/>
      <c r="F172" s="558" t="s">
        <v>677</v>
      </c>
      <c r="G172" s="557"/>
      <c r="H172" s="594"/>
      <c r="I172" s="594"/>
      <c r="J172" s="594"/>
      <c r="K172" s="594"/>
      <c r="L172" s="594"/>
      <c r="M172" s="594"/>
      <c r="N172" s="594"/>
      <c r="O172" s="594"/>
      <c r="P172" s="594"/>
      <c r="Q172" s="594"/>
      <c r="R172" s="594"/>
      <c r="S172" s="594"/>
      <c r="T172" s="602"/>
      <c r="U172" s="602"/>
      <c r="V172" s="602">
        <f>SUM(H172:S172)</f>
        <v>0</v>
      </c>
    </row>
    <row r="173" spans="2:22" s="612" customFormat="1" ht="15.75">
      <c r="B173" s="588"/>
      <c r="C173" s="588"/>
      <c r="D173" s="731" t="s">
        <v>695</v>
      </c>
      <c r="E173" s="593" t="s">
        <v>696</v>
      </c>
      <c r="F173" s="589" t="s">
        <v>549</v>
      </c>
      <c r="G173" s="594">
        <v>0</v>
      </c>
      <c r="H173" s="594">
        <v>0</v>
      </c>
      <c r="I173" s="594">
        <v>0</v>
      </c>
      <c r="J173" s="594">
        <v>0</v>
      </c>
      <c r="K173" s="594">
        <v>0</v>
      </c>
      <c r="L173" s="594">
        <v>0</v>
      </c>
      <c r="M173" s="594">
        <v>0</v>
      </c>
      <c r="N173" s="594">
        <v>0</v>
      </c>
      <c r="O173" s="594">
        <v>0</v>
      </c>
      <c r="P173" s="594">
        <v>0</v>
      </c>
      <c r="Q173" s="594">
        <v>0</v>
      </c>
      <c r="R173" s="594">
        <v>0</v>
      </c>
      <c r="S173" s="594">
        <v>0</v>
      </c>
      <c r="T173" s="594">
        <v>0</v>
      </c>
      <c r="U173" s="595">
        <v>0</v>
      </c>
      <c r="V173" s="594">
        <f>T173*U173</f>
        <v>0</v>
      </c>
    </row>
    <row r="174" spans="2:22" s="612" customFormat="1" ht="15" customHeight="1">
      <c r="B174" s="588"/>
      <c r="C174" s="588"/>
      <c r="D174" s="732"/>
      <c r="E174" s="593" t="s">
        <v>696</v>
      </c>
      <c r="F174" s="589" t="s">
        <v>680</v>
      </c>
      <c r="G174" s="594">
        <v>1253205.5900000001</v>
      </c>
      <c r="H174" s="594">
        <v>1253205.5900000001</v>
      </c>
      <c r="I174" s="594">
        <v>1253205.5900000001</v>
      </c>
      <c r="J174" s="594">
        <v>1253205.5900000001</v>
      </c>
      <c r="K174" s="594">
        <v>1253205.5900000001</v>
      </c>
      <c r="L174" s="594">
        <v>1253205.5900000001</v>
      </c>
      <c r="M174" s="594">
        <v>1253205.5900000001</v>
      </c>
      <c r="N174" s="594">
        <v>1253205.5900000001</v>
      </c>
      <c r="O174" s="594">
        <v>1253205.5900000001</v>
      </c>
      <c r="P174" s="594">
        <v>1253205.5900000001</v>
      </c>
      <c r="Q174" s="594">
        <v>1253205.5900000001</v>
      </c>
      <c r="R174" s="594">
        <v>1253205.5900000001</v>
      </c>
      <c r="S174" s="594">
        <v>1253205.5900000001</v>
      </c>
      <c r="T174" s="594">
        <v>1253205.5900000001</v>
      </c>
      <c r="U174" s="595">
        <v>0.5</v>
      </c>
      <c r="V174" s="594">
        <f>T174*U174</f>
        <v>626602.79500000004</v>
      </c>
    </row>
    <row r="175" spans="2:22" s="612" customFormat="1" ht="15.75">
      <c r="B175" s="588">
        <v>2837</v>
      </c>
      <c r="C175" s="588"/>
      <c r="D175" s="732"/>
      <c r="E175" s="593" t="s">
        <v>696</v>
      </c>
      <c r="F175" s="589" t="s">
        <v>681</v>
      </c>
      <c r="G175" s="594">
        <v>30715.939999999995</v>
      </c>
      <c r="H175" s="594">
        <v>33762.429999999993</v>
      </c>
      <c r="I175" s="594">
        <v>36808.919999999991</v>
      </c>
      <c r="J175" s="594">
        <v>39855.409999999989</v>
      </c>
      <c r="K175" s="594">
        <v>42901.9</v>
      </c>
      <c r="L175" s="594">
        <v>45948.389999999985</v>
      </c>
      <c r="M175" s="594">
        <v>48994.879999999983</v>
      </c>
      <c r="N175" s="594">
        <v>52041.369999999981</v>
      </c>
      <c r="O175" s="594">
        <v>55087.859999999979</v>
      </c>
      <c r="P175" s="594">
        <v>58134.349999999977</v>
      </c>
      <c r="Q175" s="594">
        <v>61180.839999999975</v>
      </c>
      <c r="R175" s="594">
        <v>64227.329999999973</v>
      </c>
      <c r="S175" s="594">
        <v>67273.819999999978</v>
      </c>
      <c r="T175" s="594"/>
    </row>
    <row r="176" spans="2:22" s="612" customFormat="1" ht="15.75">
      <c r="B176" s="588"/>
      <c r="C176" s="588"/>
      <c r="D176" s="732"/>
      <c r="E176" s="593" t="s">
        <v>696</v>
      </c>
      <c r="F176" s="589" t="s">
        <v>682</v>
      </c>
      <c r="G176" s="597">
        <v>3046.49</v>
      </c>
      <c r="H176" s="597">
        <v>3046.49</v>
      </c>
      <c r="I176" s="597">
        <v>3046.49</v>
      </c>
      <c r="J176" s="597">
        <v>3046.49</v>
      </c>
      <c r="K176" s="597">
        <v>3046.49</v>
      </c>
      <c r="L176" s="597">
        <v>3046.49</v>
      </c>
      <c r="M176" s="597">
        <v>3046.49</v>
      </c>
      <c r="N176" s="597">
        <v>3046.49</v>
      </c>
      <c r="O176" s="597">
        <v>3046.49</v>
      </c>
      <c r="P176" s="597">
        <v>3046.49</v>
      </c>
      <c r="Q176" s="597">
        <v>3046.49</v>
      </c>
      <c r="R176" s="597">
        <v>3046.49</v>
      </c>
      <c r="S176" s="597">
        <v>3046.49</v>
      </c>
      <c r="T176" s="594"/>
      <c r="V176" s="594">
        <f>SUM(H176:S176)</f>
        <v>36557.87999999999</v>
      </c>
    </row>
    <row r="177" spans="2:22" s="612" customFormat="1" ht="15.75">
      <c r="B177" s="588"/>
      <c r="C177" s="588"/>
      <c r="D177" s="732"/>
      <c r="E177" s="593" t="s">
        <v>696</v>
      </c>
      <c r="F177" s="598" t="s">
        <v>683</v>
      </c>
      <c r="G177" s="599">
        <v>0</v>
      </c>
      <c r="H177" s="599">
        <v>0</v>
      </c>
      <c r="I177" s="599">
        <v>0</v>
      </c>
      <c r="J177" s="599">
        <v>0</v>
      </c>
      <c r="K177" s="599">
        <v>0</v>
      </c>
      <c r="L177" s="599">
        <v>0</v>
      </c>
      <c r="M177" s="599">
        <v>0</v>
      </c>
      <c r="N177" s="600">
        <v>0</v>
      </c>
      <c r="O177" s="599">
        <v>0</v>
      </c>
      <c r="P177" s="599">
        <v>0</v>
      </c>
      <c r="Q177" s="599">
        <v>0</v>
      </c>
      <c r="R177" s="599">
        <v>0</v>
      </c>
      <c r="S177" s="599">
        <v>0</v>
      </c>
      <c r="T177" s="594"/>
    </row>
    <row r="178" spans="2:22" s="612" customFormat="1" ht="15.75">
      <c r="B178" s="588"/>
      <c r="C178" s="588"/>
      <c r="D178" s="732"/>
      <c r="E178" s="593" t="s">
        <v>696</v>
      </c>
      <c r="F178" s="590" t="s">
        <v>684</v>
      </c>
      <c r="G178" s="601">
        <f t="shared" ref="G178:S178" si="12">G174-(SUM(G175:G176,-G177))</f>
        <v>1219443.1600000001</v>
      </c>
      <c r="H178" s="601">
        <f t="shared" si="12"/>
        <v>1216396.6700000002</v>
      </c>
      <c r="I178" s="601">
        <f t="shared" si="12"/>
        <v>1213350.1800000002</v>
      </c>
      <c r="J178" s="601">
        <f t="shared" si="12"/>
        <v>1210303.6900000002</v>
      </c>
      <c r="K178" s="601">
        <f t="shared" si="12"/>
        <v>1207257.2000000002</v>
      </c>
      <c r="L178" s="601">
        <f t="shared" si="12"/>
        <v>1204210.7100000002</v>
      </c>
      <c r="M178" s="601">
        <f t="shared" si="12"/>
        <v>1201164.2200000002</v>
      </c>
      <c r="N178" s="601">
        <f t="shared" si="12"/>
        <v>1198117.7300000002</v>
      </c>
      <c r="O178" s="601">
        <f t="shared" si="12"/>
        <v>1195071.2400000002</v>
      </c>
      <c r="P178" s="601">
        <f t="shared" si="12"/>
        <v>1192024.75</v>
      </c>
      <c r="Q178" s="601">
        <f t="shared" si="12"/>
        <v>1188978.26</v>
      </c>
      <c r="R178" s="601">
        <f t="shared" si="12"/>
        <v>1185931.77</v>
      </c>
      <c r="S178" s="601">
        <f t="shared" si="12"/>
        <v>1182885.28</v>
      </c>
      <c r="T178" s="594">
        <v>1201164.22</v>
      </c>
      <c r="U178" s="595">
        <v>0.5</v>
      </c>
      <c r="V178" s="594">
        <f>T178*U178</f>
        <v>600582.11</v>
      </c>
    </row>
    <row r="179" spans="2:22" s="612" customFormat="1" ht="15.75">
      <c r="B179" s="588"/>
      <c r="C179" s="588"/>
      <c r="D179" s="603"/>
      <c r="E179" s="603"/>
      <c r="F179" s="604"/>
      <c r="G179" s="606"/>
      <c r="H179" s="606"/>
      <c r="I179" s="606"/>
      <c r="J179" s="606"/>
      <c r="K179" s="606"/>
      <c r="L179" s="606"/>
      <c r="M179" s="606"/>
      <c r="N179" s="606"/>
      <c r="O179" s="606"/>
      <c r="P179" s="606"/>
      <c r="Q179" s="606"/>
      <c r="R179" s="606"/>
      <c r="S179" s="606"/>
      <c r="T179" s="605"/>
      <c r="U179" s="605"/>
      <c r="V179" s="605"/>
    </row>
    <row r="180" spans="2:22" s="612" customFormat="1" ht="36.75">
      <c r="B180" s="588"/>
      <c r="C180" s="588"/>
      <c r="D180" s="559"/>
      <c r="E180" s="559"/>
      <c r="F180" s="558" t="s">
        <v>677</v>
      </c>
      <c r="G180" s="557"/>
      <c r="H180" s="594"/>
      <c r="I180" s="594"/>
      <c r="J180" s="594"/>
      <c r="K180" s="594"/>
      <c r="L180" s="594"/>
      <c r="M180" s="594"/>
      <c r="N180" s="594"/>
      <c r="O180" s="594"/>
      <c r="P180" s="594"/>
      <c r="Q180" s="594"/>
      <c r="R180" s="594"/>
      <c r="S180" s="594"/>
      <c r="T180" s="602"/>
      <c r="U180" s="602"/>
      <c r="V180" s="602">
        <f>SUM(H180:S180)</f>
        <v>0</v>
      </c>
    </row>
    <row r="181" spans="2:22" s="612" customFormat="1" ht="15.75">
      <c r="B181" s="588"/>
      <c r="C181" s="588"/>
      <c r="D181" s="731" t="s">
        <v>697</v>
      </c>
      <c r="E181" s="593" t="s">
        <v>698</v>
      </c>
      <c r="F181" s="589" t="s">
        <v>549</v>
      </c>
      <c r="G181" s="594">
        <v>0</v>
      </c>
      <c r="H181" s="594">
        <v>0</v>
      </c>
      <c r="I181" s="594">
        <v>0</v>
      </c>
      <c r="J181" s="594">
        <v>0</v>
      </c>
      <c r="K181" s="594">
        <v>0</v>
      </c>
      <c r="L181" s="594">
        <v>0</v>
      </c>
      <c r="M181" s="594">
        <v>0</v>
      </c>
      <c r="N181" s="594">
        <v>0</v>
      </c>
      <c r="O181" s="594">
        <v>0</v>
      </c>
      <c r="P181" s="594">
        <v>0</v>
      </c>
      <c r="Q181" s="594">
        <v>0</v>
      </c>
      <c r="R181" s="594">
        <v>0</v>
      </c>
      <c r="S181" s="594">
        <v>0</v>
      </c>
      <c r="T181" s="594">
        <v>0</v>
      </c>
      <c r="U181" s="595">
        <v>0</v>
      </c>
      <c r="V181" s="594">
        <f>T181*U181</f>
        <v>0</v>
      </c>
    </row>
    <row r="182" spans="2:22" s="612" customFormat="1" ht="15" customHeight="1">
      <c r="B182" s="588"/>
      <c r="C182" s="588"/>
      <c r="D182" s="732"/>
      <c r="E182" s="593" t="s">
        <v>698</v>
      </c>
      <c r="F182" s="589" t="s">
        <v>680</v>
      </c>
      <c r="G182" s="594">
        <v>811859.93</v>
      </c>
      <c r="H182" s="594">
        <v>811859.93</v>
      </c>
      <c r="I182" s="594">
        <v>811859.93</v>
      </c>
      <c r="J182" s="594">
        <v>811859.93</v>
      </c>
      <c r="K182" s="594">
        <v>811859.93</v>
      </c>
      <c r="L182" s="594">
        <v>811859.93</v>
      </c>
      <c r="M182" s="594">
        <v>811859.93</v>
      </c>
      <c r="N182" s="594">
        <v>811859.92999999993</v>
      </c>
      <c r="O182" s="594">
        <v>811859.93</v>
      </c>
      <c r="P182" s="594">
        <v>811859.93</v>
      </c>
      <c r="Q182" s="594">
        <v>811859.93</v>
      </c>
      <c r="R182" s="594">
        <v>811859.93</v>
      </c>
      <c r="S182" s="594">
        <v>811859.93</v>
      </c>
      <c r="T182" s="594">
        <v>811859.92999999982</v>
      </c>
      <c r="U182" s="595">
        <v>0.5</v>
      </c>
      <c r="V182" s="594">
        <f>T182*U182</f>
        <v>405929.96499999991</v>
      </c>
    </row>
    <row r="183" spans="2:22" s="612" customFormat="1" ht="15.75">
      <c r="B183" s="588">
        <v>2793</v>
      </c>
      <c r="C183" s="588"/>
      <c r="D183" s="732"/>
      <c r="E183" s="593" t="s">
        <v>698</v>
      </c>
      <c r="F183" s="589" t="s">
        <v>681</v>
      </c>
      <c r="G183" s="594">
        <v>29497.600000000006</v>
      </c>
      <c r="H183" s="594">
        <v>32447.360000000008</v>
      </c>
      <c r="I183" s="594">
        <v>35397.12000000001</v>
      </c>
      <c r="J183" s="594">
        <v>38346.880000000012</v>
      </c>
      <c r="K183" s="594">
        <v>41296.639999999999</v>
      </c>
      <c r="L183" s="594">
        <v>44246.400000000016</v>
      </c>
      <c r="M183" s="594">
        <v>47196.160000000018</v>
      </c>
      <c r="N183" s="594">
        <v>50145.92000000002</v>
      </c>
      <c r="O183" s="594">
        <v>53095.680000000022</v>
      </c>
      <c r="P183" s="594">
        <v>56045.440000000024</v>
      </c>
      <c r="Q183" s="594">
        <v>58995.200000000026</v>
      </c>
      <c r="R183" s="594">
        <v>61944.960000000028</v>
      </c>
      <c r="S183" s="594">
        <v>64894.72000000003</v>
      </c>
      <c r="T183" s="594"/>
    </row>
    <row r="184" spans="2:22" s="612" customFormat="1" ht="15.75">
      <c r="B184" s="588"/>
      <c r="C184" s="588"/>
      <c r="D184" s="732"/>
      <c r="E184" s="593" t="s">
        <v>698</v>
      </c>
      <c r="F184" s="589" t="s">
        <v>682</v>
      </c>
      <c r="G184" s="597">
        <v>2949.76</v>
      </c>
      <c r="H184" s="597">
        <v>2949.76</v>
      </c>
      <c r="I184" s="597">
        <v>2949.76</v>
      </c>
      <c r="J184" s="597">
        <v>2949.76</v>
      </c>
      <c r="K184" s="597">
        <v>2949.76</v>
      </c>
      <c r="L184" s="597">
        <v>2949.76</v>
      </c>
      <c r="M184" s="597">
        <v>2949.76</v>
      </c>
      <c r="N184" s="597">
        <v>2949.76</v>
      </c>
      <c r="O184" s="597">
        <v>2949.76</v>
      </c>
      <c r="P184" s="597">
        <v>2949.76</v>
      </c>
      <c r="Q184" s="597">
        <v>2949.76</v>
      </c>
      <c r="R184" s="597">
        <v>2949.76</v>
      </c>
      <c r="S184" s="597">
        <v>2949.76</v>
      </c>
      <c r="T184" s="594"/>
      <c r="V184" s="594">
        <f>SUM(H184:S184)</f>
        <v>35397.12000000001</v>
      </c>
    </row>
    <row r="185" spans="2:22" s="612" customFormat="1" ht="15.75">
      <c r="B185" s="588"/>
      <c r="C185" s="588"/>
      <c r="D185" s="732"/>
      <c r="E185" s="593" t="s">
        <v>698</v>
      </c>
      <c r="F185" s="598" t="s">
        <v>683</v>
      </c>
      <c r="G185" s="599">
        <v>0</v>
      </c>
      <c r="H185" s="599">
        <v>0</v>
      </c>
      <c r="I185" s="599">
        <v>0</v>
      </c>
      <c r="J185" s="599">
        <v>0</v>
      </c>
      <c r="K185" s="599">
        <v>0</v>
      </c>
      <c r="L185" s="599">
        <v>0</v>
      </c>
      <c r="M185" s="599">
        <v>0</v>
      </c>
      <c r="N185" s="600">
        <v>0</v>
      </c>
      <c r="O185" s="599">
        <v>0</v>
      </c>
      <c r="P185" s="599">
        <v>0</v>
      </c>
      <c r="Q185" s="599">
        <v>0</v>
      </c>
      <c r="R185" s="599">
        <v>0</v>
      </c>
      <c r="S185" s="599">
        <v>0</v>
      </c>
      <c r="T185" s="594"/>
    </row>
    <row r="186" spans="2:22" s="612" customFormat="1" ht="15.75">
      <c r="B186" s="588"/>
      <c r="C186" s="588"/>
      <c r="D186" s="732"/>
      <c r="E186" s="593" t="s">
        <v>698</v>
      </c>
      <c r="F186" s="590" t="s">
        <v>684</v>
      </c>
      <c r="G186" s="601">
        <f t="shared" ref="G186:S186" si="13">G182-(SUM(G183:G184,-G185))</f>
        <v>779412.57000000007</v>
      </c>
      <c r="H186" s="601">
        <f t="shared" si="13"/>
        <v>776462.81</v>
      </c>
      <c r="I186" s="601">
        <f t="shared" si="13"/>
        <v>773513.05</v>
      </c>
      <c r="J186" s="601">
        <f t="shared" si="13"/>
        <v>770563.29</v>
      </c>
      <c r="K186" s="601">
        <f t="shared" si="13"/>
        <v>767613.53</v>
      </c>
      <c r="L186" s="601">
        <f t="shared" si="13"/>
        <v>764663.77</v>
      </c>
      <c r="M186" s="601">
        <f t="shared" si="13"/>
        <v>761714.01</v>
      </c>
      <c r="N186" s="601">
        <f t="shared" si="13"/>
        <v>758764.24999999988</v>
      </c>
      <c r="O186" s="601">
        <f t="shared" si="13"/>
        <v>755814.49</v>
      </c>
      <c r="P186" s="601">
        <f t="shared" si="13"/>
        <v>752864.73</v>
      </c>
      <c r="Q186" s="601">
        <f t="shared" si="13"/>
        <v>749914.97</v>
      </c>
      <c r="R186" s="601">
        <f t="shared" si="13"/>
        <v>746965.21</v>
      </c>
      <c r="S186" s="601">
        <f t="shared" si="13"/>
        <v>744015.45000000007</v>
      </c>
      <c r="T186" s="594">
        <v>761714.00999999989</v>
      </c>
      <c r="U186" s="595">
        <v>0.5</v>
      </c>
      <c r="V186" s="594">
        <f>T186*U186</f>
        <v>380857.00499999995</v>
      </c>
    </row>
    <row r="187" spans="2:22" s="612" customFormat="1" ht="15.75">
      <c r="B187" s="588"/>
      <c r="C187" s="588"/>
      <c r="D187" s="603"/>
      <c r="E187" s="603"/>
      <c r="F187" s="604"/>
      <c r="G187" s="606"/>
      <c r="H187" s="606"/>
      <c r="I187" s="606"/>
      <c r="J187" s="606"/>
      <c r="K187" s="606"/>
      <c r="L187" s="606"/>
      <c r="M187" s="606"/>
      <c r="N187" s="606"/>
      <c r="O187" s="606"/>
      <c r="P187" s="606"/>
      <c r="Q187" s="606"/>
      <c r="R187" s="606"/>
      <c r="S187" s="606"/>
      <c r="T187" s="605"/>
      <c r="U187" s="605"/>
      <c r="V187" s="605"/>
    </row>
    <row r="188" spans="2:22" s="612" customFormat="1" ht="36.75">
      <c r="B188" s="588"/>
      <c r="C188" s="588"/>
      <c r="D188" s="559"/>
      <c r="E188" s="559"/>
      <c r="F188" s="558" t="s">
        <v>677</v>
      </c>
      <c r="G188" s="557"/>
      <c r="H188" s="594"/>
      <c r="I188" s="594"/>
      <c r="J188" s="594"/>
      <c r="K188" s="594"/>
      <c r="L188" s="594"/>
      <c r="M188" s="594"/>
      <c r="N188" s="594"/>
      <c r="O188" s="594"/>
      <c r="P188" s="594"/>
      <c r="Q188" s="594"/>
      <c r="R188" s="594"/>
      <c r="S188" s="594"/>
      <c r="T188" s="602"/>
      <c r="U188" s="602"/>
      <c r="V188" s="602">
        <f>SUM(H188:S188)</f>
        <v>0</v>
      </c>
    </row>
    <row r="189" spans="2:22" s="612" customFormat="1" ht="15.75">
      <c r="B189" s="588"/>
      <c r="C189" s="588"/>
      <c r="D189" s="730" t="s">
        <v>699</v>
      </c>
      <c r="E189" s="593" t="s">
        <v>700</v>
      </c>
      <c r="F189" s="589" t="s">
        <v>549</v>
      </c>
      <c r="G189" s="594">
        <v>0</v>
      </c>
      <c r="H189" s="594">
        <v>0</v>
      </c>
      <c r="I189" s="594">
        <v>0</v>
      </c>
      <c r="J189" s="594">
        <v>0</v>
      </c>
      <c r="K189" s="594">
        <v>0</v>
      </c>
      <c r="L189" s="594">
        <v>0</v>
      </c>
      <c r="M189" s="594">
        <v>0</v>
      </c>
      <c r="N189" s="594">
        <v>0</v>
      </c>
      <c r="O189" s="594">
        <v>0</v>
      </c>
      <c r="P189" s="594">
        <v>0</v>
      </c>
      <c r="Q189" s="594">
        <v>0</v>
      </c>
      <c r="R189" s="594">
        <v>0</v>
      </c>
      <c r="S189" s="594">
        <v>0</v>
      </c>
      <c r="T189" s="594">
        <v>0</v>
      </c>
      <c r="U189" s="595">
        <v>1</v>
      </c>
      <c r="V189" s="594">
        <f>T189*U189</f>
        <v>0</v>
      </c>
    </row>
    <row r="190" spans="2:22" s="612" customFormat="1" ht="15" customHeight="1">
      <c r="B190" s="588"/>
      <c r="C190" s="588"/>
      <c r="D190" s="730"/>
      <c r="E190" s="593" t="s">
        <v>700</v>
      </c>
      <c r="F190" s="589" t="s">
        <v>680</v>
      </c>
      <c r="G190" s="594">
        <v>15402302.789999999</v>
      </c>
      <c r="H190" s="594">
        <v>15402302.789999999</v>
      </c>
      <c r="I190" s="594">
        <v>15402302.789999999</v>
      </c>
      <c r="J190" s="594">
        <v>15402302.789999999</v>
      </c>
      <c r="K190" s="594">
        <v>15402302.789999999</v>
      </c>
      <c r="L190" s="594">
        <v>15402302.789999999</v>
      </c>
      <c r="M190" s="594">
        <v>15402302.789999999</v>
      </c>
      <c r="N190" s="594">
        <v>15402302.789999999</v>
      </c>
      <c r="O190" s="594">
        <v>15402302.789999999</v>
      </c>
      <c r="P190" s="594">
        <v>15402302.789999999</v>
      </c>
      <c r="Q190" s="594">
        <v>15402302.789999999</v>
      </c>
      <c r="R190" s="594">
        <v>15402302.789999999</v>
      </c>
      <c r="S190" s="594">
        <v>15402302.789999999</v>
      </c>
      <c r="T190" s="594">
        <v>15402302.789999994</v>
      </c>
      <c r="U190" s="595">
        <v>1</v>
      </c>
      <c r="V190" s="594">
        <f>T190*U190</f>
        <v>15402302.789999994</v>
      </c>
    </row>
    <row r="191" spans="2:22" s="612" customFormat="1" ht="15.75">
      <c r="B191" s="588">
        <v>1950</v>
      </c>
      <c r="C191" s="588"/>
      <c r="D191" s="730"/>
      <c r="E191" s="593" t="s">
        <v>700</v>
      </c>
      <c r="F191" s="589" t="s">
        <v>681</v>
      </c>
      <c r="G191" s="594">
        <v>621436.3899999999</v>
      </c>
      <c r="H191" s="594">
        <v>659446.59999999986</v>
      </c>
      <c r="I191" s="594">
        <v>697456.80999999982</v>
      </c>
      <c r="J191" s="594">
        <v>735467.01999999979</v>
      </c>
      <c r="K191" s="594">
        <v>773477.23</v>
      </c>
      <c r="L191" s="594">
        <v>811487.43999999971</v>
      </c>
      <c r="M191" s="594">
        <v>849497.64999999967</v>
      </c>
      <c r="N191" s="594">
        <v>887507.85999999964</v>
      </c>
      <c r="O191" s="594">
        <v>925518.0699999996</v>
      </c>
      <c r="P191" s="594">
        <v>963528.27999999956</v>
      </c>
      <c r="Q191" s="594">
        <v>1001538.4899999995</v>
      </c>
      <c r="R191" s="594">
        <v>1039548.6999999995</v>
      </c>
      <c r="S191" s="594">
        <v>1077558.9099999995</v>
      </c>
      <c r="T191" s="594"/>
    </row>
    <row r="192" spans="2:22" s="612" customFormat="1" ht="15.75">
      <c r="B192" s="588"/>
      <c r="C192" s="588"/>
      <c r="D192" s="730"/>
      <c r="E192" s="593" t="s">
        <v>700</v>
      </c>
      <c r="F192" s="589" t="s">
        <v>682</v>
      </c>
      <c r="G192" s="597">
        <v>38010.21</v>
      </c>
      <c r="H192" s="597">
        <v>38010.21</v>
      </c>
      <c r="I192" s="597">
        <v>38010.21</v>
      </c>
      <c r="J192" s="597">
        <v>38010.21</v>
      </c>
      <c r="K192" s="597">
        <v>38010.21</v>
      </c>
      <c r="L192" s="597">
        <v>38010.21</v>
      </c>
      <c r="M192" s="597">
        <v>38010.21</v>
      </c>
      <c r="N192" s="597">
        <v>38010.21</v>
      </c>
      <c r="O192" s="597">
        <v>38010.21</v>
      </c>
      <c r="P192" s="597">
        <v>38010.21</v>
      </c>
      <c r="Q192" s="597">
        <v>38010.21</v>
      </c>
      <c r="R192" s="597">
        <v>38010.21</v>
      </c>
      <c r="S192" s="597">
        <v>38010.21</v>
      </c>
      <c r="T192" s="594"/>
      <c r="V192" s="594">
        <f>SUM(H192:S192)</f>
        <v>456122.52000000008</v>
      </c>
    </row>
    <row r="193" spans="2:22" s="612" customFormat="1" ht="15.75">
      <c r="B193" s="588"/>
      <c r="C193" s="588"/>
      <c r="D193" s="730"/>
      <c r="E193" s="593" t="s">
        <v>700</v>
      </c>
      <c r="F193" s="598" t="s">
        <v>683</v>
      </c>
      <c r="G193" s="599">
        <v>0</v>
      </c>
      <c r="H193" s="599">
        <v>0</v>
      </c>
      <c r="I193" s="599">
        <v>0</v>
      </c>
      <c r="J193" s="599">
        <v>0</v>
      </c>
      <c r="K193" s="599">
        <v>0</v>
      </c>
      <c r="L193" s="599">
        <v>0</v>
      </c>
      <c r="M193" s="599">
        <v>0</v>
      </c>
      <c r="N193" s="600">
        <v>0</v>
      </c>
      <c r="O193" s="599">
        <v>0</v>
      </c>
      <c r="P193" s="599">
        <v>0</v>
      </c>
      <c r="Q193" s="599">
        <v>0</v>
      </c>
      <c r="R193" s="599">
        <v>0</v>
      </c>
      <c r="S193" s="599">
        <v>0</v>
      </c>
      <c r="T193" s="594"/>
    </row>
    <row r="194" spans="2:22" s="612" customFormat="1" ht="15.75">
      <c r="B194" s="588"/>
      <c r="C194" s="588"/>
      <c r="D194" s="730"/>
      <c r="E194" s="593" t="s">
        <v>700</v>
      </c>
      <c r="F194" s="590" t="s">
        <v>684</v>
      </c>
      <c r="G194" s="601">
        <f t="shared" ref="G194:S194" si="14">G190-(SUM(G191:G192,-G193))</f>
        <v>14742856.189999999</v>
      </c>
      <c r="H194" s="601">
        <f t="shared" si="14"/>
        <v>14704845.979999999</v>
      </c>
      <c r="I194" s="601">
        <f t="shared" si="14"/>
        <v>14666835.77</v>
      </c>
      <c r="J194" s="601">
        <f t="shared" si="14"/>
        <v>14628825.559999999</v>
      </c>
      <c r="K194" s="601">
        <f t="shared" si="14"/>
        <v>14590815.35</v>
      </c>
      <c r="L194" s="601">
        <f t="shared" si="14"/>
        <v>14552805.139999999</v>
      </c>
      <c r="M194" s="601">
        <f t="shared" si="14"/>
        <v>14514794.93</v>
      </c>
      <c r="N194" s="601">
        <f t="shared" si="14"/>
        <v>14476784.719999999</v>
      </c>
      <c r="O194" s="601">
        <f t="shared" si="14"/>
        <v>14438774.51</v>
      </c>
      <c r="P194" s="601">
        <f t="shared" si="14"/>
        <v>14400764.299999999</v>
      </c>
      <c r="Q194" s="601">
        <f t="shared" si="14"/>
        <v>14362754.09</v>
      </c>
      <c r="R194" s="601">
        <f t="shared" si="14"/>
        <v>14324743.879999999</v>
      </c>
      <c r="S194" s="601">
        <f t="shared" si="14"/>
        <v>14286733.67</v>
      </c>
      <c r="T194" s="594">
        <v>14514794.929999998</v>
      </c>
      <c r="U194" s="595">
        <v>1</v>
      </c>
      <c r="V194" s="594">
        <f>T194*U194</f>
        <v>14514794.929999998</v>
      </c>
    </row>
    <row r="195" spans="2:22" s="612" customFormat="1" ht="15.75">
      <c r="B195" s="588"/>
      <c r="C195" s="588"/>
      <c r="D195" s="603"/>
      <c r="E195" s="603"/>
      <c r="F195" s="604"/>
      <c r="G195" s="606"/>
      <c r="H195" s="606"/>
      <c r="I195" s="606"/>
      <c r="J195" s="606"/>
      <c r="K195" s="606"/>
      <c r="L195" s="606"/>
      <c r="M195" s="606"/>
      <c r="N195" s="606"/>
      <c r="O195" s="606"/>
      <c r="P195" s="606"/>
      <c r="Q195" s="606"/>
      <c r="R195" s="606"/>
      <c r="S195" s="606"/>
      <c r="T195" s="605"/>
      <c r="U195" s="605"/>
      <c r="V195" s="605"/>
    </row>
    <row r="196" spans="2:22" s="612" customFormat="1" ht="36.75">
      <c r="B196" s="588"/>
      <c r="C196" s="588"/>
      <c r="D196" s="559"/>
      <c r="E196" s="559"/>
      <c r="F196" s="558" t="s">
        <v>677</v>
      </c>
      <c r="G196" s="557"/>
      <c r="H196" s="594"/>
      <c r="I196" s="594"/>
      <c r="J196" s="594"/>
      <c r="K196" s="594"/>
      <c r="L196" s="594"/>
      <c r="M196" s="594"/>
      <c r="N196" s="594"/>
      <c r="O196" s="594"/>
      <c r="P196" s="594"/>
      <c r="Q196" s="594"/>
      <c r="R196" s="594"/>
      <c r="S196" s="594"/>
      <c r="T196" s="602"/>
      <c r="U196" s="602"/>
      <c r="V196" s="602">
        <f>SUM(H196:S196)</f>
        <v>0</v>
      </c>
    </row>
    <row r="197" spans="2:22" s="612" customFormat="1" ht="15.75">
      <c r="B197" s="588"/>
      <c r="C197" s="588"/>
      <c r="D197" s="731" t="s">
        <v>701</v>
      </c>
      <c r="E197" s="607" t="s">
        <v>702</v>
      </c>
      <c r="F197" s="589" t="s">
        <v>549</v>
      </c>
      <c r="G197" s="594">
        <v>42028240.979999997</v>
      </c>
      <c r="H197" s="594">
        <v>42510243.590000004</v>
      </c>
      <c r="I197" s="594">
        <v>43037433.280000001</v>
      </c>
      <c r="J197" s="594">
        <v>49321627.220000006</v>
      </c>
      <c r="K197" s="594">
        <v>38144690.229999997</v>
      </c>
      <c r="L197" s="594">
        <v>38321318.469999999</v>
      </c>
      <c r="M197" s="594">
        <v>38504417.439999998</v>
      </c>
      <c r="N197" s="594">
        <v>41526204</v>
      </c>
      <c r="O197" s="594">
        <v>56985745.159999996</v>
      </c>
      <c r="P197" s="594">
        <v>65977995.509999998</v>
      </c>
      <c r="Q197" s="594">
        <v>79802430.730000004</v>
      </c>
      <c r="R197" s="594">
        <v>79987972.980000004</v>
      </c>
      <c r="S197" s="594">
        <v>87952210.790000007</v>
      </c>
      <c r="T197" s="594">
        <v>54161579.259999998</v>
      </c>
      <c r="U197" s="595">
        <v>1</v>
      </c>
      <c r="V197" s="594">
        <f>T197*U197</f>
        <v>54161579.259999998</v>
      </c>
    </row>
    <row r="198" spans="2:22" s="612" customFormat="1" ht="15" customHeight="1">
      <c r="B198" s="588"/>
      <c r="C198" s="588"/>
      <c r="D198" s="731"/>
      <c r="E198" s="607" t="s">
        <v>702</v>
      </c>
      <c r="F198" s="589" t="s">
        <v>680</v>
      </c>
      <c r="G198" s="594">
        <v>349256.36</v>
      </c>
      <c r="H198" s="594">
        <v>349256.36</v>
      </c>
      <c r="I198" s="594">
        <v>349256.36</v>
      </c>
      <c r="J198" s="594">
        <v>349256.36</v>
      </c>
      <c r="K198" s="594">
        <v>15213869.970000001</v>
      </c>
      <c r="L198" s="594">
        <v>17060326.020000003</v>
      </c>
      <c r="M198" s="594">
        <v>17306532.370000001</v>
      </c>
      <c r="N198" s="594">
        <v>17326697.450000003</v>
      </c>
      <c r="O198" s="594">
        <v>17371151.379999999</v>
      </c>
      <c r="P198" s="594">
        <v>17651149.579999998</v>
      </c>
      <c r="Q198" s="594">
        <v>17772486.680000003</v>
      </c>
      <c r="R198" s="594">
        <v>17842226.149999999</v>
      </c>
      <c r="S198" s="594">
        <v>17837732.57</v>
      </c>
      <c r="T198" s="594">
        <v>12059938.277692309</v>
      </c>
      <c r="U198" s="595">
        <v>1</v>
      </c>
      <c r="V198" s="594">
        <f>T198*U198</f>
        <v>12059938.277692309</v>
      </c>
    </row>
    <row r="199" spans="2:22" s="612" customFormat="1" ht="15.75">
      <c r="B199" s="588">
        <v>2846</v>
      </c>
      <c r="C199" s="588"/>
      <c r="D199" s="731"/>
      <c r="E199" s="607" t="s">
        <v>702</v>
      </c>
      <c r="F199" s="589" t="s">
        <v>681</v>
      </c>
      <c r="G199" s="594">
        <v>0</v>
      </c>
      <c r="H199" s="594">
        <v>0</v>
      </c>
      <c r="I199" s="594">
        <v>0</v>
      </c>
      <c r="J199" s="594">
        <v>0</v>
      </c>
      <c r="K199" s="594">
        <v>0</v>
      </c>
      <c r="L199" s="594">
        <v>0</v>
      </c>
      <c r="M199" s="594">
        <v>33854.93</v>
      </c>
      <c r="N199" s="594">
        <v>71938.8</v>
      </c>
      <c r="O199" s="594">
        <v>110585.18</v>
      </c>
      <c r="P199" s="594">
        <v>149277.47</v>
      </c>
      <c r="Q199" s="594">
        <v>188068.3</v>
      </c>
      <c r="R199" s="594">
        <v>227504.43</v>
      </c>
      <c r="S199" s="594">
        <v>267220.89</v>
      </c>
      <c r="T199" s="594"/>
    </row>
    <row r="200" spans="2:22" s="612" customFormat="1" ht="15.75">
      <c r="B200" s="588"/>
      <c r="C200" s="588"/>
      <c r="D200" s="731"/>
      <c r="E200" s="607" t="s">
        <v>702</v>
      </c>
      <c r="F200" s="589" t="s">
        <v>682</v>
      </c>
      <c r="G200" s="597">
        <v>0</v>
      </c>
      <c r="H200" s="597">
        <v>0</v>
      </c>
      <c r="I200" s="597">
        <v>0</v>
      </c>
      <c r="J200" s="597">
        <v>0</v>
      </c>
      <c r="K200" s="597">
        <v>0</v>
      </c>
      <c r="L200" s="597">
        <v>33854.93</v>
      </c>
      <c r="M200" s="597">
        <v>38084</v>
      </c>
      <c r="N200" s="597">
        <v>38646.379999999997</v>
      </c>
      <c r="O200" s="597">
        <v>38692.29</v>
      </c>
      <c r="P200" s="597">
        <v>38790.83</v>
      </c>
      <c r="Q200" s="597">
        <v>39436.129999999997</v>
      </c>
      <c r="R200" s="597">
        <v>39716.46</v>
      </c>
      <c r="S200" s="597">
        <v>39877.089999999997</v>
      </c>
      <c r="T200" s="594"/>
      <c r="V200" s="594">
        <f>SUM(H200:S200)</f>
        <v>307098.11</v>
      </c>
    </row>
    <row r="201" spans="2:22" s="612" customFormat="1" ht="15.75">
      <c r="B201" s="588"/>
      <c r="C201" s="588"/>
      <c r="D201" s="731"/>
      <c r="E201" s="607" t="s">
        <v>702</v>
      </c>
      <c r="F201" s="598" t="s">
        <v>683</v>
      </c>
      <c r="G201" s="599">
        <v>0</v>
      </c>
      <c r="H201" s="599">
        <v>0</v>
      </c>
      <c r="I201" s="599">
        <v>0</v>
      </c>
      <c r="J201" s="599">
        <v>0</v>
      </c>
      <c r="K201" s="599">
        <v>0</v>
      </c>
      <c r="L201" s="599">
        <v>0</v>
      </c>
      <c r="M201" s="599">
        <v>0</v>
      </c>
      <c r="N201" s="600">
        <v>0</v>
      </c>
      <c r="O201" s="599">
        <v>0</v>
      </c>
      <c r="P201" s="599">
        <v>0</v>
      </c>
      <c r="Q201" s="599">
        <v>0</v>
      </c>
      <c r="R201" s="599">
        <v>0</v>
      </c>
      <c r="S201" s="599">
        <v>0</v>
      </c>
      <c r="T201" s="594"/>
    </row>
    <row r="202" spans="2:22" s="612" customFormat="1" ht="15.75">
      <c r="B202" s="588"/>
      <c r="C202" s="588"/>
      <c r="D202" s="731"/>
      <c r="E202" s="607" t="s">
        <v>702</v>
      </c>
      <c r="F202" s="590" t="s">
        <v>684</v>
      </c>
      <c r="G202" s="601">
        <f t="shared" ref="G202:S202" si="15">G198-(SUM(G199:G200,-G201))</f>
        <v>349256.36</v>
      </c>
      <c r="H202" s="601">
        <f t="shared" si="15"/>
        <v>349256.36</v>
      </c>
      <c r="I202" s="601">
        <f t="shared" si="15"/>
        <v>349256.36</v>
      </c>
      <c r="J202" s="601">
        <f t="shared" si="15"/>
        <v>349256.36</v>
      </c>
      <c r="K202" s="601">
        <f t="shared" si="15"/>
        <v>15213869.970000001</v>
      </c>
      <c r="L202" s="601">
        <f t="shared" si="15"/>
        <v>17026471.090000004</v>
      </c>
      <c r="M202" s="601">
        <f t="shared" si="15"/>
        <v>17234593.440000001</v>
      </c>
      <c r="N202" s="601">
        <f t="shared" si="15"/>
        <v>17216112.270000003</v>
      </c>
      <c r="O202" s="601">
        <f t="shared" si="15"/>
        <v>17221873.91</v>
      </c>
      <c r="P202" s="601">
        <f t="shared" si="15"/>
        <v>17463081.279999997</v>
      </c>
      <c r="Q202" s="601">
        <f t="shared" si="15"/>
        <v>17544982.250000004</v>
      </c>
      <c r="R202" s="601">
        <f t="shared" si="15"/>
        <v>17575005.259999998</v>
      </c>
      <c r="S202" s="601">
        <f t="shared" si="15"/>
        <v>17530634.59</v>
      </c>
      <c r="T202" s="594">
        <v>11955665.346153846</v>
      </c>
      <c r="U202" s="595">
        <v>1</v>
      </c>
      <c r="V202" s="594">
        <f>T202*U202</f>
        <v>11955665.346153846</v>
      </c>
    </row>
    <row r="203" spans="2:22" s="612" customFormat="1" ht="15.75">
      <c r="B203" s="588"/>
      <c r="C203" s="588"/>
      <c r="D203" s="603"/>
      <c r="E203" s="603"/>
      <c r="F203" s="604"/>
      <c r="G203" s="606"/>
      <c r="H203" s="606"/>
      <c r="I203" s="606"/>
      <c r="J203" s="606"/>
      <c r="K203" s="606"/>
      <c r="L203" s="606"/>
      <c r="M203" s="606"/>
      <c r="N203" s="606"/>
      <c r="O203" s="606"/>
      <c r="P203" s="606"/>
      <c r="Q203" s="606"/>
      <c r="R203" s="606"/>
      <c r="S203" s="606"/>
      <c r="T203" s="605"/>
      <c r="U203" s="605"/>
      <c r="V203" s="605"/>
    </row>
    <row r="204" spans="2:22" s="612" customFormat="1" ht="36.75">
      <c r="B204" s="588"/>
      <c r="C204" s="588"/>
      <c r="D204" s="559"/>
      <c r="E204" s="559"/>
      <c r="F204" s="558" t="s">
        <v>677</v>
      </c>
      <c r="G204" s="557"/>
      <c r="H204" s="594">
        <v>9723.4500000000007</v>
      </c>
      <c r="I204" s="594">
        <v>20132.87</v>
      </c>
      <c r="J204" s="594">
        <v>36648.800000000003</v>
      </c>
      <c r="K204" s="594">
        <v>32380.959999999999</v>
      </c>
      <c r="L204" s="594">
        <v>37375.35</v>
      </c>
      <c r="M204" s="594">
        <v>57548.24</v>
      </c>
      <c r="N204" s="594">
        <v>60000.51</v>
      </c>
      <c r="O204" s="594">
        <v>110185.12</v>
      </c>
      <c r="P204" s="594">
        <v>39419.53</v>
      </c>
      <c r="Q204" s="594">
        <v>29.52</v>
      </c>
      <c r="R204" s="594">
        <v>0</v>
      </c>
      <c r="S204" s="594">
        <v>0</v>
      </c>
      <c r="T204" s="602"/>
      <c r="U204" s="602"/>
      <c r="V204" s="602">
        <f>SUM(H204:S204)</f>
        <v>403444.35</v>
      </c>
    </row>
    <row r="205" spans="2:22" s="612" customFormat="1" ht="15.75">
      <c r="B205" s="588"/>
      <c r="C205" s="588"/>
      <c r="D205" s="730" t="s">
        <v>703</v>
      </c>
      <c r="E205" s="556" t="s">
        <v>704</v>
      </c>
      <c r="F205" s="589" t="s">
        <v>549</v>
      </c>
      <c r="G205" s="594">
        <v>0</v>
      </c>
      <c r="H205" s="594">
        <v>0</v>
      </c>
      <c r="I205" s="594">
        <v>0</v>
      </c>
      <c r="J205" s="594">
        <v>0</v>
      </c>
      <c r="K205" s="594">
        <v>0</v>
      </c>
      <c r="L205" s="594">
        <v>0</v>
      </c>
      <c r="M205" s="594">
        <v>0</v>
      </c>
      <c r="N205" s="594">
        <v>0</v>
      </c>
      <c r="O205" s="594">
        <v>0</v>
      </c>
      <c r="P205" s="594">
        <v>0</v>
      </c>
      <c r="Q205" s="594">
        <v>0</v>
      </c>
      <c r="R205" s="594">
        <v>0</v>
      </c>
      <c r="S205" s="594">
        <v>0</v>
      </c>
      <c r="T205" s="594">
        <v>0</v>
      </c>
      <c r="U205" s="595">
        <v>1</v>
      </c>
      <c r="V205" s="594">
        <f>T205*U205</f>
        <v>0</v>
      </c>
    </row>
    <row r="206" spans="2:22" s="612" customFormat="1" ht="15" customHeight="1">
      <c r="B206" s="588"/>
      <c r="C206" s="588"/>
      <c r="D206" s="730"/>
      <c r="E206" s="556" t="s">
        <v>704</v>
      </c>
      <c r="F206" s="589" t="s">
        <v>680</v>
      </c>
      <c r="G206" s="594">
        <v>0</v>
      </c>
      <c r="H206" s="594">
        <v>0</v>
      </c>
      <c r="I206" s="594">
        <v>0</v>
      </c>
      <c r="J206" s="594">
        <v>0</v>
      </c>
      <c r="K206" s="594">
        <v>0</v>
      </c>
      <c r="L206" s="594">
        <v>0</v>
      </c>
      <c r="M206" s="594">
        <v>0</v>
      </c>
      <c r="N206" s="594">
        <v>0</v>
      </c>
      <c r="O206" s="594">
        <v>0</v>
      </c>
      <c r="P206" s="594">
        <v>0</v>
      </c>
      <c r="Q206" s="594">
        <v>0</v>
      </c>
      <c r="R206" s="594">
        <v>0</v>
      </c>
      <c r="S206" s="594">
        <v>0</v>
      </c>
      <c r="T206" s="594">
        <v>0</v>
      </c>
      <c r="U206" s="595">
        <v>1</v>
      </c>
      <c r="V206" s="594">
        <f>T206*U206</f>
        <v>0</v>
      </c>
    </row>
    <row r="207" spans="2:22" s="612" customFormat="1" ht="15.75">
      <c r="B207" s="588">
        <v>1270</v>
      </c>
      <c r="C207" s="588"/>
      <c r="D207" s="730"/>
      <c r="E207" s="556" t="s">
        <v>704</v>
      </c>
      <c r="F207" s="589" t="s">
        <v>681</v>
      </c>
      <c r="G207" s="594">
        <v>0</v>
      </c>
      <c r="H207" s="594">
        <v>0</v>
      </c>
      <c r="I207" s="594">
        <v>0</v>
      </c>
      <c r="J207" s="594">
        <v>0</v>
      </c>
      <c r="K207" s="594">
        <v>0</v>
      </c>
      <c r="L207" s="594">
        <v>0</v>
      </c>
      <c r="M207" s="594">
        <v>0</v>
      </c>
      <c r="N207" s="594">
        <v>0</v>
      </c>
      <c r="O207" s="594">
        <v>0</v>
      </c>
      <c r="P207" s="594">
        <v>0</v>
      </c>
      <c r="Q207" s="594">
        <v>0</v>
      </c>
      <c r="R207" s="594">
        <v>0</v>
      </c>
      <c r="S207" s="594">
        <v>0</v>
      </c>
      <c r="T207" s="594"/>
    </row>
    <row r="208" spans="2:22" s="612" customFormat="1" ht="15.75">
      <c r="B208" s="588"/>
      <c r="C208" s="588"/>
      <c r="D208" s="730"/>
      <c r="E208" s="556" t="s">
        <v>704</v>
      </c>
      <c r="F208" s="589" t="s">
        <v>682</v>
      </c>
      <c r="G208" s="597">
        <v>0</v>
      </c>
      <c r="H208" s="597">
        <v>0</v>
      </c>
      <c r="I208" s="597">
        <v>0</v>
      </c>
      <c r="J208" s="597">
        <v>0</v>
      </c>
      <c r="K208" s="597">
        <v>0</v>
      </c>
      <c r="L208" s="597">
        <v>0</v>
      </c>
      <c r="M208" s="597">
        <v>0</v>
      </c>
      <c r="N208" s="597">
        <v>0</v>
      </c>
      <c r="O208" s="597">
        <v>0</v>
      </c>
      <c r="P208" s="597">
        <v>0</v>
      </c>
      <c r="Q208" s="597">
        <v>0</v>
      </c>
      <c r="R208" s="597">
        <v>0</v>
      </c>
      <c r="S208" s="597">
        <v>0</v>
      </c>
      <c r="T208" s="594"/>
      <c r="V208" s="594">
        <f>SUM(H208:S208)</f>
        <v>0</v>
      </c>
    </row>
    <row r="209" spans="2:22" s="612" customFormat="1" ht="15.75">
      <c r="B209" s="588"/>
      <c r="C209" s="588"/>
      <c r="D209" s="730"/>
      <c r="E209" s="556" t="s">
        <v>704</v>
      </c>
      <c r="F209" s="598" t="s">
        <v>683</v>
      </c>
      <c r="G209" s="599">
        <v>0</v>
      </c>
      <c r="H209" s="599">
        <v>0</v>
      </c>
      <c r="I209" s="599">
        <v>0</v>
      </c>
      <c r="J209" s="599">
        <v>0</v>
      </c>
      <c r="K209" s="599">
        <v>0</v>
      </c>
      <c r="L209" s="599">
        <v>0</v>
      </c>
      <c r="M209" s="599">
        <v>0</v>
      </c>
      <c r="N209" s="600">
        <v>0</v>
      </c>
      <c r="O209" s="600">
        <v>0</v>
      </c>
      <c r="P209" s="600">
        <v>0</v>
      </c>
      <c r="Q209" s="600">
        <v>0</v>
      </c>
      <c r="R209" s="600">
        <v>0</v>
      </c>
      <c r="S209" s="600">
        <v>0</v>
      </c>
      <c r="T209" s="594"/>
    </row>
    <row r="210" spans="2:22" s="612" customFormat="1" ht="15.75">
      <c r="B210" s="588"/>
      <c r="C210" s="588"/>
      <c r="D210" s="730"/>
      <c r="E210" s="556" t="s">
        <v>704</v>
      </c>
      <c r="F210" s="590" t="s">
        <v>684</v>
      </c>
      <c r="G210" s="601">
        <f t="shared" ref="G210:S210" si="16">G206-(SUM(G207:G208,-G209))</f>
        <v>0</v>
      </c>
      <c r="H210" s="601">
        <f t="shared" si="16"/>
        <v>0</v>
      </c>
      <c r="I210" s="601">
        <f t="shared" si="16"/>
        <v>0</v>
      </c>
      <c r="J210" s="601">
        <f t="shared" si="16"/>
        <v>0</v>
      </c>
      <c r="K210" s="601">
        <f t="shared" si="16"/>
        <v>0</v>
      </c>
      <c r="L210" s="601">
        <f t="shared" si="16"/>
        <v>0</v>
      </c>
      <c r="M210" s="601">
        <f t="shared" si="16"/>
        <v>0</v>
      </c>
      <c r="N210" s="601">
        <f t="shared" si="16"/>
        <v>0</v>
      </c>
      <c r="O210" s="601">
        <f t="shared" si="16"/>
        <v>0</v>
      </c>
      <c r="P210" s="601">
        <f t="shared" si="16"/>
        <v>0</v>
      </c>
      <c r="Q210" s="601">
        <f t="shared" si="16"/>
        <v>0</v>
      </c>
      <c r="R210" s="601">
        <f t="shared" si="16"/>
        <v>0</v>
      </c>
      <c r="S210" s="601">
        <f t="shared" si="16"/>
        <v>0</v>
      </c>
      <c r="T210" s="594">
        <v>0</v>
      </c>
      <c r="U210" s="595">
        <v>1</v>
      </c>
      <c r="V210" s="594">
        <f>T210*U210</f>
        <v>0</v>
      </c>
    </row>
    <row r="211" spans="2:22" s="612" customFormat="1" ht="15.75">
      <c r="B211" s="588"/>
      <c r="C211" s="588"/>
      <c r="D211" s="603"/>
      <c r="E211" s="603"/>
      <c r="F211" s="604"/>
      <c r="G211" s="606"/>
      <c r="H211" s="606"/>
      <c r="I211" s="606"/>
      <c r="J211" s="606"/>
      <c r="K211" s="606"/>
      <c r="L211" s="606"/>
      <c r="M211" s="606"/>
      <c r="N211" s="606"/>
      <c r="O211" s="606"/>
      <c r="P211" s="606"/>
      <c r="Q211" s="606"/>
      <c r="R211" s="606"/>
      <c r="S211" s="606"/>
      <c r="T211" s="605"/>
      <c r="U211" s="605"/>
      <c r="V211" s="605"/>
    </row>
    <row r="212" spans="2:22" s="612" customFormat="1" ht="36.75">
      <c r="B212" s="588"/>
      <c r="C212" s="588"/>
      <c r="D212" s="559"/>
      <c r="E212" s="559"/>
      <c r="F212" s="558" t="s">
        <v>677</v>
      </c>
      <c r="G212" s="557"/>
      <c r="H212" s="594"/>
      <c r="I212" s="594"/>
      <c r="J212" s="594"/>
      <c r="K212" s="594"/>
      <c r="L212" s="594"/>
      <c r="M212" s="594"/>
      <c r="N212" s="594"/>
      <c r="O212" s="594"/>
      <c r="P212" s="594"/>
      <c r="Q212" s="594"/>
      <c r="R212" s="594"/>
      <c r="S212" s="594"/>
      <c r="T212" s="602"/>
      <c r="U212" s="602"/>
      <c r="V212" s="602">
        <f>SUM(H212:S212)</f>
        <v>0</v>
      </c>
    </row>
    <row r="213" spans="2:22" s="612" customFormat="1" ht="15.75">
      <c r="B213" s="588"/>
      <c r="C213" s="588"/>
      <c r="D213" s="730" t="s">
        <v>705</v>
      </c>
      <c r="E213" s="556" t="s">
        <v>706</v>
      </c>
      <c r="F213" s="589" t="s">
        <v>549</v>
      </c>
      <c r="G213" s="594">
        <v>493416.02999999997</v>
      </c>
      <c r="H213" s="594">
        <v>564646.35</v>
      </c>
      <c r="I213" s="594">
        <v>633870.12</v>
      </c>
      <c r="J213" s="594">
        <v>697556.58</v>
      </c>
      <c r="K213" s="594">
        <v>873414.81</v>
      </c>
      <c r="L213" s="594">
        <v>1026765.4700000001</v>
      </c>
      <c r="M213" s="594">
        <v>1189704.7400000002</v>
      </c>
      <c r="N213" s="594">
        <v>1365110.8500000003</v>
      </c>
      <c r="O213" s="594">
        <v>1595354.2599999998</v>
      </c>
      <c r="P213" s="594">
        <v>1864362.03</v>
      </c>
      <c r="Q213" s="594">
        <v>2104509.0300000003</v>
      </c>
      <c r="R213" s="594">
        <v>2272445.34</v>
      </c>
      <c r="S213" s="594">
        <v>2456197.1500000004</v>
      </c>
      <c r="T213" s="594">
        <v>1318257.9046153845</v>
      </c>
      <c r="U213" s="595">
        <v>1</v>
      </c>
      <c r="V213" s="594">
        <f>T213*U213</f>
        <v>1318257.9046153845</v>
      </c>
    </row>
    <row r="214" spans="2:22" s="612" customFormat="1" ht="15" customHeight="1">
      <c r="B214" s="588"/>
      <c r="C214" s="588"/>
      <c r="D214" s="730"/>
      <c r="E214" s="556" t="s">
        <v>706</v>
      </c>
      <c r="F214" s="589" t="s">
        <v>680</v>
      </c>
      <c r="G214" s="594">
        <v>0</v>
      </c>
      <c r="H214" s="594">
        <v>0</v>
      </c>
      <c r="I214" s="594">
        <v>0</v>
      </c>
      <c r="J214" s="594">
        <v>0</v>
      </c>
      <c r="K214" s="594">
        <v>0</v>
      </c>
      <c r="L214" s="594">
        <v>127163.76</v>
      </c>
      <c r="M214" s="594">
        <v>127351.09</v>
      </c>
      <c r="N214" s="594">
        <v>127351.09</v>
      </c>
      <c r="O214" s="594">
        <v>127351.09</v>
      </c>
      <c r="P214" s="594">
        <v>129053.48</v>
      </c>
      <c r="Q214" s="594">
        <v>129053.48</v>
      </c>
      <c r="R214" s="594">
        <v>129053.48</v>
      </c>
      <c r="S214" s="594">
        <v>129053.48</v>
      </c>
      <c r="T214" s="594">
        <v>78879.303846153838</v>
      </c>
      <c r="U214" s="595">
        <v>1</v>
      </c>
      <c r="V214" s="594">
        <f>T214*U214</f>
        <v>78879.303846153838</v>
      </c>
    </row>
    <row r="215" spans="2:22" s="612" customFormat="1" ht="15.75">
      <c r="B215" s="588">
        <v>3125</v>
      </c>
      <c r="C215" s="588"/>
      <c r="D215" s="730"/>
      <c r="E215" s="556" t="s">
        <v>706</v>
      </c>
      <c r="F215" s="589" t="s">
        <v>681</v>
      </c>
      <c r="G215" s="594">
        <v>0</v>
      </c>
      <c r="H215" s="594">
        <v>0</v>
      </c>
      <c r="I215" s="594">
        <v>0</v>
      </c>
      <c r="J215" s="594">
        <v>0</v>
      </c>
      <c r="K215" s="594">
        <v>0</v>
      </c>
      <c r="L215" s="594">
        <v>0</v>
      </c>
      <c r="M215" s="594">
        <v>0</v>
      </c>
      <c r="N215" s="594">
        <v>0</v>
      </c>
      <c r="O215" s="594">
        <v>0</v>
      </c>
      <c r="P215" s="594">
        <v>0</v>
      </c>
      <c r="Q215" s="594">
        <v>0</v>
      </c>
      <c r="R215" s="594">
        <v>0</v>
      </c>
      <c r="S215" s="594">
        <v>0</v>
      </c>
      <c r="T215" s="594"/>
    </row>
    <row r="216" spans="2:22" s="612" customFormat="1" ht="15.75">
      <c r="B216" s="588"/>
      <c r="C216" s="588"/>
      <c r="D216" s="730"/>
      <c r="E216" s="556" t="s">
        <v>706</v>
      </c>
      <c r="F216" s="589" t="s">
        <v>682</v>
      </c>
      <c r="G216" s="597">
        <v>0</v>
      </c>
      <c r="H216" s="597">
        <v>0</v>
      </c>
      <c r="I216" s="597">
        <v>0</v>
      </c>
      <c r="J216" s="597">
        <v>0</v>
      </c>
      <c r="K216" s="597">
        <v>0</v>
      </c>
      <c r="L216" s="597">
        <v>0</v>
      </c>
      <c r="M216" s="597">
        <v>0</v>
      </c>
      <c r="N216" s="597">
        <v>0</v>
      </c>
      <c r="O216" s="597">
        <v>0</v>
      </c>
      <c r="P216" s="597">
        <v>0</v>
      </c>
      <c r="Q216" s="597">
        <v>0</v>
      </c>
      <c r="R216" s="597">
        <v>0</v>
      </c>
      <c r="S216" s="597">
        <v>0</v>
      </c>
      <c r="T216" s="594"/>
      <c r="V216" s="594">
        <f>SUM(H216:S216)</f>
        <v>0</v>
      </c>
    </row>
    <row r="217" spans="2:22" s="612" customFormat="1" ht="15.75">
      <c r="B217" s="588"/>
      <c r="C217" s="588"/>
      <c r="D217" s="730"/>
      <c r="E217" s="556" t="s">
        <v>706</v>
      </c>
      <c r="F217" s="598" t="s">
        <v>683</v>
      </c>
      <c r="G217" s="599">
        <v>0</v>
      </c>
      <c r="H217" s="599">
        <v>0</v>
      </c>
      <c r="I217" s="599">
        <v>0</v>
      </c>
      <c r="J217" s="599">
        <v>0</v>
      </c>
      <c r="K217" s="599">
        <v>0</v>
      </c>
      <c r="L217" s="599">
        <v>0</v>
      </c>
      <c r="M217" s="599">
        <v>0</v>
      </c>
      <c r="N217" s="600">
        <v>0</v>
      </c>
      <c r="O217" s="599">
        <v>0</v>
      </c>
      <c r="P217" s="599">
        <v>0</v>
      </c>
      <c r="Q217" s="599">
        <v>0</v>
      </c>
      <c r="R217" s="599">
        <v>0</v>
      </c>
      <c r="S217" s="599">
        <v>0</v>
      </c>
      <c r="T217" s="594"/>
    </row>
    <row r="218" spans="2:22" s="612" customFormat="1" ht="15.75">
      <c r="B218" s="588"/>
      <c r="C218" s="588"/>
      <c r="D218" s="730"/>
      <c r="E218" s="556" t="s">
        <v>706</v>
      </c>
      <c r="F218" s="590" t="s">
        <v>684</v>
      </c>
      <c r="G218" s="601">
        <f t="shared" ref="G218:S218" si="17">G214-(SUM(G215:G216,-G217))</f>
        <v>0</v>
      </c>
      <c r="H218" s="601">
        <f t="shared" si="17"/>
        <v>0</v>
      </c>
      <c r="I218" s="601">
        <f t="shared" si="17"/>
        <v>0</v>
      </c>
      <c r="J218" s="601">
        <f t="shared" si="17"/>
        <v>0</v>
      </c>
      <c r="K218" s="601">
        <f t="shared" si="17"/>
        <v>0</v>
      </c>
      <c r="L218" s="601">
        <f t="shared" si="17"/>
        <v>127163.76</v>
      </c>
      <c r="M218" s="601">
        <f t="shared" si="17"/>
        <v>127351.09</v>
      </c>
      <c r="N218" s="601">
        <f t="shared" si="17"/>
        <v>127351.09</v>
      </c>
      <c r="O218" s="601">
        <f t="shared" si="17"/>
        <v>127351.09</v>
      </c>
      <c r="P218" s="601">
        <f t="shared" si="17"/>
        <v>129053.48</v>
      </c>
      <c r="Q218" s="601">
        <f t="shared" si="17"/>
        <v>129053.48</v>
      </c>
      <c r="R218" s="601">
        <f t="shared" si="17"/>
        <v>129053.48</v>
      </c>
      <c r="S218" s="601">
        <f t="shared" si="17"/>
        <v>129053.48</v>
      </c>
      <c r="T218" s="594">
        <v>78879.303846153838</v>
      </c>
      <c r="U218" s="595">
        <v>1</v>
      </c>
      <c r="V218" s="594">
        <f>T218*U218</f>
        <v>78879.303846153838</v>
      </c>
    </row>
    <row r="219" spans="2:22" s="612" customFormat="1" ht="15.75">
      <c r="B219" s="588"/>
      <c r="C219" s="588"/>
      <c r="D219" s="603"/>
      <c r="E219" s="603"/>
      <c r="F219" s="604"/>
      <c r="G219" s="606"/>
      <c r="H219" s="606"/>
      <c r="I219" s="606"/>
      <c r="J219" s="606"/>
      <c r="K219" s="606"/>
      <c r="L219" s="606"/>
      <c r="M219" s="606"/>
      <c r="N219" s="606"/>
      <c r="O219" s="606"/>
      <c r="P219" s="606"/>
      <c r="Q219" s="606"/>
      <c r="R219" s="606"/>
      <c r="S219" s="606"/>
      <c r="T219" s="605"/>
      <c r="U219" s="605"/>
      <c r="V219" s="605"/>
    </row>
    <row r="220" spans="2:22" s="612" customFormat="1" ht="36.75">
      <c r="B220" s="588"/>
      <c r="C220" s="588"/>
      <c r="D220" s="559"/>
      <c r="E220" s="555" t="s">
        <v>707</v>
      </c>
      <c r="F220" s="558" t="s">
        <v>677</v>
      </c>
      <c r="G220" s="557"/>
      <c r="H220" s="594">
        <v>10388.51</v>
      </c>
      <c r="I220" s="594">
        <v>7569.59</v>
      </c>
      <c r="J220" s="594">
        <v>6962.95</v>
      </c>
      <c r="K220" s="594">
        <v>5039.3100000000004</v>
      </c>
      <c r="L220" s="594">
        <v>3299.2400000000002</v>
      </c>
      <c r="M220" s="594">
        <v>1226.3500000000001</v>
      </c>
      <c r="N220" s="594">
        <v>71.56</v>
      </c>
      <c r="O220" s="594">
        <v>0</v>
      </c>
      <c r="P220" s="594">
        <v>2963.96</v>
      </c>
      <c r="Q220" s="594">
        <v>0</v>
      </c>
      <c r="R220" s="594">
        <v>0</v>
      </c>
      <c r="S220" s="594">
        <v>-502658.75</v>
      </c>
      <c r="T220" s="602"/>
      <c r="U220" s="602"/>
      <c r="V220" s="602">
        <f>SUM(H220:S220)</f>
        <v>-465137.28</v>
      </c>
    </row>
    <row r="221" spans="2:22" s="612" customFormat="1" ht="15.75">
      <c r="B221" s="588"/>
      <c r="C221" s="588"/>
      <c r="D221" s="730" t="s">
        <v>708</v>
      </c>
      <c r="E221" s="556" t="s">
        <v>709</v>
      </c>
      <c r="F221" s="589" t="s">
        <v>549</v>
      </c>
      <c r="G221" s="594">
        <v>0</v>
      </c>
      <c r="H221" s="594">
        <v>0</v>
      </c>
      <c r="I221" s="594">
        <v>0</v>
      </c>
      <c r="J221" s="594">
        <v>0</v>
      </c>
      <c r="K221" s="594">
        <v>0</v>
      </c>
      <c r="L221" s="594">
        <v>0</v>
      </c>
      <c r="M221" s="594">
        <v>0</v>
      </c>
      <c r="N221" s="594">
        <v>0</v>
      </c>
      <c r="O221" s="594">
        <v>0</v>
      </c>
      <c r="P221" s="594">
        <v>0</v>
      </c>
      <c r="Q221" s="594">
        <v>0</v>
      </c>
      <c r="R221" s="594">
        <v>0</v>
      </c>
      <c r="S221" s="594">
        <v>0</v>
      </c>
      <c r="T221" s="594">
        <v>0</v>
      </c>
      <c r="U221" s="595">
        <v>1</v>
      </c>
      <c r="V221" s="594">
        <f>T221*U221</f>
        <v>0</v>
      </c>
    </row>
    <row r="222" spans="2:22" s="612" customFormat="1" ht="15" customHeight="1">
      <c r="B222" s="588"/>
      <c r="C222" s="588"/>
      <c r="D222" s="730"/>
      <c r="E222" s="556" t="s">
        <v>709</v>
      </c>
      <c r="F222" s="589" t="s">
        <v>680</v>
      </c>
      <c r="G222" s="594">
        <v>0</v>
      </c>
      <c r="H222" s="594">
        <v>0</v>
      </c>
      <c r="I222" s="594">
        <v>0</v>
      </c>
      <c r="J222" s="594">
        <v>0</v>
      </c>
      <c r="K222" s="594">
        <v>0</v>
      </c>
      <c r="L222" s="594">
        <v>0</v>
      </c>
      <c r="M222" s="594">
        <v>0</v>
      </c>
      <c r="N222" s="594">
        <v>0</v>
      </c>
      <c r="O222" s="594">
        <v>0</v>
      </c>
      <c r="P222" s="594">
        <v>0</v>
      </c>
      <c r="Q222" s="594">
        <v>0</v>
      </c>
      <c r="R222" s="594">
        <v>0</v>
      </c>
      <c r="S222" s="594">
        <v>0</v>
      </c>
      <c r="T222" s="594">
        <v>0</v>
      </c>
      <c r="U222" s="595">
        <v>1</v>
      </c>
      <c r="V222" s="594">
        <f>T222*U222</f>
        <v>0</v>
      </c>
    </row>
    <row r="223" spans="2:22" s="612" customFormat="1" ht="15.75">
      <c r="B223" s="588">
        <v>3206</v>
      </c>
      <c r="C223" s="588"/>
      <c r="D223" s="730"/>
      <c r="E223" s="556" t="s">
        <v>709</v>
      </c>
      <c r="F223" s="589" t="s">
        <v>681</v>
      </c>
      <c r="G223" s="594">
        <v>0</v>
      </c>
      <c r="H223" s="594">
        <v>0</v>
      </c>
      <c r="I223" s="594">
        <v>0</v>
      </c>
      <c r="J223" s="594">
        <v>0</v>
      </c>
      <c r="K223" s="594">
        <v>0</v>
      </c>
      <c r="L223" s="594">
        <v>0</v>
      </c>
      <c r="M223" s="594">
        <v>0</v>
      </c>
      <c r="N223" s="594">
        <v>0</v>
      </c>
      <c r="O223" s="594">
        <v>0</v>
      </c>
      <c r="P223" s="594">
        <v>0</v>
      </c>
      <c r="Q223" s="594">
        <v>0</v>
      </c>
      <c r="R223" s="594">
        <v>0</v>
      </c>
      <c r="S223" s="594">
        <v>0</v>
      </c>
      <c r="T223" s="594"/>
    </row>
    <row r="224" spans="2:22" s="612" customFormat="1" ht="15.75">
      <c r="B224" s="588"/>
      <c r="C224" s="588"/>
      <c r="D224" s="730"/>
      <c r="E224" s="556" t="s">
        <v>709</v>
      </c>
      <c r="F224" s="589" t="s">
        <v>682</v>
      </c>
      <c r="G224" s="597">
        <v>0</v>
      </c>
      <c r="H224" s="597">
        <v>0</v>
      </c>
      <c r="I224" s="597">
        <v>0</v>
      </c>
      <c r="J224" s="597">
        <v>0</v>
      </c>
      <c r="K224" s="597">
        <v>0</v>
      </c>
      <c r="L224" s="597">
        <v>0</v>
      </c>
      <c r="M224" s="597">
        <v>0</v>
      </c>
      <c r="N224" s="597">
        <v>0</v>
      </c>
      <c r="O224" s="597">
        <v>0</v>
      </c>
      <c r="P224" s="597">
        <v>0</v>
      </c>
      <c r="Q224" s="597">
        <v>0</v>
      </c>
      <c r="R224" s="597">
        <v>0</v>
      </c>
      <c r="S224" s="597">
        <v>0</v>
      </c>
      <c r="T224" s="594"/>
      <c r="V224" s="594">
        <f>SUM(H224:S224)</f>
        <v>0</v>
      </c>
    </row>
    <row r="225" spans="2:22" s="612" customFormat="1" ht="15.75">
      <c r="B225" s="588"/>
      <c r="C225" s="588"/>
      <c r="D225" s="730"/>
      <c r="E225" s="556" t="s">
        <v>709</v>
      </c>
      <c r="F225" s="598" t="s">
        <v>683</v>
      </c>
      <c r="G225" s="600">
        <v>0</v>
      </c>
      <c r="H225" s="600">
        <v>0</v>
      </c>
      <c r="I225" s="600">
        <v>0</v>
      </c>
      <c r="J225" s="600">
        <v>0</v>
      </c>
      <c r="K225" s="600">
        <v>0</v>
      </c>
      <c r="L225" s="600">
        <v>0</v>
      </c>
      <c r="M225" s="600">
        <v>0</v>
      </c>
      <c r="N225" s="600">
        <v>0</v>
      </c>
      <c r="O225" s="600">
        <v>0</v>
      </c>
      <c r="P225" s="600">
        <v>0</v>
      </c>
      <c r="Q225" s="600">
        <v>0</v>
      </c>
      <c r="R225" s="600">
        <v>0</v>
      </c>
      <c r="S225" s="600">
        <v>0</v>
      </c>
      <c r="T225" s="594"/>
    </row>
    <row r="226" spans="2:22" s="612" customFormat="1" ht="15.75">
      <c r="B226" s="588"/>
      <c r="C226" s="588"/>
      <c r="D226" s="730"/>
      <c r="E226" s="556" t="s">
        <v>709</v>
      </c>
      <c r="F226" s="590" t="s">
        <v>684</v>
      </c>
      <c r="G226" s="601">
        <f t="shared" ref="G226:S226" si="18">G222-(SUM(G223:G224,-G225))</f>
        <v>0</v>
      </c>
      <c r="H226" s="601">
        <f t="shared" si="18"/>
        <v>0</v>
      </c>
      <c r="I226" s="601">
        <f t="shared" si="18"/>
        <v>0</v>
      </c>
      <c r="J226" s="601">
        <f t="shared" si="18"/>
        <v>0</v>
      </c>
      <c r="K226" s="601">
        <f t="shared" si="18"/>
        <v>0</v>
      </c>
      <c r="L226" s="601">
        <f t="shared" si="18"/>
        <v>0</v>
      </c>
      <c r="M226" s="601">
        <f t="shared" si="18"/>
        <v>0</v>
      </c>
      <c r="N226" s="601">
        <f t="shared" si="18"/>
        <v>0</v>
      </c>
      <c r="O226" s="601">
        <f t="shared" si="18"/>
        <v>0</v>
      </c>
      <c r="P226" s="601">
        <f t="shared" si="18"/>
        <v>0</v>
      </c>
      <c r="Q226" s="601">
        <f t="shared" si="18"/>
        <v>0</v>
      </c>
      <c r="R226" s="601">
        <f t="shared" si="18"/>
        <v>0</v>
      </c>
      <c r="S226" s="601">
        <f t="shared" si="18"/>
        <v>0</v>
      </c>
      <c r="T226" s="594">
        <v>0</v>
      </c>
      <c r="U226" s="595">
        <v>1</v>
      </c>
      <c r="V226" s="594">
        <f>T226*U226</f>
        <v>0</v>
      </c>
    </row>
    <row r="227" spans="2:22" s="612" customFormat="1" ht="15.75">
      <c r="B227" s="588"/>
      <c r="C227" s="588"/>
      <c r="D227" s="603"/>
      <c r="E227" s="603"/>
      <c r="F227" s="604"/>
      <c r="G227" s="606"/>
      <c r="H227" s="606"/>
      <c r="I227" s="606"/>
      <c r="J227" s="606"/>
      <c r="K227" s="606"/>
      <c r="L227" s="606"/>
      <c r="M227" s="606"/>
      <c r="N227" s="606"/>
      <c r="O227" s="606"/>
      <c r="P227" s="606"/>
      <c r="Q227" s="606"/>
      <c r="R227" s="606"/>
      <c r="S227" s="606"/>
      <c r="T227" s="605"/>
      <c r="U227" s="605"/>
      <c r="V227" s="605"/>
    </row>
    <row r="228" spans="2:22" s="612" customFormat="1" ht="36.75">
      <c r="B228" s="588"/>
      <c r="C228" s="588"/>
      <c r="D228" s="559"/>
      <c r="E228" s="555" t="s">
        <v>710</v>
      </c>
      <c r="F228" s="558" t="s">
        <v>677</v>
      </c>
      <c r="G228" s="557"/>
      <c r="H228" s="594">
        <v>465534.42</v>
      </c>
      <c r="I228" s="594">
        <v>420181.62</v>
      </c>
      <c r="J228" s="594">
        <v>447278.29000000004</v>
      </c>
      <c r="K228" s="594">
        <v>-1805065.15</v>
      </c>
      <c r="L228" s="594">
        <v>470314.62</v>
      </c>
      <c r="M228" s="594">
        <v>430442.54000000004</v>
      </c>
      <c r="N228" s="594">
        <v>458091.35000000003</v>
      </c>
      <c r="O228" s="594">
        <v>398254.18</v>
      </c>
      <c r="P228" s="594">
        <v>919704.47</v>
      </c>
      <c r="Q228" s="594">
        <v>583573.23</v>
      </c>
      <c r="R228" s="594">
        <v>497650.71</v>
      </c>
      <c r="S228" s="594">
        <v>461757.96</v>
      </c>
      <c r="T228" s="602"/>
      <c r="U228" s="602"/>
      <c r="V228" s="602">
        <f>SUM(H228:S228)</f>
        <v>3747718.2399999998</v>
      </c>
    </row>
    <row r="229" spans="2:22" s="612" customFormat="1" ht="15.75">
      <c r="B229" s="588"/>
      <c r="C229" s="588"/>
      <c r="D229" s="730" t="s">
        <v>711</v>
      </c>
      <c r="E229" s="556" t="s">
        <v>712</v>
      </c>
      <c r="F229" s="589" t="s">
        <v>549</v>
      </c>
      <c r="G229" s="594">
        <v>0</v>
      </c>
      <c r="H229" s="594">
        <v>0</v>
      </c>
      <c r="I229" s="594">
        <v>0</v>
      </c>
      <c r="J229" s="594">
        <v>0</v>
      </c>
      <c r="K229" s="594">
        <v>0</v>
      </c>
      <c r="L229" s="594">
        <v>0</v>
      </c>
      <c r="M229" s="594">
        <v>0</v>
      </c>
      <c r="N229" s="594">
        <v>0</v>
      </c>
      <c r="O229" s="594">
        <v>0</v>
      </c>
      <c r="P229" s="594">
        <v>0</v>
      </c>
      <c r="Q229" s="594">
        <v>0</v>
      </c>
      <c r="R229" s="594">
        <v>0</v>
      </c>
      <c r="S229" s="594">
        <v>0</v>
      </c>
      <c r="T229" s="594">
        <v>0</v>
      </c>
      <c r="U229" s="595">
        <v>1</v>
      </c>
      <c r="V229" s="594">
        <f>T229*U229</f>
        <v>0</v>
      </c>
    </row>
    <row r="230" spans="2:22" s="612" customFormat="1" ht="15" customHeight="1">
      <c r="B230" s="588"/>
      <c r="C230" s="588"/>
      <c r="D230" s="730"/>
      <c r="E230" s="556" t="s">
        <v>712</v>
      </c>
      <c r="F230" s="589" t="s">
        <v>680</v>
      </c>
      <c r="G230" s="594">
        <v>0</v>
      </c>
      <c r="H230" s="594">
        <v>0</v>
      </c>
      <c r="I230" s="594">
        <v>0</v>
      </c>
      <c r="J230" s="594">
        <v>0</v>
      </c>
      <c r="K230" s="594">
        <v>0</v>
      </c>
      <c r="L230" s="594">
        <v>0</v>
      </c>
      <c r="M230" s="594">
        <v>0</v>
      </c>
      <c r="N230" s="594">
        <v>0</v>
      </c>
      <c r="O230" s="594">
        <v>0</v>
      </c>
      <c r="P230" s="594">
        <v>0</v>
      </c>
      <c r="Q230" s="594">
        <v>0</v>
      </c>
      <c r="R230" s="594">
        <v>0</v>
      </c>
      <c r="S230" s="594">
        <v>0</v>
      </c>
      <c r="T230" s="594">
        <v>0</v>
      </c>
      <c r="U230" s="595">
        <v>1</v>
      </c>
      <c r="V230" s="594">
        <f>T230*U230</f>
        <v>0</v>
      </c>
    </row>
    <row r="231" spans="2:22" s="612" customFormat="1" ht="15.75">
      <c r="B231" s="588">
        <v>3679</v>
      </c>
      <c r="C231" s="588"/>
      <c r="D231" s="730"/>
      <c r="E231" s="556" t="s">
        <v>712</v>
      </c>
      <c r="F231" s="589" t="s">
        <v>681</v>
      </c>
      <c r="G231" s="594">
        <v>0</v>
      </c>
      <c r="H231" s="594">
        <v>0</v>
      </c>
      <c r="I231" s="594">
        <v>0</v>
      </c>
      <c r="J231" s="594">
        <v>0</v>
      </c>
      <c r="K231" s="594">
        <v>0</v>
      </c>
      <c r="L231" s="594">
        <v>0</v>
      </c>
      <c r="M231" s="594">
        <v>0</v>
      </c>
      <c r="N231" s="594">
        <v>0</v>
      </c>
      <c r="O231" s="594">
        <v>0</v>
      </c>
      <c r="P231" s="594">
        <v>0</v>
      </c>
      <c r="Q231" s="594">
        <v>0</v>
      </c>
      <c r="R231" s="594">
        <v>0</v>
      </c>
      <c r="S231" s="594">
        <v>0</v>
      </c>
      <c r="T231" s="594"/>
    </row>
    <row r="232" spans="2:22" s="612" customFormat="1" ht="15.75">
      <c r="B232" s="588"/>
      <c r="C232" s="588"/>
      <c r="D232" s="730"/>
      <c r="E232" s="556" t="s">
        <v>712</v>
      </c>
      <c r="F232" s="589" t="s">
        <v>682</v>
      </c>
      <c r="G232" s="597">
        <v>0</v>
      </c>
      <c r="H232" s="597">
        <v>0</v>
      </c>
      <c r="I232" s="597">
        <v>0</v>
      </c>
      <c r="J232" s="597">
        <v>0</v>
      </c>
      <c r="K232" s="597">
        <v>0</v>
      </c>
      <c r="L232" s="597">
        <v>0</v>
      </c>
      <c r="M232" s="597">
        <v>0</v>
      </c>
      <c r="N232" s="597">
        <v>0</v>
      </c>
      <c r="O232" s="597">
        <v>0</v>
      </c>
      <c r="P232" s="597">
        <v>0</v>
      </c>
      <c r="Q232" s="597">
        <v>0</v>
      </c>
      <c r="R232" s="597">
        <v>0</v>
      </c>
      <c r="S232" s="597">
        <v>0</v>
      </c>
      <c r="T232" s="594"/>
      <c r="V232" s="594">
        <f>SUM(H232:S232)</f>
        <v>0</v>
      </c>
    </row>
    <row r="233" spans="2:22" s="612" customFormat="1" ht="15.75">
      <c r="B233" s="588"/>
      <c r="C233" s="588"/>
      <c r="D233" s="730"/>
      <c r="E233" s="556" t="s">
        <v>712</v>
      </c>
      <c r="F233" s="598" t="s">
        <v>683</v>
      </c>
      <c r="G233" s="600">
        <v>0</v>
      </c>
      <c r="H233" s="600">
        <v>0</v>
      </c>
      <c r="I233" s="600">
        <v>0</v>
      </c>
      <c r="J233" s="600">
        <v>0</v>
      </c>
      <c r="K233" s="600">
        <v>0</v>
      </c>
      <c r="L233" s="600">
        <v>0</v>
      </c>
      <c r="M233" s="600">
        <v>0</v>
      </c>
      <c r="N233" s="600">
        <v>0</v>
      </c>
      <c r="O233" s="600">
        <v>0</v>
      </c>
      <c r="P233" s="600">
        <v>0</v>
      </c>
      <c r="Q233" s="600">
        <v>0</v>
      </c>
      <c r="R233" s="600">
        <v>0</v>
      </c>
      <c r="S233" s="600">
        <v>0</v>
      </c>
      <c r="T233" s="594"/>
    </row>
    <row r="234" spans="2:22" s="612" customFormat="1" ht="15.75">
      <c r="B234" s="588"/>
      <c r="C234" s="588"/>
      <c r="D234" s="730"/>
      <c r="E234" s="556" t="s">
        <v>712</v>
      </c>
      <c r="F234" s="590" t="s">
        <v>684</v>
      </c>
      <c r="G234" s="601">
        <f t="shared" ref="G234:S234" si="19">G230-(SUM(G231:G232,-G233))</f>
        <v>0</v>
      </c>
      <c r="H234" s="601">
        <f t="shared" si="19"/>
        <v>0</v>
      </c>
      <c r="I234" s="601">
        <f t="shared" si="19"/>
        <v>0</v>
      </c>
      <c r="J234" s="601">
        <f t="shared" si="19"/>
        <v>0</v>
      </c>
      <c r="K234" s="601">
        <f t="shared" si="19"/>
        <v>0</v>
      </c>
      <c r="L234" s="601">
        <f t="shared" si="19"/>
        <v>0</v>
      </c>
      <c r="M234" s="601">
        <f t="shared" si="19"/>
        <v>0</v>
      </c>
      <c r="N234" s="601">
        <f t="shared" si="19"/>
        <v>0</v>
      </c>
      <c r="O234" s="601">
        <f t="shared" si="19"/>
        <v>0</v>
      </c>
      <c r="P234" s="601">
        <f t="shared" si="19"/>
        <v>0</v>
      </c>
      <c r="Q234" s="601">
        <f t="shared" si="19"/>
        <v>0</v>
      </c>
      <c r="R234" s="601">
        <f t="shared" si="19"/>
        <v>0</v>
      </c>
      <c r="S234" s="601">
        <f t="shared" si="19"/>
        <v>0</v>
      </c>
      <c r="T234" s="594">
        <v>0</v>
      </c>
      <c r="U234" s="595">
        <v>1</v>
      </c>
      <c r="V234" s="594">
        <f>T234*U234</f>
        <v>0</v>
      </c>
    </row>
    <row r="235" spans="2:22" s="612" customFormat="1" ht="15.75">
      <c r="B235" s="588"/>
      <c r="C235" s="588"/>
      <c r="D235" s="603"/>
      <c r="E235" s="603"/>
      <c r="F235" s="604"/>
      <c r="G235" s="606"/>
      <c r="H235" s="606"/>
      <c r="I235" s="606"/>
      <c r="J235" s="606"/>
      <c r="K235" s="606"/>
      <c r="L235" s="606"/>
      <c r="M235" s="606"/>
      <c r="N235" s="606"/>
      <c r="O235" s="606"/>
      <c r="P235" s="606"/>
      <c r="Q235" s="606"/>
      <c r="R235" s="606"/>
      <c r="S235" s="606"/>
      <c r="T235" s="605"/>
      <c r="U235" s="605"/>
      <c r="V235" s="605"/>
    </row>
    <row r="236" spans="2:22" s="612" customFormat="1" ht="36.75">
      <c r="B236" s="588"/>
      <c r="C236" s="588"/>
      <c r="D236" s="559"/>
      <c r="E236" s="555" t="s">
        <v>713</v>
      </c>
      <c r="F236" s="558" t="s">
        <v>677</v>
      </c>
      <c r="G236" s="557"/>
      <c r="H236" s="594">
        <v>308919.56</v>
      </c>
      <c r="I236" s="594">
        <v>348650.52</v>
      </c>
      <c r="J236" s="594">
        <v>338276.69</v>
      </c>
      <c r="K236" s="594">
        <v>398048.85000000003</v>
      </c>
      <c r="L236" s="594">
        <v>451659.54000000004</v>
      </c>
      <c r="M236" s="594">
        <v>494215.54000000004</v>
      </c>
      <c r="N236" s="594">
        <v>447759.94</v>
      </c>
      <c r="O236" s="594">
        <v>378176.36</v>
      </c>
      <c r="P236" s="594">
        <v>706822.04</v>
      </c>
      <c r="Q236" s="594">
        <v>346140.11</v>
      </c>
      <c r="R236" s="594">
        <v>244942.54</v>
      </c>
      <c r="S236" s="594">
        <v>95967.02</v>
      </c>
      <c r="T236" s="602"/>
      <c r="U236" s="602"/>
      <c r="V236" s="602">
        <f>SUM(H236:S236)</f>
        <v>4559578.71</v>
      </c>
    </row>
    <row r="237" spans="2:22" s="612" customFormat="1" ht="15.75">
      <c r="B237" s="588"/>
      <c r="C237" s="588"/>
      <c r="D237" s="730" t="s">
        <v>714</v>
      </c>
      <c r="E237" s="556" t="s">
        <v>715</v>
      </c>
      <c r="F237" s="589" t="s">
        <v>549</v>
      </c>
      <c r="G237" s="594">
        <v>0</v>
      </c>
      <c r="H237" s="594">
        <v>0</v>
      </c>
      <c r="I237" s="594">
        <v>0</v>
      </c>
      <c r="J237" s="594">
        <v>0</v>
      </c>
      <c r="K237" s="594">
        <v>0</v>
      </c>
      <c r="L237" s="594">
        <v>0</v>
      </c>
      <c r="M237" s="594">
        <v>0</v>
      </c>
      <c r="N237" s="594">
        <v>0</v>
      </c>
      <c r="O237" s="594">
        <v>0</v>
      </c>
      <c r="P237" s="594">
        <v>0</v>
      </c>
      <c r="Q237" s="594">
        <v>0</v>
      </c>
      <c r="R237" s="594">
        <v>0</v>
      </c>
      <c r="S237" s="594">
        <v>0</v>
      </c>
      <c r="T237" s="594">
        <v>0</v>
      </c>
      <c r="U237" s="595">
        <v>1</v>
      </c>
      <c r="V237" s="594">
        <f>T237*U237</f>
        <v>0</v>
      </c>
    </row>
    <row r="238" spans="2:22" s="612" customFormat="1" ht="15" customHeight="1">
      <c r="B238" s="588"/>
      <c r="C238" s="588"/>
      <c r="D238" s="730"/>
      <c r="E238" s="556" t="s">
        <v>715</v>
      </c>
      <c r="F238" s="589" t="s">
        <v>680</v>
      </c>
      <c r="G238" s="594">
        <v>0</v>
      </c>
      <c r="H238" s="594">
        <v>0</v>
      </c>
      <c r="I238" s="594">
        <v>0</v>
      </c>
      <c r="J238" s="594">
        <v>0</v>
      </c>
      <c r="K238" s="594">
        <v>0</v>
      </c>
      <c r="L238" s="594">
        <v>0</v>
      </c>
      <c r="M238" s="594">
        <v>0</v>
      </c>
      <c r="N238" s="594">
        <v>0</v>
      </c>
      <c r="O238" s="594">
        <v>0</v>
      </c>
      <c r="P238" s="594">
        <v>0</v>
      </c>
      <c r="Q238" s="594">
        <v>0</v>
      </c>
      <c r="R238" s="594">
        <v>0</v>
      </c>
      <c r="S238" s="594">
        <v>0</v>
      </c>
      <c r="T238" s="594">
        <v>0</v>
      </c>
      <c r="U238" s="595">
        <v>1</v>
      </c>
      <c r="V238" s="594">
        <f>T238*U238</f>
        <v>0</v>
      </c>
    </row>
    <row r="239" spans="2:22" s="612" customFormat="1" ht="15.75">
      <c r="B239" s="588">
        <v>3679</v>
      </c>
      <c r="C239" s="588"/>
      <c r="D239" s="730"/>
      <c r="E239" s="556" t="s">
        <v>715</v>
      </c>
      <c r="F239" s="589" t="s">
        <v>681</v>
      </c>
      <c r="G239" s="594">
        <v>0</v>
      </c>
      <c r="H239" s="594">
        <v>0</v>
      </c>
      <c r="I239" s="594">
        <v>0</v>
      </c>
      <c r="J239" s="594">
        <v>0</v>
      </c>
      <c r="K239" s="594">
        <v>0</v>
      </c>
      <c r="L239" s="594">
        <v>0</v>
      </c>
      <c r="M239" s="594">
        <v>0</v>
      </c>
      <c r="N239" s="594">
        <v>0</v>
      </c>
      <c r="O239" s="594">
        <v>0</v>
      </c>
      <c r="P239" s="594">
        <v>0</v>
      </c>
      <c r="Q239" s="594">
        <v>0</v>
      </c>
      <c r="R239" s="594">
        <v>0</v>
      </c>
      <c r="S239" s="594">
        <v>0</v>
      </c>
      <c r="T239" s="594"/>
    </row>
    <row r="240" spans="2:22" s="612" customFormat="1" ht="15.75">
      <c r="B240" s="588"/>
      <c r="C240" s="588"/>
      <c r="D240" s="730"/>
      <c r="E240" s="556" t="s">
        <v>715</v>
      </c>
      <c r="F240" s="589" t="s">
        <v>682</v>
      </c>
      <c r="G240" s="597">
        <v>0</v>
      </c>
      <c r="H240" s="597">
        <v>0</v>
      </c>
      <c r="I240" s="597">
        <v>0</v>
      </c>
      <c r="J240" s="597">
        <v>0</v>
      </c>
      <c r="K240" s="597">
        <v>0</v>
      </c>
      <c r="L240" s="597">
        <v>0</v>
      </c>
      <c r="M240" s="597">
        <v>0</v>
      </c>
      <c r="N240" s="597">
        <v>0</v>
      </c>
      <c r="O240" s="597">
        <v>0</v>
      </c>
      <c r="P240" s="597">
        <v>0</v>
      </c>
      <c r="Q240" s="597">
        <v>0</v>
      </c>
      <c r="R240" s="597">
        <v>0</v>
      </c>
      <c r="S240" s="597">
        <v>0</v>
      </c>
      <c r="T240" s="594"/>
      <c r="V240" s="594">
        <f>SUM(H240:S240)</f>
        <v>0</v>
      </c>
    </row>
    <row r="241" spans="2:23" s="612" customFormat="1" ht="15.75">
      <c r="B241" s="588"/>
      <c r="C241" s="588"/>
      <c r="D241" s="730"/>
      <c r="E241" s="556" t="s">
        <v>715</v>
      </c>
      <c r="F241" s="598" t="s">
        <v>683</v>
      </c>
      <c r="G241" s="600">
        <v>0</v>
      </c>
      <c r="H241" s="600">
        <v>0</v>
      </c>
      <c r="I241" s="600">
        <v>0</v>
      </c>
      <c r="J241" s="600">
        <v>0</v>
      </c>
      <c r="K241" s="600">
        <v>0</v>
      </c>
      <c r="L241" s="600">
        <v>0</v>
      </c>
      <c r="M241" s="600">
        <v>0</v>
      </c>
      <c r="N241" s="600">
        <v>0</v>
      </c>
      <c r="O241" s="600">
        <v>0</v>
      </c>
      <c r="P241" s="600">
        <v>0</v>
      </c>
      <c r="Q241" s="600">
        <v>0</v>
      </c>
      <c r="R241" s="600">
        <v>0</v>
      </c>
      <c r="S241" s="600">
        <v>0</v>
      </c>
      <c r="T241" s="594"/>
    </row>
    <row r="242" spans="2:23" s="612" customFormat="1" ht="15.75">
      <c r="B242" s="588"/>
      <c r="C242" s="588"/>
      <c r="D242" s="730"/>
      <c r="E242" s="556" t="s">
        <v>715</v>
      </c>
      <c r="F242" s="590" t="s">
        <v>684</v>
      </c>
      <c r="G242" s="601">
        <f t="shared" ref="G242:S242" si="20">G238-(SUM(G239:G240,-G241))</f>
        <v>0</v>
      </c>
      <c r="H242" s="601">
        <f t="shared" si="20"/>
        <v>0</v>
      </c>
      <c r="I242" s="601">
        <f t="shared" si="20"/>
        <v>0</v>
      </c>
      <c r="J242" s="601">
        <f t="shared" si="20"/>
        <v>0</v>
      </c>
      <c r="K242" s="601">
        <f t="shared" si="20"/>
        <v>0</v>
      </c>
      <c r="L242" s="601">
        <f t="shared" si="20"/>
        <v>0</v>
      </c>
      <c r="M242" s="601">
        <f t="shared" si="20"/>
        <v>0</v>
      </c>
      <c r="N242" s="601">
        <f t="shared" si="20"/>
        <v>0</v>
      </c>
      <c r="O242" s="601">
        <f t="shared" si="20"/>
        <v>0</v>
      </c>
      <c r="P242" s="601">
        <f t="shared" si="20"/>
        <v>0</v>
      </c>
      <c r="Q242" s="601">
        <f t="shared" si="20"/>
        <v>0</v>
      </c>
      <c r="R242" s="601">
        <f t="shared" si="20"/>
        <v>0</v>
      </c>
      <c r="S242" s="601">
        <f t="shared" si="20"/>
        <v>0</v>
      </c>
      <c r="T242" s="594">
        <v>0</v>
      </c>
      <c r="U242" s="595">
        <v>1</v>
      </c>
      <c r="V242" s="594">
        <f>T242*U242</f>
        <v>0</v>
      </c>
    </row>
    <row r="243" spans="2:23" s="612" customFormat="1" ht="15.75">
      <c r="B243" s="588"/>
      <c r="C243" s="588"/>
      <c r="D243" s="603"/>
      <c r="E243" s="603"/>
      <c r="F243" s="604"/>
      <c r="G243" s="606"/>
      <c r="H243" s="606"/>
      <c r="I243" s="606"/>
      <c r="J243" s="606"/>
      <c r="K243" s="606"/>
      <c r="L243" s="606"/>
      <c r="M243" s="606"/>
      <c r="N243" s="606"/>
      <c r="O243" s="606"/>
      <c r="P243" s="606"/>
      <c r="Q243" s="606"/>
      <c r="R243" s="606"/>
      <c r="S243" s="606"/>
      <c r="T243" s="605"/>
      <c r="U243" s="605"/>
      <c r="V243" s="605"/>
    </row>
    <row r="244" spans="2:23" s="612" customFormat="1" ht="36.75">
      <c r="B244" s="588"/>
      <c r="C244" s="588"/>
      <c r="D244" s="559"/>
      <c r="E244" s="555" t="s">
        <v>716</v>
      </c>
      <c r="F244" s="558" t="s">
        <v>677</v>
      </c>
      <c r="G244" s="557"/>
      <c r="H244" s="594">
        <v>0</v>
      </c>
      <c r="I244" s="594">
        <v>0</v>
      </c>
      <c r="J244" s="594">
        <v>0</v>
      </c>
      <c r="K244" s="594">
        <v>0</v>
      </c>
      <c r="L244" s="594">
        <v>0</v>
      </c>
      <c r="M244" s="594">
        <v>0</v>
      </c>
      <c r="N244" s="594">
        <v>0</v>
      </c>
      <c r="O244" s="594">
        <v>14702.92</v>
      </c>
      <c r="P244" s="594">
        <v>18420.599999999999</v>
      </c>
      <c r="Q244" s="594">
        <v>33625.040000000001</v>
      </c>
      <c r="R244" s="594">
        <v>33840.68</v>
      </c>
      <c r="S244" s="594">
        <v>543861.6</v>
      </c>
      <c r="T244" s="602"/>
      <c r="U244" s="602"/>
      <c r="V244" s="602">
        <f>SUM(H244:S244)</f>
        <v>644450.84</v>
      </c>
    </row>
    <row r="245" spans="2:23" s="612" customFormat="1" ht="15.75">
      <c r="B245" s="588"/>
      <c r="C245" s="588"/>
      <c r="D245" s="730" t="s">
        <v>717</v>
      </c>
      <c r="E245" s="556" t="s">
        <v>718</v>
      </c>
      <c r="F245" s="589" t="s">
        <v>549</v>
      </c>
      <c r="G245" s="594">
        <v>0</v>
      </c>
      <c r="H245" s="594">
        <v>0</v>
      </c>
      <c r="I245" s="594">
        <v>0</v>
      </c>
      <c r="J245" s="594">
        <v>0</v>
      </c>
      <c r="K245" s="594">
        <v>0</v>
      </c>
      <c r="L245" s="594">
        <v>0</v>
      </c>
      <c r="M245" s="594">
        <v>0</v>
      </c>
      <c r="N245" s="594">
        <v>0</v>
      </c>
      <c r="O245" s="594">
        <v>0</v>
      </c>
      <c r="P245" s="594">
        <v>0</v>
      </c>
      <c r="Q245" s="594">
        <v>0</v>
      </c>
      <c r="R245" s="594">
        <v>0</v>
      </c>
      <c r="S245" s="594">
        <v>0</v>
      </c>
      <c r="T245" s="594">
        <v>0</v>
      </c>
      <c r="U245" s="595">
        <v>1</v>
      </c>
      <c r="V245" s="594">
        <f>T245*U245</f>
        <v>0</v>
      </c>
    </row>
    <row r="246" spans="2:23" s="612" customFormat="1" ht="15" customHeight="1">
      <c r="B246" s="588"/>
      <c r="C246" s="588"/>
      <c r="D246" s="730"/>
      <c r="E246" s="556" t="s">
        <v>718</v>
      </c>
      <c r="F246" s="589" t="s">
        <v>680</v>
      </c>
      <c r="G246" s="594">
        <v>0</v>
      </c>
      <c r="H246" s="594">
        <v>0</v>
      </c>
      <c r="I246" s="594">
        <v>0</v>
      </c>
      <c r="J246" s="594">
        <v>0</v>
      </c>
      <c r="K246" s="594">
        <v>0</v>
      </c>
      <c r="L246" s="594">
        <v>0</v>
      </c>
      <c r="M246" s="594">
        <v>0</v>
      </c>
      <c r="N246" s="594">
        <v>0</v>
      </c>
      <c r="O246" s="594">
        <v>0</v>
      </c>
      <c r="P246" s="594">
        <v>0</v>
      </c>
      <c r="Q246" s="594">
        <v>0</v>
      </c>
      <c r="R246" s="594">
        <v>0</v>
      </c>
      <c r="S246" s="594">
        <v>0</v>
      </c>
      <c r="T246" s="594">
        <v>0</v>
      </c>
      <c r="U246" s="595">
        <v>1</v>
      </c>
      <c r="V246" s="594">
        <f>T246*U246</f>
        <v>0</v>
      </c>
    </row>
    <row r="247" spans="2:23" s="612" customFormat="1" ht="15.75">
      <c r="B247" s="588">
        <v>3206</v>
      </c>
      <c r="C247" s="588"/>
      <c r="D247" s="730"/>
      <c r="E247" s="556" t="s">
        <v>718</v>
      </c>
      <c r="F247" s="589" t="s">
        <v>681</v>
      </c>
      <c r="G247" s="594">
        <v>0</v>
      </c>
      <c r="H247" s="594">
        <v>0</v>
      </c>
      <c r="I247" s="594">
        <v>0</v>
      </c>
      <c r="J247" s="594">
        <v>0</v>
      </c>
      <c r="K247" s="594">
        <v>0</v>
      </c>
      <c r="L247" s="594">
        <v>0</v>
      </c>
      <c r="M247" s="594">
        <v>0</v>
      </c>
      <c r="N247" s="594">
        <v>0</v>
      </c>
      <c r="O247" s="594">
        <v>0</v>
      </c>
      <c r="P247" s="594">
        <v>0</v>
      </c>
      <c r="Q247" s="594">
        <v>0</v>
      </c>
      <c r="R247" s="594">
        <v>0</v>
      </c>
      <c r="S247" s="594">
        <v>0</v>
      </c>
      <c r="T247" s="594"/>
    </row>
    <row r="248" spans="2:23" s="612" customFormat="1" ht="15.75">
      <c r="B248" s="588"/>
      <c r="C248" s="588"/>
      <c r="D248" s="730"/>
      <c r="E248" s="556" t="s">
        <v>718</v>
      </c>
      <c r="F248" s="589" t="s">
        <v>682</v>
      </c>
      <c r="G248" s="597">
        <v>0</v>
      </c>
      <c r="H248" s="597">
        <v>0</v>
      </c>
      <c r="I248" s="597">
        <v>0</v>
      </c>
      <c r="J248" s="597">
        <v>0</v>
      </c>
      <c r="K248" s="597">
        <v>0</v>
      </c>
      <c r="L248" s="597">
        <v>0</v>
      </c>
      <c r="M248" s="597">
        <v>0</v>
      </c>
      <c r="N248" s="597">
        <v>0</v>
      </c>
      <c r="O248" s="597">
        <v>0</v>
      </c>
      <c r="P248" s="597">
        <v>0</v>
      </c>
      <c r="Q248" s="597">
        <v>0</v>
      </c>
      <c r="R248" s="597">
        <v>0</v>
      </c>
      <c r="S248" s="597">
        <v>0</v>
      </c>
      <c r="T248" s="594"/>
      <c r="V248" s="594">
        <f>SUM(H248:S248)</f>
        <v>0</v>
      </c>
    </row>
    <row r="249" spans="2:23" s="612" customFormat="1" ht="15.75">
      <c r="B249" s="588"/>
      <c r="C249" s="588"/>
      <c r="D249" s="730"/>
      <c r="E249" s="556" t="s">
        <v>718</v>
      </c>
      <c r="F249" s="598" t="s">
        <v>683</v>
      </c>
      <c r="G249" s="600">
        <v>0</v>
      </c>
      <c r="H249" s="600">
        <v>0</v>
      </c>
      <c r="I249" s="600">
        <v>0</v>
      </c>
      <c r="J249" s="600">
        <v>0</v>
      </c>
      <c r="K249" s="600">
        <v>0</v>
      </c>
      <c r="L249" s="600">
        <v>0</v>
      </c>
      <c r="M249" s="600">
        <v>0</v>
      </c>
      <c r="N249" s="600">
        <v>0</v>
      </c>
      <c r="O249" s="600">
        <v>0</v>
      </c>
      <c r="P249" s="600">
        <v>0</v>
      </c>
      <c r="Q249" s="600">
        <v>0</v>
      </c>
      <c r="R249" s="600">
        <v>0</v>
      </c>
      <c r="S249" s="600">
        <v>0</v>
      </c>
      <c r="T249" s="594"/>
    </row>
    <row r="250" spans="2:23" s="612" customFormat="1" ht="15.75">
      <c r="B250" s="588"/>
      <c r="C250" s="588"/>
      <c r="D250" s="730"/>
      <c r="E250" s="556" t="s">
        <v>718</v>
      </c>
      <c r="F250" s="590" t="s">
        <v>684</v>
      </c>
      <c r="G250" s="601">
        <f t="shared" ref="G250:S250" si="21">G246-(SUM(G247:G248,-G249))</f>
        <v>0</v>
      </c>
      <c r="H250" s="601">
        <f t="shared" si="21"/>
        <v>0</v>
      </c>
      <c r="I250" s="601">
        <f t="shared" si="21"/>
        <v>0</v>
      </c>
      <c r="J250" s="601">
        <f t="shared" si="21"/>
        <v>0</v>
      </c>
      <c r="K250" s="601">
        <f t="shared" si="21"/>
        <v>0</v>
      </c>
      <c r="L250" s="601">
        <f t="shared" si="21"/>
        <v>0</v>
      </c>
      <c r="M250" s="601">
        <f t="shared" si="21"/>
        <v>0</v>
      </c>
      <c r="N250" s="601">
        <f t="shared" si="21"/>
        <v>0</v>
      </c>
      <c r="O250" s="601">
        <f t="shared" si="21"/>
        <v>0</v>
      </c>
      <c r="P250" s="601">
        <f t="shared" si="21"/>
        <v>0</v>
      </c>
      <c r="Q250" s="601">
        <f t="shared" si="21"/>
        <v>0</v>
      </c>
      <c r="R250" s="601">
        <f t="shared" si="21"/>
        <v>0</v>
      </c>
      <c r="S250" s="601">
        <f t="shared" si="21"/>
        <v>0</v>
      </c>
      <c r="T250" s="594">
        <v>0</v>
      </c>
      <c r="U250" s="595">
        <v>1</v>
      </c>
      <c r="V250" s="594">
        <f>T250*U250</f>
        <v>0</v>
      </c>
    </row>
    <row r="251" spans="2:23" s="612" customFormat="1" ht="15.75">
      <c r="B251" s="588"/>
      <c r="C251" s="588"/>
      <c r="D251" s="603"/>
      <c r="E251" s="603"/>
      <c r="F251" s="604"/>
      <c r="G251" s="606"/>
      <c r="H251" s="606"/>
      <c r="I251" s="606"/>
      <c r="J251" s="606"/>
      <c r="K251" s="606"/>
      <c r="L251" s="606"/>
      <c r="M251" s="606"/>
      <c r="N251" s="606"/>
      <c r="O251" s="606"/>
      <c r="P251" s="606"/>
      <c r="Q251" s="606"/>
      <c r="R251" s="606"/>
      <c r="S251" s="606"/>
      <c r="T251" s="605"/>
      <c r="U251" s="605"/>
      <c r="V251" s="605"/>
    </row>
    <row r="252" spans="2:23" s="612" customFormat="1" ht="36.75">
      <c r="B252" s="588"/>
      <c r="C252" s="588"/>
      <c r="D252" s="559"/>
      <c r="E252" s="559"/>
      <c r="F252" s="558" t="s">
        <v>677</v>
      </c>
      <c r="G252" s="557"/>
      <c r="H252" s="602">
        <f t="shared" ref="H252:S257" si="22">SUMIF($F$125:$F$251,$F252,H$125:H$251)</f>
        <v>794565.94</v>
      </c>
      <c r="I252" s="602">
        <f t="shared" si="22"/>
        <v>796534.60000000009</v>
      </c>
      <c r="J252" s="602">
        <f t="shared" si="22"/>
        <v>829166.73</v>
      </c>
      <c r="K252" s="602">
        <f t="shared" si="22"/>
        <v>-1369596.0299999998</v>
      </c>
      <c r="L252" s="602">
        <f t="shared" si="22"/>
        <v>962648.75</v>
      </c>
      <c r="M252" s="602">
        <f t="shared" si="22"/>
        <v>983432.67</v>
      </c>
      <c r="N252" s="602">
        <f t="shared" si="22"/>
        <v>965923.3600000001</v>
      </c>
      <c r="O252" s="602">
        <f t="shared" si="22"/>
        <v>901318.58</v>
      </c>
      <c r="P252" s="602">
        <f t="shared" si="22"/>
        <v>1687330.6</v>
      </c>
      <c r="Q252" s="602">
        <f t="shared" si="22"/>
        <v>963367.9</v>
      </c>
      <c r="R252" s="602">
        <f t="shared" si="22"/>
        <v>776433.93</v>
      </c>
      <c r="S252" s="602">
        <f t="shared" si="22"/>
        <v>598927.82999999996</v>
      </c>
      <c r="T252" s="602"/>
      <c r="U252" s="602"/>
      <c r="V252" s="602">
        <f>SUMIF($F$125:$F$251,$F252,V$125:V$251)</f>
        <v>8890054.8599999994</v>
      </c>
      <c r="W252" s="608" t="str">
        <f>IF(ROUND(V252,0)-ROUND(SUM(M75:M89),0)=0,"","*ERROR*")</f>
        <v/>
      </c>
    </row>
    <row r="253" spans="2:23" s="612" customFormat="1" ht="15" customHeight="1">
      <c r="B253" s="588"/>
      <c r="C253" s="588"/>
      <c r="D253" s="731" t="s">
        <v>719</v>
      </c>
      <c r="E253" s="593"/>
      <c r="F253" s="589" t="s">
        <v>549</v>
      </c>
      <c r="G253" s="602">
        <f>SUMIF($F$125:$F$251,$F253,G$125:G$251)</f>
        <v>159941522.30000001</v>
      </c>
      <c r="H253" s="602">
        <f t="shared" si="22"/>
        <v>161455487.25</v>
      </c>
      <c r="I253" s="602">
        <f t="shared" si="22"/>
        <v>43671303.399999999</v>
      </c>
      <c r="J253" s="602">
        <f t="shared" si="22"/>
        <v>50019183.800000004</v>
      </c>
      <c r="K253" s="602">
        <f t="shared" si="22"/>
        <v>39018105.039999999</v>
      </c>
      <c r="L253" s="602">
        <f t="shared" si="22"/>
        <v>39348083.939999998</v>
      </c>
      <c r="M253" s="602">
        <f t="shared" si="22"/>
        <v>39694122.18</v>
      </c>
      <c r="N253" s="602">
        <f t="shared" si="22"/>
        <v>42891314.850000001</v>
      </c>
      <c r="O253" s="602">
        <f t="shared" si="22"/>
        <v>58581099.419999994</v>
      </c>
      <c r="P253" s="602">
        <f t="shared" si="22"/>
        <v>67842357.539999992</v>
      </c>
      <c r="Q253" s="602">
        <f t="shared" si="22"/>
        <v>81906939.760000005</v>
      </c>
      <c r="R253" s="602">
        <f t="shared" si="22"/>
        <v>82260418.320000008</v>
      </c>
      <c r="S253" s="602">
        <f t="shared" si="22"/>
        <v>90408407.940000013</v>
      </c>
      <c r="V253" s="602">
        <f>SUMIF($F$125:$F$251,$F253,V$125:V$251)</f>
        <v>73618334.287692308</v>
      </c>
      <c r="W253" s="608" t="str">
        <f>IF(ROUND(SUM(V253:V254),0)-ROUND(SUM(F75:F89),0)=0,"","*ERROR*")</f>
        <v/>
      </c>
    </row>
    <row r="254" spans="2:23" s="612" customFormat="1" ht="15" customHeight="1">
      <c r="B254" s="588"/>
      <c r="C254" s="588"/>
      <c r="D254" s="732"/>
      <c r="E254" s="593"/>
      <c r="F254" s="589" t="s">
        <v>680</v>
      </c>
      <c r="G254" s="602">
        <f>SUMIF($F$125:$F$251,$F254,G$125:G$251)</f>
        <v>293221200.93000007</v>
      </c>
      <c r="H254" s="602">
        <f t="shared" si="22"/>
        <v>293255440.48000002</v>
      </c>
      <c r="I254" s="602">
        <f t="shared" si="22"/>
        <v>412082865.19000006</v>
      </c>
      <c r="J254" s="602">
        <f t="shared" si="22"/>
        <v>412313078.05000007</v>
      </c>
      <c r="K254" s="602">
        <f t="shared" si="22"/>
        <v>427550831.41000009</v>
      </c>
      <c r="L254" s="602">
        <f t="shared" si="22"/>
        <v>430032735.2700001</v>
      </c>
      <c r="M254" s="602">
        <f t="shared" si="22"/>
        <v>430570810.42000002</v>
      </c>
      <c r="N254" s="602">
        <f t="shared" si="22"/>
        <v>430679745.36000001</v>
      </c>
      <c r="O254" s="602">
        <f t="shared" si="22"/>
        <v>430850450.30000001</v>
      </c>
      <c r="P254" s="602">
        <f t="shared" si="22"/>
        <v>431550439.15000004</v>
      </c>
      <c r="Q254" s="602">
        <f t="shared" si="22"/>
        <v>431858198.93000001</v>
      </c>
      <c r="R254" s="602">
        <f t="shared" si="22"/>
        <v>432139210.31999999</v>
      </c>
      <c r="S254" s="602">
        <f t="shared" si="22"/>
        <v>432279569.80000001</v>
      </c>
      <c r="V254" s="602">
        <f>SUMIF($F$125:$F$251,$F254,V$125:V$251)</f>
        <v>402238832.11846161</v>
      </c>
    </row>
    <row r="255" spans="2:23" s="612" customFormat="1" ht="15.75">
      <c r="B255" s="588"/>
      <c r="C255" s="588"/>
      <c r="D255" s="732"/>
      <c r="E255" s="593"/>
      <c r="F255" s="589" t="s">
        <v>681</v>
      </c>
      <c r="G255" s="602">
        <f>SUMIF($F$125:$F$251,$F255,G$125:G$251)</f>
        <v>25677609.033000007</v>
      </c>
      <c r="H255" s="602">
        <f t="shared" si="22"/>
        <v>26321233.713000007</v>
      </c>
      <c r="I255" s="602">
        <f t="shared" si="22"/>
        <v>26967881.893000007</v>
      </c>
      <c r="J255" s="602">
        <f t="shared" si="22"/>
        <v>27606571.353</v>
      </c>
      <c r="K255" s="602">
        <f t="shared" si="22"/>
        <v>28484291.41</v>
      </c>
      <c r="L255" s="602">
        <f t="shared" si="22"/>
        <v>29369553.423000008</v>
      </c>
      <c r="M255" s="602">
        <f t="shared" si="22"/>
        <v>30300694.533000004</v>
      </c>
      <c r="N255" s="602">
        <f t="shared" si="22"/>
        <v>31237164.993000012</v>
      </c>
      <c r="O255" s="602">
        <f t="shared" si="22"/>
        <v>32174826.143000007</v>
      </c>
      <c r="P255" s="602">
        <f t="shared" si="22"/>
        <v>33112709.513000011</v>
      </c>
      <c r="Q255" s="602">
        <f t="shared" si="22"/>
        <v>34050961.893000007</v>
      </c>
      <c r="R255" s="602">
        <f t="shared" si="22"/>
        <v>34986264.933000013</v>
      </c>
      <c r="S255" s="602">
        <f t="shared" si="22"/>
        <v>35927002.403000005</v>
      </c>
      <c r="V255" s="602"/>
    </row>
    <row r="256" spans="2:23" s="612" customFormat="1" ht="15.75">
      <c r="B256" s="588"/>
      <c r="C256" s="588"/>
      <c r="D256" s="732"/>
      <c r="E256" s="593"/>
      <c r="F256" s="589" t="s">
        <v>682</v>
      </c>
      <c r="G256" s="602">
        <f>SUMIF($F$125:$F$251,$F256,G$125:G$251)</f>
        <v>638429.36999999988</v>
      </c>
      <c r="H256" s="602">
        <f t="shared" si="22"/>
        <v>638510.65999999992</v>
      </c>
      <c r="I256" s="602">
        <f t="shared" si="22"/>
        <v>638689.46</v>
      </c>
      <c r="J256" s="602">
        <f t="shared" si="22"/>
        <v>900540.47999999986</v>
      </c>
      <c r="K256" s="602">
        <f t="shared" si="22"/>
        <v>896501.78</v>
      </c>
      <c r="L256" s="602">
        <f t="shared" si="22"/>
        <v>931141.11</v>
      </c>
      <c r="M256" s="602">
        <f t="shared" si="22"/>
        <v>936470.59</v>
      </c>
      <c r="N256" s="602">
        <f t="shared" si="22"/>
        <v>937661.14999999991</v>
      </c>
      <c r="O256" s="602">
        <f t="shared" si="22"/>
        <v>937883.37</v>
      </c>
      <c r="P256" s="602">
        <f t="shared" si="22"/>
        <v>938252.37999999989</v>
      </c>
      <c r="Q256" s="602">
        <f t="shared" si="22"/>
        <v>940067.94</v>
      </c>
      <c r="R256" s="602">
        <f t="shared" si="22"/>
        <v>940737.46999999986</v>
      </c>
      <c r="S256" s="602">
        <f t="shared" si="22"/>
        <v>942167.09999999986</v>
      </c>
      <c r="V256" s="602">
        <f>SUMIF($F$125:$F$251,$F256,V$125:V$251)</f>
        <v>10578623.49</v>
      </c>
      <c r="W256" s="608" t="str">
        <f>IF(ROUND(V256,0)-ROUND(SUM(L75:L89),0)=0,"","*ERROR*")</f>
        <v/>
      </c>
    </row>
    <row r="257" spans="2:23" s="612" customFormat="1" ht="15.75">
      <c r="B257" s="588"/>
      <c r="C257" s="588"/>
      <c r="D257" s="732"/>
      <c r="E257" s="609"/>
      <c r="F257" s="598" t="s">
        <v>683</v>
      </c>
      <c r="G257" s="554">
        <f>SUMIF($F$125:$F$251,$F257,G$125:G$251)</f>
        <v>0</v>
      </c>
      <c r="H257" s="554">
        <f t="shared" si="22"/>
        <v>0</v>
      </c>
      <c r="I257" s="554">
        <f t="shared" si="22"/>
        <v>0</v>
      </c>
      <c r="J257" s="554">
        <f t="shared" si="22"/>
        <v>22820.42</v>
      </c>
      <c r="K257" s="554">
        <f t="shared" si="22"/>
        <v>11239.77</v>
      </c>
      <c r="L257" s="554">
        <f t="shared" si="22"/>
        <v>0</v>
      </c>
      <c r="M257" s="554">
        <f t="shared" si="22"/>
        <v>0</v>
      </c>
      <c r="N257" s="554">
        <f t="shared" si="22"/>
        <v>0</v>
      </c>
      <c r="O257" s="554">
        <f t="shared" si="22"/>
        <v>0</v>
      </c>
      <c r="P257" s="554">
        <f t="shared" si="22"/>
        <v>0</v>
      </c>
      <c r="Q257" s="554">
        <f t="shared" si="22"/>
        <v>4764.8999999999996</v>
      </c>
      <c r="R257" s="554">
        <f t="shared" si="22"/>
        <v>0</v>
      </c>
      <c r="S257" s="554">
        <f t="shared" si="22"/>
        <v>0</v>
      </c>
      <c r="V257" s="602"/>
    </row>
    <row r="258" spans="2:23" s="612" customFormat="1">
      <c r="B258" s="610"/>
      <c r="C258" s="610"/>
      <c r="D258" s="732"/>
      <c r="E258" s="609"/>
      <c r="F258" s="590" t="s">
        <v>684</v>
      </c>
      <c r="G258" s="601">
        <f>G254-(SUM(G255:G256,-G257))</f>
        <v>266905162.52700007</v>
      </c>
      <c r="H258" s="601">
        <f t="shared" ref="H258:S258" si="23">H254-(SUM(H255:H256,-H257))</f>
        <v>266295696.10700002</v>
      </c>
      <c r="I258" s="601">
        <f t="shared" si="23"/>
        <v>384476293.83700007</v>
      </c>
      <c r="J258" s="601">
        <f t="shared" si="23"/>
        <v>383828786.63700008</v>
      </c>
      <c r="K258" s="601">
        <f t="shared" si="23"/>
        <v>398181277.99000007</v>
      </c>
      <c r="L258" s="601">
        <f t="shared" si="23"/>
        <v>399732040.73700011</v>
      </c>
      <c r="M258" s="601">
        <f t="shared" si="23"/>
        <v>399333645.29699999</v>
      </c>
      <c r="N258" s="601">
        <f t="shared" si="23"/>
        <v>398504919.21700001</v>
      </c>
      <c r="O258" s="601">
        <f t="shared" si="23"/>
        <v>397737740.787</v>
      </c>
      <c r="P258" s="601">
        <f t="shared" si="23"/>
        <v>397499477.25700003</v>
      </c>
      <c r="Q258" s="601">
        <f t="shared" si="23"/>
        <v>396871933.99699998</v>
      </c>
      <c r="R258" s="601">
        <f t="shared" si="23"/>
        <v>396212207.917</v>
      </c>
      <c r="S258" s="601">
        <f t="shared" si="23"/>
        <v>395410400.29699999</v>
      </c>
      <c r="V258" s="611">
        <f>SUMIF($F$125:$F$251,$F258,V$125:V$251)</f>
        <v>371212647.81338465</v>
      </c>
      <c r="W258" s="608" t="str">
        <f>IF(ROUND(SUM(V253,V258),2)-ROUND(SUM(I75:I89),2)=0,"","*ERROR*")</f>
        <v/>
      </c>
    </row>
    <row r="259" spans="2:23">
      <c r="D259" s="277"/>
      <c r="E259" s="277"/>
      <c r="F259" s="277"/>
      <c r="G259" s="277"/>
      <c r="H259" s="277"/>
      <c r="I259" s="277"/>
      <c r="J259" s="277"/>
      <c r="K259" s="277"/>
      <c r="L259" s="277"/>
      <c r="M259" s="277"/>
      <c r="N259" s="277"/>
      <c r="O259" s="277"/>
      <c r="P259" s="277"/>
      <c r="Q259" s="277"/>
      <c r="R259" s="290"/>
      <c r="S259" s="277"/>
      <c r="T259" s="277"/>
      <c r="U259" s="277"/>
      <c r="V259" s="277"/>
      <c r="W259" s="277"/>
    </row>
    <row r="260" spans="2:23">
      <c r="D260" s="277"/>
      <c r="E260" s="277"/>
      <c r="F260" s="277"/>
      <c r="G260" s="277"/>
      <c r="H260" s="277"/>
      <c r="I260" s="277"/>
      <c r="J260" s="277"/>
      <c r="K260" s="277"/>
      <c r="L260" s="277"/>
      <c r="M260" s="277"/>
      <c r="N260" s="277"/>
      <c r="O260" s="277"/>
      <c r="P260" s="277"/>
      <c r="Q260" s="277"/>
      <c r="R260" s="290"/>
      <c r="S260" s="277"/>
      <c r="T260" s="277"/>
      <c r="U260" s="277"/>
      <c r="V260" s="277"/>
      <c r="W260" s="277"/>
    </row>
    <row r="261" spans="2:23">
      <c r="D261" s="277"/>
      <c r="E261" s="277"/>
      <c r="F261" s="277"/>
      <c r="G261" s="277"/>
      <c r="H261" s="277"/>
      <c r="I261" s="277"/>
      <c r="J261" s="277"/>
      <c r="K261" s="277"/>
      <c r="L261" s="277"/>
      <c r="M261" s="277"/>
      <c r="N261" s="277"/>
      <c r="O261" s="277"/>
      <c r="P261" s="277"/>
      <c r="Q261" s="277"/>
      <c r="R261" s="290"/>
      <c r="S261" s="277"/>
      <c r="T261" s="277"/>
      <c r="U261" s="277"/>
      <c r="V261" s="277"/>
      <c r="W261" s="277"/>
    </row>
    <row r="262" spans="2:23">
      <c r="D262" s="277"/>
      <c r="E262" s="277"/>
      <c r="F262" s="277"/>
      <c r="G262" s="277"/>
      <c r="H262" s="277"/>
      <c r="I262" s="277"/>
      <c r="J262" s="277"/>
      <c r="K262" s="277"/>
      <c r="L262" s="277"/>
      <c r="M262" s="277"/>
      <c r="N262" s="277"/>
      <c r="O262" s="277"/>
      <c r="P262" s="277"/>
      <c r="Q262" s="277"/>
      <c r="R262" s="290"/>
      <c r="S262" s="277"/>
      <c r="T262" s="277"/>
      <c r="U262" s="277"/>
      <c r="V262" s="277"/>
      <c r="W262" s="277"/>
    </row>
    <row r="263" spans="2:23">
      <c r="D263" s="277"/>
      <c r="E263" s="277"/>
      <c r="F263" s="277"/>
      <c r="G263" s="277"/>
      <c r="H263" s="277"/>
      <c r="I263" s="277"/>
      <c r="J263" s="277"/>
      <c r="K263" s="277"/>
      <c r="L263" s="277"/>
      <c r="M263" s="277"/>
      <c r="N263" s="277"/>
      <c r="O263" s="277"/>
      <c r="P263" s="277"/>
      <c r="Q263" s="277"/>
      <c r="R263" s="290"/>
      <c r="S263" s="277"/>
      <c r="T263" s="277"/>
      <c r="U263" s="277"/>
      <c r="V263" s="277"/>
      <c r="W263" s="277"/>
    </row>
    <row r="264" spans="2:23">
      <c r="D264" s="277"/>
      <c r="E264" s="277"/>
      <c r="F264" s="277"/>
      <c r="G264" s="277"/>
      <c r="H264" s="277"/>
      <c r="I264" s="277"/>
      <c r="J264" s="277"/>
      <c r="K264" s="277"/>
      <c r="L264" s="277"/>
      <c r="M264" s="277"/>
      <c r="N264" s="277"/>
      <c r="O264" s="277"/>
      <c r="P264" s="277"/>
      <c r="Q264" s="277"/>
      <c r="R264" s="290"/>
      <c r="S264" s="277"/>
      <c r="T264" s="277"/>
      <c r="U264" s="277"/>
      <c r="V264" s="277"/>
      <c r="W264" s="277"/>
    </row>
    <row r="265" spans="2:23">
      <c r="D265" s="277"/>
      <c r="E265" s="277"/>
      <c r="F265" s="277"/>
      <c r="G265" s="277"/>
      <c r="H265" s="277"/>
      <c r="I265" s="277"/>
      <c r="J265" s="277"/>
      <c r="K265" s="277"/>
      <c r="L265" s="277"/>
      <c r="M265" s="277"/>
      <c r="N265" s="277"/>
      <c r="O265" s="277"/>
      <c r="P265" s="277"/>
      <c r="Q265" s="277"/>
      <c r="R265" s="290"/>
      <c r="S265" s="277"/>
      <c r="T265" s="277"/>
      <c r="U265" s="277"/>
      <c r="V265" s="277"/>
      <c r="W265" s="277"/>
    </row>
    <row r="266" spans="2:23">
      <c r="D266" s="277"/>
      <c r="E266" s="277"/>
      <c r="F266" s="277"/>
      <c r="G266" s="277"/>
      <c r="H266" s="277"/>
      <c r="I266" s="277"/>
      <c r="J266" s="277"/>
      <c r="K266" s="277"/>
      <c r="L266" s="277"/>
      <c r="M266" s="277"/>
      <c r="N266" s="277"/>
      <c r="O266" s="277"/>
      <c r="P266" s="277"/>
      <c r="Q266" s="277"/>
      <c r="R266" s="290"/>
      <c r="S266" s="277"/>
      <c r="T266" s="277"/>
      <c r="U266" s="277"/>
      <c r="V266" s="277"/>
      <c r="W266" s="277"/>
    </row>
    <row r="267" spans="2:23">
      <c r="D267" s="277"/>
      <c r="E267" s="277"/>
      <c r="F267" s="277"/>
      <c r="G267" s="277"/>
      <c r="H267" s="277"/>
      <c r="I267" s="277"/>
      <c r="J267" s="277"/>
      <c r="K267" s="277"/>
      <c r="L267" s="277"/>
      <c r="M267" s="277"/>
      <c r="N267" s="277"/>
      <c r="O267" s="277"/>
      <c r="P267" s="277"/>
      <c r="Q267" s="277"/>
      <c r="R267" s="290"/>
      <c r="S267" s="277"/>
      <c r="T267" s="277"/>
      <c r="U267" s="277"/>
      <c r="V267" s="277"/>
      <c r="W267" s="277"/>
    </row>
    <row r="268" spans="2:23">
      <c r="D268" s="277"/>
      <c r="E268" s="277"/>
      <c r="F268" s="277"/>
      <c r="G268" s="277"/>
      <c r="H268" s="277"/>
      <c r="I268" s="277"/>
      <c r="J268" s="277"/>
      <c r="K268" s="277"/>
      <c r="L268" s="277"/>
      <c r="M268" s="277"/>
      <c r="N268" s="277"/>
      <c r="O268" s="277"/>
      <c r="P268" s="277"/>
      <c r="Q268" s="277"/>
      <c r="R268" s="290"/>
      <c r="S268" s="277"/>
      <c r="T268" s="277"/>
      <c r="U268" s="277"/>
      <c r="V268" s="277"/>
      <c r="W268" s="277"/>
    </row>
    <row r="269" spans="2:23">
      <c r="D269" s="277"/>
      <c r="E269" s="277"/>
      <c r="F269" s="277"/>
      <c r="G269" s="277"/>
      <c r="H269" s="277"/>
      <c r="I269" s="277"/>
      <c r="J269" s="277"/>
      <c r="K269" s="277"/>
      <c r="L269" s="277"/>
      <c r="M269" s="277"/>
      <c r="N269" s="277"/>
      <c r="O269" s="277"/>
      <c r="P269" s="277"/>
      <c r="Q269" s="277"/>
      <c r="R269" s="290"/>
      <c r="S269" s="277"/>
      <c r="T269" s="277"/>
      <c r="U269" s="277"/>
      <c r="V269" s="277"/>
      <c r="W269" s="277"/>
    </row>
    <row r="270" spans="2:23">
      <c r="D270" s="277"/>
      <c r="E270" s="277"/>
      <c r="F270" s="277"/>
      <c r="G270" s="277"/>
      <c r="H270" s="277"/>
      <c r="I270" s="277"/>
      <c r="J270" s="277"/>
      <c r="K270" s="277"/>
      <c r="L270" s="277"/>
      <c r="M270" s="277"/>
      <c r="N270" s="277"/>
      <c r="O270" s="277"/>
      <c r="P270" s="277"/>
      <c r="Q270" s="277"/>
      <c r="R270" s="290"/>
      <c r="S270" s="277"/>
      <c r="T270" s="277"/>
      <c r="U270" s="277"/>
      <c r="V270" s="277"/>
      <c r="W270" s="277"/>
    </row>
    <row r="271" spans="2:23">
      <c r="D271" s="277"/>
      <c r="E271" s="277"/>
      <c r="F271" s="277"/>
      <c r="G271" s="277"/>
      <c r="H271" s="277"/>
      <c r="I271" s="277"/>
      <c r="J271" s="277"/>
      <c r="K271" s="277"/>
      <c r="L271" s="277"/>
      <c r="M271" s="277"/>
      <c r="N271" s="277"/>
      <c r="O271" s="277"/>
      <c r="P271" s="277"/>
      <c r="Q271" s="277"/>
      <c r="R271" s="290"/>
      <c r="S271" s="277"/>
      <c r="T271" s="277"/>
      <c r="U271" s="277"/>
      <c r="V271" s="277"/>
      <c r="W271" s="277"/>
    </row>
    <row r="272" spans="2:23">
      <c r="D272" s="277"/>
      <c r="E272" s="277"/>
      <c r="F272" s="277"/>
      <c r="G272" s="277"/>
      <c r="H272" s="277"/>
      <c r="I272" s="277"/>
      <c r="J272" s="277"/>
      <c r="K272" s="277"/>
      <c r="L272" s="277"/>
      <c r="M272" s="277"/>
      <c r="N272" s="277"/>
      <c r="O272" s="277"/>
      <c r="P272" s="277"/>
      <c r="Q272" s="277"/>
      <c r="R272" s="290"/>
      <c r="S272" s="277"/>
      <c r="T272" s="277"/>
      <c r="U272" s="277"/>
      <c r="V272" s="277"/>
      <c r="W272" s="277"/>
    </row>
    <row r="273" spans="4:23">
      <c r="D273" s="277"/>
      <c r="E273" s="277"/>
      <c r="F273" s="277"/>
      <c r="G273" s="277"/>
      <c r="H273" s="277"/>
      <c r="I273" s="277"/>
      <c r="J273" s="277"/>
      <c r="K273" s="277"/>
      <c r="L273" s="277"/>
      <c r="M273" s="277"/>
      <c r="N273" s="277"/>
      <c r="O273" s="277"/>
      <c r="P273" s="277"/>
      <c r="Q273" s="277"/>
      <c r="R273" s="290"/>
      <c r="S273" s="277"/>
      <c r="T273" s="277"/>
      <c r="U273" s="277"/>
      <c r="V273" s="277"/>
      <c r="W273" s="277"/>
    </row>
    <row r="274" spans="4:23">
      <c r="D274" s="277"/>
      <c r="E274" s="277"/>
      <c r="F274" s="277"/>
      <c r="G274" s="277"/>
      <c r="H274" s="277"/>
      <c r="I274" s="277"/>
      <c r="J274" s="277"/>
      <c r="K274" s="277"/>
      <c r="L274" s="277"/>
      <c r="M274" s="277"/>
      <c r="N274" s="277"/>
      <c r="O274" s="277"/>
      <c r="P274" s="277"/>
      <c r="Q274" s="277"/>
      <c r="R274" s="290"/>
      <c r="S274" s="277"/>
      <c r="T274" s="277"/>
      <c r="U274" s="277"/>
      <c r="V274" s="277"/>
      <c r="W274" s="277"/>
    </row>
    <row r="275" spans="4:23">
      <c r="D275" s="277"/>
      <c r="E275" s="277"/>
      <c r="F275" s="277"/>
      <c r="G275" s="277"/>
      <c r="H275" s="277"/>
      <c r="I275" s="277"/>
      <c r="J275" s="277"/>
      <c r="K275" s="277"/>
      <c r="L275" s="277"/>
      <c r="M275" s="277"/>
      <c r="N275" s="277"/>
      <c r="O275" s="277"/>
      <c r="P275" s="277"/>
      <c r="Q275" s="277"/>
      <c r="R275" s="290"/>
      <c r="S275" s="277"/>
      <c r="T275" s="277"/>
      <c r="U275" s="277"/>
      <c r="V275" s="277"/>
      <c r="W275" s="277"/>
    </row>
    <row r="276" spans="4:23">
      <c r="D276" s="277"/>
      <c r="E276" s="277"/>
      <c r="F276" s="277"/>
      <c r="G276" s="277"/>
      <c r="H276" s="277"/>
      <c r="I276" s="277"/>
      <c r="J276" s="277"/>
      <c r="K276" s="277"/>
      <c r="L276" s="277"/>
      <c r="M276" s="277"/>
      <c r="N276" s="277"/>
      <c r="O276" s="277"/>
      <c r="P276" s="277"/>
      <c r="Q276" s="277"/>
      <c r="R276" s="290"/>
      <c r="S276" s="277"/>
      <c r="T276" s="277"/>
      <c r="U276" s="277"/>
      <c r="V276" s="277"/>
      <c r="W276" s="277"/>
    </row>
    <row r="277" spans="4:23">
      <c r="D277" s="277"/>
      <c r="E277" s="277"/>
      <c r="F277" s="277"/>
      <c r="G277" s="277"/>
      <c r="H277" s="277"/>
      <c r="I277" s="277"/>
      <c r="J277" s="277"/>
      <c r="K277" s="277"/>
      <c r="L277" s="277"/>
      <c r="M277" s="277"/>
      <c r="N277" s="277"/>
      <c r="O277" s="277"/>
      <c r="P277" s="277"/>
      <c r="Q277" s="277"/>
      <c r="R277" s="290"/>
      <c r="S277" s="277"/>
      <c r="T277" s="277"/>
      <c r="U277" s="277"/>
      <c r="V277" s="277"/>
      <c r="W277" s="277"/>
    </row>
    <row r="278" spans="4:23">
      <c r="D278" s="277"/>
      <c r="E278" s="277"/>
      <c r="F278" s="277"/>
      <c r="G278" s="277"/>
      <c r="H278" s="277"/>
      <c r="I278" s="277"/>
      <c r="J278" s="277"/>
      <c r="K278" s="277"/>
      <c r="L278" s="277"/>
      <c r="M278" s="277"/>
      <c r="N278" s="277"/>
      <c r="O278" s="277"/>
      <c r="P278" s="277"/>
      <c r="Q278" s="277"/>
      <c r="R278" s="290"/>
      <c r="S278" s="277"/>
      <c r="T278" s="277"/>
      <c r="U278" s="277"/>
      <c r="V278" s="277"/>
      <c r="W278" s="277"/>
    </row>
    <row r="279" spans="4:23">
      <c r="D279" s="277"/>
      <c r="E279" s="277"/>
      <c r="F279" s="277"/>
      <c r="G279" s="277"/>
      <c r="H279" s="277"/>
      <c r="I279" s="277"/>
      <c r="J279" s="277"/>
      <c r="K279" s="277"/>
      <c r="L279" s="277"/>
      <c r="M279" s="277"/>
      <c r="N279" s="277"/>
      <c r="O279" s="277"/>
      <c r="P279" s="277"/>
      <c r="Q279" s="277"/>
      <c r="R279" s="290"/>
      <c r="S279" s="277"/>
      <c r="T279" s="277"/>
      <c r="U279" s="277"/>
      <c r="V279" s="277"/>
      <c r="W279" s="277"/>
    </row>
    <row r="280" spans="4:23">
      <c r="D280" s="277"/>
      <c r="E280" s="277"/>
      <c r="F280" s="277"/>
      <c r="G280" s="277"/>
      <c r="H280" s="277"/>
      <c r="I280" s="277"/>
      <c r="J280" s="277"/>
      <c r="K280" s="277"/>
      <c r="L280" s="277"/>
      <c r="M280" s="277"/>
      <c r="N280" s="277"/>
      <c r="O280" s="277"/>
      <c r="P280" s="277"/>
      <c r="Q280" s="277"/>
      <c r="R280" s="290"/>
      <c r="S280" s="277"/>
      <c r="T280" s="277"/>
      <c r="U280" s="277"/>
      <c r="V280" s="277"/>
      <c r="W280" s="277"/>
    </row>
    <row r="281" spans="4:23">
      <c r="D281" s="277"/>
      <c r="E281" s="277"/>
      <c r="F281" s="277"/>
      <c r="G281" s="277"/>
      <c r="H281" s="277"/>
      <c r="I281" s="277"/>
      <c r="J281" s="277"/>
      <c r="K281" s="277"/>
      <c r="L281" s="277"/>
      <c r="M281" s="277"/>
      <c r="N281" s="277"/>
      <c r="O281" s="277"/>
      <c r="P281" s="277"/>
      <c r="Q281" s="277"/>
      <c r="R281" s="290"/>
      <c r="S281" s="277"/>
      <c r="T281" s="277"/>
      <c r="U281" s="277"/>
      <c r="V281" s="277"/>
      <c r="W281" s="277"/>
    </row>
    <row r="282" spans="4:23">
      <c r="D282" s="277"/>
      <c r="E282" s="277"/>
      <c r="F282" s="277"/>
      <c r="G282" s="277"/>
      <c r="H282" s="277"/>
      <c r="I282" s="277"/>
      <c r="J282" s="277"/>
      <c r="K282" s="277"/>
      <c r="L282" s="277"/>
      <c r="M282" s="277"/>
      <c r="N282" s="277"/>
      <c r="O282" s="277"/>
      <c r="P282" s="277"/>
      <c r="Q282" s="277"/>
      <c r="R282" s="290"/>
      <c r="S282" s="277"/>
      <c r="T282" s="277"/>
      <c r="U282" s="277"/>
      <c r="V282" s="277"/>
      <c r="W282" s="277"/>
    </row>
    <row r="283" spans="4:23">
      <c r="D283" s="277"/>
      <c r="E283" s="277"/>
      <c r="F283" s="277"/>
      <c r="G283" s="277"/>
      <c r="H283" s="277"/>
      <c r="I283" s="277"/>
      <c r="J283" s="277"/>
      <c r="K283" s="277"/>
      <c r="L283" s="277"/>
      <c r="M283" s="277"/>
      <c r="N283" s="277"/>
      <c r="O283" s="277"/>
      <c r="P283" s="277"/>
      <c r="Q283" s="277"/>
      <c r="R283" s="290"/>
      <c r="S283" s="277"/>
      <c r="T283" s="277"/>
      <c r="U283" s="277"/>
      <c r="V283" s="277"/>
      <c r="W283" s="277"/>
    </row>
    <row r="284" spans="4:23">
      <c r="D284" s="277"/>
      <c r="E284" s="277"/>
      <c r="F284" s="277"/>
      <c r="G284" s="277"/>
      <c r="H284" s="277"/>
      <c r="I284" s="277"/>
      <c r="J284" s="277"/>
      <c r="K284" s="277"/>
      <c r="L284" s="277"/>
      <c r="M284" s="277"/>
      <c r="N284" s="277"/>
      <c r="O284" s="277"/>
      <c r="P284" s="277"/>
      <c r="Q284" s="277"/>
      <c r="R284" s="290"/>
      <c r="S284" s="277"/>
      <c r="T284" s="277"/>
      <c r="U284" s="277"/>
      <c r="V284" s="277"/>
      <c r="W284" s="277"/>
    </row>
    <row r="285" spans="4:23">
      <c r="D285" s="277"/>
      <c r="E285" s="277"/>
      <c r="F285" s="277"/>
      <c r="G285" s="277"/>
      <c r="H285" s="277"/>
      <c r="I285" s="277"/>
      <c r="J285" s="277"/>
      <c r="K285" s="277"/>
      <c r="L285" s="277"/>
      <c r="M285" s="277"/>
      <c r="N285" s="277"/>
      <c r="O285" s="277"/>
      <c r="P285" s="277"/>
      <c r="Q285" s="277"/>
      <c r="R285" s="290"/>
      <c r="S285" s="277"/>
      <c r="T285" s="277"/>
      <c r="U285" s="277"/>
      <c r="V285" s="277"/>
      <c r="W285" s="277"/>
    </row>
    <row r="286" spans="4:23">
      <c r="D286" s="277"/>
      <c r="E286" s="277"/>
      <c r="F286" s="277"/>
      <c r="G286" s="277"/>
      <c r="H286" s="277"/>
      <c r="I286" s="277"/>
      <c r="J286" s="277"/>
      <c r="K286" s="277"/>
      <c r="L286" s="277"/>
      <c r="M286" s="277"/>
      <c r="N286" s="277"/>
      <c r="O286" s="277"/>
      <c r="P286" s="277"/>
      <c r="Q286" s="277"/>
      <c r="R286" s="290"/>
      <c r="S286" s="277"/>
      <c r="T286" s="277"/>
      <c r="U286" s="277"/>
      <c r="V286" s="277"/>
      <c r="W286" s="277"/>
    </row>
    <row r="287" spans="4:23">
      <c r="D287" s="277"/>
      <c r="E287" s="277"/>
      <c r="F287" s="277"/>
      <c r="G287" s="277"/>
      <c r="H287" s="277"/>
      <c r="I287" s="277"/>
      <c r="J287" s="277"/>
      <c r="K287" s="277"/>
      <c r="L287" s="277"/>
      <c r="M287" s="277"/>
      <c r="N287" s="277"/>
      <c r="O287" s="277"/>
      <c r="P287" s="277"/>
      <c r="Q287" s="277"/>
      <c r="R287" s="290"/>
      <c r="S287" s="277"/>
      <c r="T287" s="277"/>
      <c r="U287" s="277"/>
      <c r="V287" s="277"/>
      <c r="W287" s="277"/>
    </row>
    <row r="288" spans="4:23">
      <c r="D288" s="277"/>
      <c r="E288" s="277"/>
      <c r="F288" s="277"/>
      <c r="G288" s="277"/>
      <c r="H288" s="277"/>
      <c r="I288" s="277"/>
      <c r="J288" s="277"/>
      <c r="K288" s="277"/>
      <c r="L288" s="277"/>
      <c r="M288" s="277"/>
      <c r="N288" s="277"/>
      <c r="O288" s="277"/>
      <c r="P288" s="277"/>
      <c r="Q288" s="277"/>
      <c r="R288" s="290"/>
      <c r="S288" s="277"/>
      <c r="T288" s="277"/>
      <c r="U288" s="277"/>
      <c r="V288" s="277"/>
      <c r="W288" s="277"/>
    </row>
    <row r="289" spans="4:23">
      <c r="D289" s="277"/>
      <c r="E289" s="277"/>
      <c r="F289" s="277"/>
      <c r="G289" s="277"/>
      <c r="H289" s="277"/>
      <c r="I289" s="277"/>
      <c r="J289" s="277"/>
      <c r="K289" s="277"/>
      <c r="L289" s="277"/>
      <c r="M289" s="277"/>
      <c r="N289" s="277"/>
      <c r="O289" s="277"/>
      <c r="P289" s="277"/>
      <c r="Q289" s="277"/>
      <c r="R289" s="290"/>
      <c r="S289" s="277"/>
      <c r="T289" s="277"/>
      <c r="U289" s="277"/>
      <c r="V289" s="277"/>
      <c r="W289" s="277"/>
    </row>
    <row r="290" spans="4:23">
      <c r="D290" s="277"/>
      <c r="E290" s="277"/>
      <c r="F290" s="277"/>
      <c r="G290" s="277"/>
      <c r="H290" s="277"/>
      <c r="I290" s="277"/>
      <c r="J290" s="277"/>
      <c r="K290" s="277"/>
      <c r="L290" s="277"/>
      <c r="M290" s="277"/>
      <c r="N290" s="277"/>
      <c r="O290" s="277"/>
      <c r="P290" s="277"/>
      <c r="Q290" s="277"/>
      <c r="R290" s="290"/>
      <c r="S290" s="277"/>
      <c r="T290" s="277"/>
      <c r="U290" s="277"/>
      <c r="V290" s="277"/>
      <c r="W290" s="277"/>
    </row>
    <row r="291" spans="4:23">
      <c r="D291" s="277"/>
      <c r="E291" s="277"/>
      <c r="F291" s="277"/>
      <c r="G291" s="277"/>
      <c r="H291" s="277"/>
      <c r="I291" s="277"/>
      <c r="J291" s="277"/>
      <c r="K291" s="277"/>
      <c r="L291" s="277"/>
      <c r="M291" s="277"/>
      <c r="N291" s="277"/>
      <c r="O291" s="277"/>
      <c r="P291" s="277"/>
      <c r="Q291" s="277"/>
      <c r="R291" s="290"/>
      <c r="S291" s="277"/>
      <c r="T291" s="277"/>
      <c r="U291" s="277"/>
      <c r="V291" s="277"/>
      <c r="W291" s="277"/>
    </row>
    <row r="292" spans="4:23">
      <c r="D292" s="277"/>
      <c r="E292" s="277"/>
      <c r="F292" s="277"/>
      <c r="G292" s="277"/>
      <c r="H292" s="277"/>
      <c r="I292" s="277"/>
      <c r="J292" s="277"/>
      <c r="K292" s="277"/>
      <c r="L292" s="277"/>
      <c r="M292" s="277"/>
      <c r="N292" s="277"/>
      <c r="O292" s="277"/>
      <c r="P292" s="277"/>
      <c r="Q292" s="277"/>
      <c r="R292" s="290"/>
      <c r="S292" s="277"/>
      <c r="T292" s="277"/>
      <c r="U292" s="277"/>
      <c r="V292" s="277"/>
      <c r="W292" s="277"/>
    </row>
    <row r="293" spans="4:23">
      <c r="D293" s="277"/>
      <c r="E293" s="277"/>
      <c r="F293" s="277"/>
      <c r="G293" s="277"/>
      <c r="H293" s="277"/>
      <c r="I293" s="277"/>
      <c r="J293" s="277"/>
      <c r="K293" s="277"/>
      <c r="L293" s="277"/>
      <c r="M293" s="277"/>
      <c r="N293" s="277"/>
      <c r="O293" s="277"/>
      <c r="P293" s="277"/>
      <c r="Q293" s="277"/>
      <c r="R293" s="290"/>
      <c r="S293" s="277"/>
      <c r="T293" s="277"/>
      <c r="U293" s="277"/>
      <c r="V293" s="277"/>
      <c r="W293" s="277"/>
    </row>
    <row r="294" spans="4:23">
      <c r="D294" s="277"/>
      <c r="E294" s="277"/>
      <c r="F294" s="277"/>
      <c r="G294" s="277"/>
      <c r="H294" s="277"/>
      <c r="I294" s="277"/>
      <c r="J294" s="277"/>
      <c r="K294" s="277"/>
      <c r="L294" s="277"/>
      <c r="M294" s="277"/>
      <c r="N294" s="277"/>
      <c r="O294" s="277"/>
      <c r="P294" s="277"/>
      <c r="Q294" s="277"/>
      <c r="R294" s="290"/>
      <c r="S294" s="277"/>
      <c r="T294" s="277"/>
      <c r="U294" s="277"/>
      <c r="V294" s="277"/>
      <c r="W294" s="277"/>
    </row>
    <row r="295" spans="4:23">
      <c r="D295" s="277"/>
      <c r="E295" s="277"/>
      <c r="F295" s="277"/>
      <c r="G295" s="277"/>
      <c r="H295" s="277"/>
      <c r="I295" s="277"/>
      <c r="J295" s="277"/>
      <c r="K295" s="277"/>
      <c r="L295" s="277"/>
      <c r="M295" s="277"/>
      <c r="N295" s="277"/>
      <c r="O295" s="277"/>
      <c r="P295" s="277"/>
      <c r="Q295" s="277"/>
      <c r="R295" s="290"/>
      <c r="S295" s="277"/>
      <c r="T295" s="277"/>
      <c r="U295" s="277"/>
      <c r="V295" s="277"/>
      <c r="W295" s="277"/>
    </row>
    <row r="296" spans="4:23">
      <c r="D296" s="277"/>
      <c r="E296" s="277"/>
      <c r="F296" s="277"/>
      <c r="G296" s="277"/>
      <c r="H296" s="277"/>
      <c r="I296" s="277"/>
      <c r="J296" s="277"/>
      <c r="K296" s="277"/>
      <c r="L296" s="277"/>
      <c r="M296" s="277"/>
      <c r="N296" s="277"/>
      <c r="O296" s="277"/>
      <c r="P296" s="277"/>
      <c r="Q296" s="277"/>
      <c r="R296" s="290"/>
      <c r="S296" s="277"/>
      <c r="T296" s="277"/>
      <c r="U296" s="277"/>
      <c r="V296" s="277"/>
      <c r="W296" s="277"/>
    </row>
    <row r="297" spans="4:23">
      <c r="D297" s="277"/>
      <c r="E297" s="277"/>
      <c r="F297" s="277"/>
      <c r="G297" s="277"/>
      <c r="H297" s="277"/>
      <c r="I297" s="277"/>
      <c r="J297" s="277"/>
      <c r="K297" s="277"/>
      <c r="L297" s="277"/>
      <c r="M297" s="277"/>
      <c r="N297" s="277"/>
      <c r="O297" s="277"/>
      <c r="P297" s="277"/>
      <c r="Q297" s="277"/>
      <c r="R297" s="290"/>
      <c r="S297" s="277"/>
      <c r="T297" s="277"/>
      <c r="U297" s="277"/>
      <c r="V297" s="277"/>
      <c r="W297" s="277"/>
    </row>
    <row r="298" spans="4:23">
      <c r="D298" s="277"/>
      <c r="E298" s="277"/>
      <c r="F298" s="277"/>
      <c r="G298" s="277"/>
      <c r="H298" s="277"/>
      <c r="I298" s="277"/>
      <c r="J298" s="277"/>
      <c r="K298" s="277"/>
      <c r="L298" s="277"/>
      <c r="M298" s="277"/>
      <c r="N298" s="277"/>
      <c r="O298" s="277"/>
      <c r="P298" s="277"/>
      <c r="Q298" s="277"/>
      <c r="R298" s="290"/>
      <c r="S298" s="277"/>
      <c r="T298" s="277"/>
      <c r="U298" s="277"/>
      <c r="V298" s="277"/>
      <c r="W298" s="277"/>
    </row>
    <row r="299" spans="4:23">
      <c r="D299" s="277"/>
      <c r="E299" s="277"/>
      <c r="F299" s="277"/>
      <c r="G299" s="277"/>
      <c r="H299" s="277"/>
      <c r="I299" s="277"/>
      <c r="J299" s="277"/>
      <c r="K299" s="277"/>
      <c r="L299" s="277"/>
      <c r="M299" s="277"/>
      <c r="N299" s="277"/>
      <c r="O299" s="277"/>
      <c r="P299" s="277"/>
      <c r="Q299" s="277"/>
      <c r="R299" s="290"/>
      <c r="S299" s="277"/>
      <c r="T299" s="277"/>
      <c r="U299" s="277"/>
      <c r="V299" s="277"/>
      <c r="W299" s="277"/>
    </row>
    <row r="300" spans="4:23">
      <c r="D300" s="277"/>
      <c r="E300" s="277"/>
      <c r="F300" s="277"/>
      <c r="G300" s="277"/>
      <c r="H300" s="277"/>
      <c r="I300" s="277"/>
      <c r="J300" s="277"/>
      <c r="K300" s="277"/>
      <c r="L300" s="277"/>
      <c r="M300" s="277"/>
      <c r="N300" s="277"/>
      <c r="O300" s="277"/>
      <c r="P300" s="277"/>
      <c r="Q300" s="277"/>
      <c r="R300" s="290"/>
      <c r="S300" s="277"/>
      <c r="T300" s="277"/>
      <c r="U300" s="277"/>
      <c r="V300" s="277"/>
      <c r="W300" s="277"/>
    </row>
    <row r="301" spans="4:23">
      <c r="D301" s="277"/>
      <c r="E301" s="277"/>
      <c r="F301" s="277"/>
      <c r="G301" s="277"/>
      <c r="H301" s="277"/>
      <c r="I301" s="277"/>
      <c r="J301" s="277"/>
      <c r="K301" s="277"/>
      <c r="L301" s="277"/>
      <c r="M301" s="277"/>
      <c r="N301" s="277"/>
      <c r="O301" s="277"/>
      <c r="P301" s="277"/>
      <c r="Q301" s="277"/>
      <c r="R301" s="290"/>
      <c r="S301" s="277"/>
      <c r="T301" s="277"/>
      <c r="U301" s="277"/>
      <c r="V301" s="277"/>
      <c r="W301" s="277"/>
    </row>
    <row r="302" spans="4:23">
      <c r="D302" s="277"/>
      <c r="E302" s="277"/>
      <c r="F302" s="277"/>
      <c r="G302" s="277"/>
      <c r="H302" s="277"/>
      <c r="I302" s="277"/>
      <c r="J302" s="277"/>
      <c r="K302" s="277"/>
      <c r="L302" s="277"/>
      <c r="M302" s="277"/>
      <c r="N302" s="277"/>
      <c r="O302" s="277"/>
      <c r="P302" s="277"/>
      <c r="Q302" s="277"/>
      <c r="R302" s="290"/>
      <c r="S302" s="277"/>
      <c r="T302" s="277"/>
      <c r="U302" s="277"/>
      <c r="V302" s="277"/>
      <c r="W302" s="277"/>
    </row>
    <row r="303" spans="4:23">
      <c r="D303" s="277"/>
      <c r="E303" s="277"/>
      <c r="F303" s="277"/>
      <c r="G303" s="277"/>
      <c r="H303" s="277"/>
      <c r="I303" s="277"/>
      <c r="J303" s="277"/>
      <c r="K303" s="277"/>
      <c r="L303" s="277"/>
      <c r="M303" s="277"/>
      <c r="N303" s="277"/>
      <c r="O303" s="277"/>
      <c r="P303" s="277"/>
      <c r="Q303" s="277"/>
      <c r="R303" s="290"/>
      <c r="S303" s="277"/>
      <c r="T303" s="277"/>
      <c r="U303" s="277"/>
      <c r="V303" s="277"/>
      <c r="W303" s="277"/>
    </row>
    <row r="304" spans="4:23">
      <c r="D304" s="277"/>
      <c r="E304" s="277"/>
      <c r="F304" s="277"/>
      <c r="G304" s="277"/>
      <c r="H304" s="277"/>
      <c r="I304" s="277"/>
      <c r="J304" s="277"/>
      <c r="K304" s="277"/>
      <c r="L304" s="277"/>
      <c r="M304" s="277"/>
      <c r="N304" s="277"/>
      <c r="O304" s="277"/>
      <c r="P304" s="277"/>
      <c r="Q304" s="277"/>
      <c r="R304" s="290"/>
      <c r="S304" s="277"/>
      <c r="T304" s="277"/>
      <c r="U304" s="277"/>
      <c r="V304" s="277"/>
      <c r="W304" s="277"/>
    </row>
    <row r="305" spans="4:16">
      <c r="D305" s="277"/>
      <c r="E305" s="277"/>
      <c r="F305" s="277"/>
      <c r="G305" s="277"/>
      <c r="H305" s="277"/>
      <c r="I305" s="277"/>
      <c r="J305" s="277"/>
      <c r="K305" s="277"/>
      <c r="L305" s="277"/>
      <c r="M305" s="277"/>
      <c r="N305" s="277"/>
      <c r="O305" s="277"/>
      <c r="P305" s="277"/>
    </row>
    <row r="306" spans="4:16">
      <c r="D306" s="277"/>
      <c r="E306" s="277"/>
      <c r="F306" s="277"/>
      <c r="G306" s="277"/>
      <c r="H306" s="277"/>
      <c r="I306" s="277"/>
      <c r="J306" s="277"/>
      <c r="K306" s="277"/>
      <c r="L306" s="277"/>
      <c r="M306" s="277"/>
      <c r="N306" s="277"/>
      <c r="O306" s="277"/>
      <c r="P306" s="277"/>
    </row>
    <row r="307" spans="4:16">
      <c r="D307" s="277"/>
      <c r="E307" s="277"/>
      <c r="F307" s="277"/>
      <c r="G307" s="277"/>
      <c r="H307" s="277"/>
      <c r="I307" s="277"/>
      <c r="J307" s="277"/>
      <c r="K307" s="277"/>
      <c r="L307" s="277"/>
      <c r="M307" s="277"/>
      <c r="N307" s="277"/>
      <c r="O307" s="277"/>
      <c r="P307" s="277"/>
    </row>
    <row r="308" spans="4:16">
      <c r="D308" s="277"/>
      <c r="E308" s="277"/>
      <c r="F308" s="277"/>
      <c r="G308" s="277"/>
      <c r="H308" s="277"/>
      <c r="I308" s="277"/>
      <c r="J308" s="277"/>
      <c r="K308" s="277"/>
      <c r="L308" s="277"/>
      <c r="M308" s="277"/>
      <c r="N308" s="277"/>
      <c r="O308" s="277"/>
      <c r="P308" s="277"/>
    </row>
    <row r="309" spans="4:16">
      <c r="D309" s="277"/>
      <c r="E309" s="277"/>
      <c r="F309" s="277"/>
      <c r="G309" s="277"/>
      <c r="H309" s="277"/>
      <c r="I309" s="277"/>
      <c r="J309" s="277"/>
      <c r="K309" s="277"/>
      <c r="L309" s="277"/>
      <c r="M309" s="277"/>
      <c r="N309" s="277"/>
      <c r="O309" s="277"/>
      <c r="P309" s="277"/>
    </row>
    <row r="310" spans="4:16">
      <c r="D310" s="277"/>
      <c r="E310" s="277"/>
      <c r="F310" s="277"/>
      <c r="G310" s="277"/>
      <c r="H310" s="277"/>
      <c r="I310" s="277"/>
      <c r="J310" s="277"/>
      <c r="K310" s="277"/>
      <c r="L310" s="277"/>
      <c r="M310" s="277"/>
      <c r="N310" s="277"/>
      <c r="O310" s="277"/>
      <c r="P310" s="277"/>
    </row>
    <row r="311" spans="4:16">
      <c r="D311" s="277"/>
      <c r="E311" s="277"/>
      <c r="F311" s="277"/>
      <c r="G311" s="277"/>
      <c r="H311" s="277"/>
      <c r="I311" s="277"/>
      <c r="J311" s="277"/>
      <c r="K311" s="277"/>
      <c r="L311" s="277"/>
      <c r="M311" s="277"/>
      <c r="N311" s="277"/>
      <c r="O311" s="277"/>
      <c r="P311" s="277"/>
    </row>
    <row r="312" spans="4:16">
      <c r="D312" s="277"/>
      <c r="E312" s="277"/>
      <c r="F312" s="277"/>
      <c r="G312" s="277"/>
      <c r="H312" s="277"/>
      <c r="I312" s="277"/>
      <c r="J312" s="277"/>
      <c r="K312" s="277"/>
      <c r="L312" s="277"/>
      <c r="M312" s="277"/>
      <c r="N312" s="277"/>
      <c r="O312" s="277"/>
      <c r="P312" s="277"/>
    </row>
  </sheetData>
  <mergeCells count="27">
    <mergeCell ref="D112:P112"/>
    <mergeCell ref="D113:P113"/>
    <mergeCell ref="D114:P114"/>
    <mergeCell ref="D115:P115"/>
    <mergeCell ref="D106:P106"/>
    <mergeCell ref="D107:P107"/>
    <mergeCell ref="D108:P108"/>
    <mergeCell ref="D109:P109"/>
    <mergeCell ref="D110:P110"/>
    <mergeCell ref="D111:P111"/>
    <mergeCell ref="D125:D130"/>
    <mergeCell ref="D133:D138"/>
    <mergeCell ref="D141:D146"/>
    <mergeCell ref="D149:D154"/>
    <mergeCell ref="D157:D162"/>
    <mergeCell ref="D165:D170"/>
    <mergeCell ref="D173:D178"/>
    <mergeCell ref="D181:D186"/>
    <mergeCell ref="D189:D194"/>
    <mergeCell ref="D197:D202"/>
    <mergeCell ref="D245:D250"/>
    <mergeCell ref="D253:D258"/>
    <mergeCell ref="D205:D210"/>
    <mergeCell ref="D213:D218"/>
    <mergeCell ref="D221:D226"/>
    <mergeCell ref="D229:D234"/>
    <mergeCell ref="D237:D242"/>
  </mergeCells>
  <conditionalFormatting sqref="W256 W258 W252:W253">
    <cfRule type="cellIs" dxfId="3" priority="1" stopIfTrue="1" operator="equal">
      <formula>"*ERROR*"</formula>
    </cfRule>
  </conditionalFormatting>
  <pageMargins left="0.7" right="0.7" top="0.75" bottom="0.75" header="0.3" footer="0.3"/>
  <pageSetup scale="32" fitToHeight="2" orientation="landscape" r:id="rId1"/>
  <rowBreaks count="1" manualBreakCount="1">
    <brk id="62" max="21" man="1"/>
  </rowBreaks>
  <colBreaks count="1" manualBreakCount="1">
    <brk id="22"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FF"/>
  </sheetPr>
  <dimension ref="A1:BS266"/>
  <sheetViews>
    <sheetView view="pageBreakPreview" zoomScale="70" zoomScaleNormal="60" zoomScaleSheetLayoutView="70" workbookViewId="0"/>
  </sheetViews>
  <sheetFormatPr defaultColWidth="9.140625" defaultRowHeight="15"/>
  <cols>
    <col min="1" max="1" width="9.140625" style="301"/>
    <col min="2" max="2" width="7.7109375" style="301" customWidth="1"/>
    <col min="3" max="3" width="1.85546875" style="301" customWidth="1"/>
    <col min="4" max="4" width="72" style="301" customWidth="1"/>
    <col min="5" max="5" width="17.28515625" style="301" bestFit="1" customWidth="1"/>
    <col min="6" max="8" width="17.140625" style="301" customWidth="1"/>
    <col min="9" max="9" width="23.85546875" style="301" customWidth="1"/>
    <col min="10" max="10" width="17.140625" style="301" customWidth="1"/>
    <col min="11" max="11" width="18.5703125" style="301" customWidth="1"/>
    <col min="12" max="17" width="17.140625" style="301" customWidth="1"/>
    <col min="18" max="18" width="20.140625" style="301" bestFit="1" customWidth="1"/>
    <col min="19" max="20" width="19.7109375" style="301" customWidth="1"/>
    <col min="21" max="21" width="5.7109375" style="301" bestFit="1" customWidth="1"/>
    <col min="22" max="22" width="16.7109375" style="301" customWidth="1"/>
    <col min="23" max="16384" width="9.140625" style="301"/>
  </cols>
  <sheetData>
    <row r="1" spans="2:71">
      <c r="T1" s="302"/>
    </row>
    <row r="2" spans="2:71">
      <c r="T2" s="302"/>
    </row>
    <row r="4" spans="2:71">
      <c r="T4" s="303" t="s">
        <v>471</v>
      </c>
    </row>
    <row r="5" spans="2:71">
      <c r="D5" s="304" t="s">
        <v>352</v>
      </c>
      <c r="E5" s="304"/>
      <c r="F5" s="304"/>
      <c r="G5" s="304"/>
      <c r="H5" s="304"/>
      <c r="I5" s="304"/>
      <c r="J5" s="304"/>
      <c r="K5" s="305" t="s">
        <v>353</v>
      </c>
      <c r="L5" s="305"/>
      <c r="M5" s="304"/>
      <c r="N5" s="304"/>
      <c r="O5" s="304"/>
      <c r="P5" s="306"/>
      <c r="Q5" s="306"/>
      <c r="S5" s="307"/>
      <c r="T5" s="308" t="s">
        <v>548</v>
      </c>
      <c r="U5" s="309"/>
      <c r="V5" s="310"/>
      <c r="W5" s="310"/>
      <c r="X5" s="309"/>
      <c r="Y5" s="297"/>
      <c r="Z5" s="297"/>
      <c r="AA5" s="297"/>
      <c r="AB5" s="297"/>
      <c r="AC5" s="297"/>
      <c r="AD5" s="297"/>
      <c r="AE5" s="297"/>
      <c r="AF5" s="297"/>
      <c r="AG5" s="297"/>
      <c r="AH5" s="297"/>
      <c r="AI5" s="297"/>
      <c r="AJ5" s="297"/>
      <c r="AK5" s="297"/>
      <c r="AL5" s="297"/>
      <c r="AM5" s="297"/>
      <c r="AN5" s="297"/>
      <c r="AO5" s="297"/>
      <c r="AP5" s="297"/>
      <c r="AQ5" s="297"/>
      <c r="AR5" s="297"/>
      <c r="AS5" s="297"/>
      <c r="AT5" s="297"/>
      <c r="AU5" s="297"/>
      <c r="AV5" s="297"/>
      <c r="AW5" s="297"/>
      <c r="AX5" s="297"/>
      <c r="AY5" s="297"/>
      <c r="AZ5" s="297"/>
      <c r="BA5" s="297"/>
      <c r="BB5" s="297"/>
      <c r="BC5" s="297"/>
      <c r="BD5" s="297"/>
      <c r="BE5" s="297"/>
      <c r="BF5" s="297"/>
      <c r="BG5" s="297"/>
      <c r="BH5" s="297"/>
      <c r="BI5" s="297"/>
      <c r="BJ5" s="297"/>
      <c r="BK5" s="297"/>
      <c r="BL5" s="297"/>
      <c r="BM5" s="297"/>
      <c r="BN5" s="297"/>
      <c r="BO5" s="297"/>
      <c r="BP5" s="297"/>
      <c r="BQ5" s="297"/>
      <c r="BR5" s="297"/>
      <c r="BS5" s="297"/>
    </row>
    <row r="6" spans="2:71">
      <c r="D6" s="304"/>
      <c r="E6" s="304"/>
      <c r="F6" s="304"/>
      <c r="G6" s="304"/>
      <c r="H6" s="304"/>
      <c r="I6" s="311" t="s">
        <v>3</v>
      </c>
      <c r="J6" s="311"/>
      <c r="K6" s="311" t="s">
        <v>354</v>
      </c>
      <c r="L6" s="311"/>
      <c r="M6" s="311"/>
      <c r="N6" s="311"/>
      <c r="O6" s="311"/>
      <c r="P6" s="306"/>
      <c r="Q6" s="306"/>
      <c r="S6" s="267"/>
      <c r="T6" s="306"/>
      <c r="U6" s="309"/>
      <c r="V6" s="312"/>
      <c r="W6" s="310"/>
      <c r="X6" s="309"/>
      <c r="Y6" s="297"/>
      <c r="Z6" s="297"/>
      <c r="AA6" s="297"/>
      <c r="AB6" s="297"/>
      <c r="AC6" s="297"/>
      <c r="AD6" s="297"/>
      <c r="AE6" s="297"/>
      <c r="AF6" s="297"/>
      <c r="AG6" s="297"/>
      <c r="AH6" s="297"/>
      <c r="AI6" s="297"/>
      <c r="AJ6" s="297"/>
      <c r="AK6" s="297"/>
      <c r="AL6" s="297"/>
      <c r="AM6" s="297"/>
      <c r="AN6" s="297"/>
      <c r="AO6" s="297"/>
      <c r="AP6" s="297"/>
      <c r="AQ6" s="297"/>
      <c r="AR6" s="297"/>
      <c r="AS6" s="297"/>
      <c r="AT6" s="297"/>
      <c r="AU6" s="297"/>
      <c r="AV6" s="297"/>
      <c r="AW6" s="297"/>
      <c r="AX6" s="297"/>
      <c r="AY6" s="297"/>
      <c r="AZ6" s="297"/>
      <c r="BA6" s="297"/>
      <c r="BB6" s="297"/>
      <c r="BC6" s="297"/>
      <c r="BD6" s="297"/>
      <c r="BE6" s="297"/>
      <c r="BF6" s="297"/>
      <c r="BG6" s="297"/>
      <c r="BH6" s="297"/>
      <c r="BI6" s="297"/>
      <c r="BJ6" s="297"/>
      <c r="BK6" s="297"/>
      <c r="BL6" s="297"/>
      <c r="BM6" s="297"/>
      <c r="BN6" s="297"/>
      <c r="BO6" s="297"/>
      <c r="BP6" s="297"/>
      <c r="BQ6" s="297"/>
      <c r="BR6" s="297"/>
      <c r="BS6" s="297"/>
    </row>
    <row r="7" spans="2:71">
      <c r="D7" s="267"/>
      <c r="E7" s="267"/>
      <c r="F7" s="267"/>
      <c r="G7" s="267"/>
      <c r="H7" s="267"/>
      <c r="I7" s="267"/>
      <c r="J7" s="267"/>
      <c r="K7" s="267"/>
      <c r="L7" s="267"/>
      <c r="M7" s="267"/>
      <c r="N7" s="267"/>
      <c r="O7" s="267"/>
      <c r="P7" s="267"/>
      <c r="Q7" s="267"/>
      <c r="S7" s="267"/>
      <c r="T7" s="267" t="s">
        <v>355</v>
      </c>
      <c r="U7" s="309"/>
      <c r="V7" s="310"/>
      <c r="W7" s="310"/>
      <c r="X7" s="309"/>
      <c r="Y7" s="297"/>
      <c r="Z7" s="297"/>
      <c r="AA7" s="297"/>
      <c r="AB7" s="297"/>
      <c r="AC7" s="297"/>
      <c r="AD7" s="297"/>
      <c r="AE7" s="297"/>
      <c r="AF7" s="297"/>
      <c r="AG7" s="297"/>
      <c r="AH7" s="297"/>
      <c r="AI7" s="297"/>
      <c r="AJ7" s="297"/>
      <c r="AK7" s="297"/>
      <c r="AL7" s="297"/>
      <c r="AM7" s="297"/>
      <c r="AN7" s="297"/>
      <c r="AO7" s="297"/>
      <c r="AP7" s="297"/>
      <c r="AQ7" s="297"/>
      <c r="AR7" s="297"/>
      <c r="AS7" s="297"/>
      <c r="AT7" s="297"/>
      <c r="AU7" s="297"/>
      <c r="AV7" s="297"/>
      <c r="AW7" s="297"/>
      <c r="AX7" s="297"/>
      <c r="AY7" s="297"/>
      <c r="AZ7" s="297"/>
      <c r="BA7" s="297"/>
      <c r="BB7" s="297"/>
      <c r="BC7" s="297"/>
      <c r="BD7" s="297"/>
      <c r="BE7" s="297"/>
      <c r="BF7" s="297"/>
      <c r="BG7" s="297"/>
      <c r="BH7" s="297"/>
      <c r="BI7" s="297"/>
      <c r="BJ7" s="297"/>
      <c r="BK7" s="297"/>
      <c r="BL7" s="297"/>
      <c r="BM7" s="297"/>
      <c r="BN7" s="297"/>
      <c r="BO7" s="297"/>
      <c r="BP7" s="297"/>
      <c r="BQ7" s="297"/>
      <c r="BR7" s="297"/>
      <c r="BS7" s="297"/>
    </row>
    <row r="8" spans="2:71">
      <c r="B8" s="313"/>
      <c r="D8" s="267"/>
      <c r="E8" s="267"/>
      <c r="F8" s="267"/>
      <c r="G8" s="267"/>
      <c r="H8" s="267"/>
      <c r="I8" s="267"/>
      <c r="J8" s="314"/>
      <c r="K8" s="315" t="s">
        <v>5</v>
      </c>
      <c r="L8" s="315"/>
      <c r="M8" s="314"/>
      <c r="N8" s="267"/>
      <c r="O8" s="267"/>
      <c r="P8" s="267"/>
      <c r="Q8" s="267"/>
      <c r="R8" s="267"/>
      <c r="S8" s="267"/>
      <c r="T8" s="267"/>
      <c r="U8" s="309"/>
      <c r="V8" s="310"/>
      <c r="W8" s="310"/>
      <c r="X8" s="309"/>
      <c r="Y8" s="297"/>
      <c r="Z8" s="297"/>
      <c r="AA8" s="297"/>
      <c r="AB8" s="297"/>
      <c r="AC8" s="297"/>
      <c r="AD8" s="297"/>
      <c r="AE8" s="297"/>
      <c r="AF8" s="297"/>
      <c r="AG8" s="297"/>
      <c r="AH8" s="297"/>
      <c r="AI8" s="297"/>
      <c r="AJ8" s="297"/>
      <c r="AK8" s="297"/>
      <c r="AL8" s="297"/>
      <c r="AM8" s="297"/>
      <c r="AN8" s="297"/>
      <c r="AO8" s="297"/>
      <c r="AP8" s="297"/>
      <c r="AQ8" s="297"/>
      <c r="AR8" s="297"/>
      <c r="AS8" s="297"/>
      <c r="AT8" s="297"/>
      <c r="AU8" s="297"/>
      <c r="AV8" s="297"/>
      <c r="AW8" s="297"/>
      <c r="AX8" s="297"/>
      <c r="AY8" s="297"/>
      <c r="AZ8" s="297"/>
      <c r="BA8" s="297"/>
      <c r="BB8" s="297"/>
      <c r="BC8" s="297"/>
      <c r="BD8" s="297"/>
      <c r="BE8" s="297"/>
      <c r="BF8" s="297"/>
      <c r="BG8" s="297"/>
      <c r="BH8" s="297"/>
      <c r="BI8" s="297"/>
      <c r="BJ8" s="297"/>
      <c r="BK8" s="297"/>
      <c r="BL8" s="297"/>
      <c r="BM8" s="297"/>
      <c r="BN8" s="297"/>
      <c r="BO8" s="297"/>
      <c r="BP8" s="297"/>
      <c r="BQ8" s="297"/>
      <c r="BR8" s="297"/>
      <c r="BS8" s="297"/>
    </row>
    <row r="9" spans="2:71">
      <c r="B9" s="313"/>
      <c r="D9" s="267"/>
      <c r="E9" s="267"/>
      <c r="F9" s="267"/>
      <c r="G9" s="267"/>
      <c r="H9" s="267"/>
      <c r="I9" s="267"/>
      <c r="J9" s="267"/>
      <c r="K9" s="316"/>
      <c r="L9" s="316"/>
      <c r="M9" s="267"/>
      <c r="N9" s="267"/>
      <c r="O9" s="267"/>
      <c r="P9" s="267"/>
      <c r="Q9" s="267"/>
      <c r="R9" s="267"/>
      <c r="S9" s="267"/>
      <c r="T9" s="267"/>
      <c r="U9" s="309"/>
      <c r="V9" s="310"/>
      <c r="W9" s="310"/>
      <c r="X9" s="309"/>
      <c r="Y9" s="297"/>
      <c r="Z9" s="297"/>
      <c r="AA9" s="297"/>
      <c r="AB9" s="297"/>
      <c r="AC9" s="297"/>
      <c r="AD9" s="297"/>
      <c r="AE9" s="297"/>
      <c r="AF9" s="297"/>
      <c r="AG9" s="297"/>
      <c r="AH9" s="297"/>
      <c r="AI9" s="297"/>
      <c r="AJ9" s="297"/>
      <c r="AK9" s="297"/>
      <c r="AL9" s="297"/>
      <c r="AM9" s="297"/>
      <c r="AN9" s="297"/>
      <c r="AO9" s="297"/>
      <c r="AP9" s="297"/>
      <c r="AQ9" s="297"/>
      <c r="AR9" s="297"/>
      <c r="AS9" s="297"/>
      <c r="AT9" s="297"/>
      <c r="AU9" s="297"/>
      <c r="AV9" s="297"/>
      <c r="AW9" s="297"/>
      <c r="AX9" s="297"/>
      <c r="AY9" s="297"/>
      <c r="AZ9" s="297"/>
      <c r="BA9" s="297"/>
      <c r="BB9" s="297"/>
      <c r="BC9" s="297"/>
      <c r="BD9" s="297"/>
      <c r="BE9" s="297"/>
      <c r="BF9" s="297"/>
      <c r="BG9" s="297"/>
      <c r="BH9" s="297"/>
      <c r="BI9" s="297"/>
      <c r="BJ9" s="297"/>
      <c r="BK9" s="297"/>
      <c r="BL9" s="297"/>
      <c r="BM9" s="297"/>
      <c r="BN9" s="297"/>
      <c r="BO9" s="297"/>
      <c r="BP9" s="297"/>
      <c r="BQ9" s="297"/>
      <c r="BR9" s="297"/>
      <c r="BS9" s="297"/>
    </row>
    <row r="10" spans="2:71">
      <c r="B10" s="313"/>
      <c r="D10" s="267" t="s">
        <v>356</v>
      </c>
      <c r="E10" s="267"/>
      <c r="F10" s="267"/>
      <c r="G10" s="267"/>
      <c r="H10" s="267"/>
      <c r="I10" s="267"/>
      <c r="J10" s="267"/>
      <c r="K10" s="316"/>
      <c r="L10" s="316"/>
      <c r="M10" s="267"/>
      <c r="N10" s="267"/>
      <c r="O10" s="267"/>
      <c r="P10" s="267"/>
      <c r="Q10" s="267"/>
      <c r="R10" s="267"/>
      <c r="S10" s="267"/>
      <c r="T10" s="267"/>
      <c r="U10" s="309"/>
      <c r="V10" s="310"/>
      <c r="W10" s="310"/>
      <c r="X10" s="309"/>
      <c r="Y10" s="297"/>
      <c r="Z10" s="297"/>
      <c r="AA10" s="297"/>
      <c r="AB10" s="297"/>
      <c r="AC10" s="297"/>
      <c r="AD10" s="297"/>
      <c r="AE10" s="297"/>
      <c r="AF10" s="297"/>
      <c r="AG10" s="297"/>
      <c r="AH10" s="297"/>
      <c r="AI10" s="297"/>
      <c r="AJ10" s="297"/>
      <c r="AK10" s="297"/>
      <c r="AL10" s="297"/>
      <c r="AM10" s="297"/>
      <c r="AN10" s="297"/>
      <c r="AO10" s="297"/>
      <c r="AP10" s="297"/>
      <c r="AQ10" s="297"/>
      <c r="AR10" s="297"/>
      <c r="AS10" s="297"/>
      <c r="AT10" s="297"/>
      <c r="AU10" s="297"/>
      <c r="AV10" s="297"/>
      <c r="AW10" s="297"/>
      <c r="AX10" s="297"/>
      <c r="AY10" s="297"/>
      <c r="AZ10" s="297"/>
      <c r="BA10" s="297"/>
      <c r="BB10" s="297"/>
      <c r="BC10" s="297"/>
      <c r="BD10" s="297"/>
      <c r="BE10" s="297"/>
      <c r="BF10" s="297"/>
      <c r="BG10" s="297"/>
      <c r="BH10" s="297"/>
      <c r="BI10" s="297"/>
      <c r="BJ10" s="297"/>
      <c r="BK10" s="297"/>
      <c r="BL10" s="297"/>
      <c r="BM10" s="297"/>
      <c r="BN10" s="297"/>
      <c r="BO10" s="297"/>
      <c r="BP10" s="297"/>
      <c r="BQ10" s="297"/>
      <c r="BR10" s="297"/>
      <c r="BS10" s="297"/>
    </row>
    <row r="11" spans="2:71">
      <c r="B11" s="313"/>
      <c r="D11" s="317" t="s">
        <v>472</v>
      </c>
      <c r="E11" s="267"/>
      <c r="F11" s="267"/>
      <c r="G11" s="267"/>
      <c r="H11" s="267"/>
      <c r="I11" s="267"/>
      <c r="J11" s="267"/>
      <c r="K11" s="316"/>
      <c r="L11" s="316"/>
      <c r="R11" s="267"/>
      <c r="S11" s="267"/>
      <c r="T11" s="267"/>
      <c r="U11" s="309"/>
      <c r="V11" s="309"/>
      <c r="W11" s="309"/>
      <c r="X11" s="309"/>
      <c r="Y11" s="297"/>
      <c r="Z11" s="297"/>
      <c r="AA11" s="297"/>
      <c r="AB11" s="297"/>
      <c r="AC11" s="297"/>
      <c r="AD11" s="297"/>
      <c r="AE11" s="297"/>
      <c r="AF11" s="297"/>
      <c r="AG11" s="297"/>
      <c r="AH11" s="297"/>
      <c r="AI11" s="297"/>
      <c r="AJ11" s="297"/>
      <c r="AK11" s="297"/>
      <c r="AL11" s="297"/>
      <c r="AM11" s="297"/>
      <c r="AN11" s="297"/>
      <c r="AO11" s="297"/>
      <c r="AP11" s="297"/>
      <c r="AQ11" s="297"/>
      <c r="AR11" s="297"/>
      <c r="AS11" s="297"/>
      <c r="AT11" s="297"/>
      <c r="AU11" s="297"/>
      <c r="AV11" s="297"/>
      <c r="AW11" s="297"/>
      <c r="AX11" s="297"/>
      <c r="AY11" s="297"/>
      <c r="AZ11" s="297"/>
      <c r="BA11" s="297"/>
      <c r="BB11" s="297"/>
      <c r="BC11" s="297"/>
      <c r="BD11" s="297"/>
      <c r="BE11" s="297"/>
      <c r="BF11" s="297"/>
      <c r="BG11" s="297"/>
      <c r="BH11" s="297"/>
      <c r="BI11" s="297"/>
      <c r="BJ11" s="297"/>
      <c r="BK11" s="297"/>
      <c r="BL11" s="297"/>
      <c r="BM11" s="297"/>
      <c r="BN11" s="297"/>
      <c r="BO11" s="297"/>
      <c r="BP11" s="297"/>
      <c r="BQ11" s="297"/>
      <c r="BR11" s="297"/>
      <c r="BS11" s="297"/>
    </row>
    <row r="12" spans="2:71">
      <c r="B12" s="313"/>
      <c r="D12" s="267"/>
      <c r="E12" s="267"/>
      <c r="F12" s="267"/>
      <c r="G12" s="267"/>
      <c r="H12" s="267"/>
      <c r="I12" s="267"/>
      <c r="J12" s="267"/>
      <c r="K12" s="267"/>
      <c r="L12" s="267"/>
      <c r="R12" s="318"/>
      <c r="S12" s="267"/>
      <c r="T12" s="267"/>
      <c r="U12" s="309"/>
      <c r="V12" s="309"/>
      <c r="W12" s="309"/>
      <c r="X12" s="309"/>
      <c r="Y12" s="297"/>
      <c r="Z12" s="297"/>
      <c r="AA12" s="297"/>
      <c r="AB12" s="297"/>
      <c r="AC12" s="297"/>
      <c r="AD12" s="297"/>
      <c r="AE12" s="297"/>
      <c r="AF12" s="297"/>
      <c r="AG12" s="297"/>
      <c r="AH12" s="297"/>
      <c r="AI12" s="297"/>
      <c r="AJ12" s="297"/>
      <c r="AK12" s="297"/>
      <c r="AL12" s="297"/>
      <c r="AM12" s="297"/>
      <c r="AN12" s="297"/>
      <c r="AO12" s="297"/>
      <c r="AP12" s="297"/>
      <c r="AQ12" s="297"/>
      <c r="AR12" s="297"/>
      <c r="AS12" s="297"/>
      <c r="AT12" s="297"/>
      <c r="AU12" s="297"/>
      <c r="AV12" s="297"/>
      <c r="AW12" s="297"/>
      <c r="AX12" s="297"/>
      <c r="AY12" s="297"/>
      <c r="AZ12" s="297"/>
      <c r="BA12" s="297"/>
      <c r="BB12" s="297"/>
      <c r="BC12" s="297"/>
      <c r="BD12" s="297"/>
      <c r="BE12" s="297"/>
      <c r="BF12" s="297"/>
      <c r="BG12" s="297"/>
      <c r="BH12" s="297"/>
      <c r="BI12" s="297"/>
      <c r="BJ12" s="297"/>
      <c r="BK12" s="297"/>
      <c r="BL12" s="297"/>
      <c r="BM12" s="297"/>
      <c r="BN12" s="297"/>
      <c r="BO12" s="297"/>
      <c r="BP12" s="297"/>
      <c r="BQ12" s="297"/>
      <c r="BR12" s="297"/>
      <c r="BS12" s="297"/>
    </row>
    <row r="13" spans="2:71">
      <c r="D13" s="319" t="s">
        <v>62</v>
      </c>
      <c r="E13" s="319"/>
      <c r="F13" s="319"/>
      <c r="G13" s="319"/>
      <c r="H13" s="319"/>
      <c r="I13" s="319" t="s">
        <v>63</v>
      </c>
      <c r="J13" s="319"/>
      <c r="K13" s="319" t="s">
        <v>64</v>
      </c>
      <c r="L13" s="319"/>
      <c r="M13" s="314" t="s">
        <v>65</v>
      </c>
      <c r="S13" s="311"/>
      <c r="T13" s="314"/>
      <c r="U13" s="320"/>
      <c r="V13" s="314"/>
      <c r="W13" s="320"/>
      <c r="X13" s="321"/>
      <c r="Y13" s="297"/>
      <c r="Z13" s="297"/>
      <c r="AA13" s="297"/>
      <c r="AB13" s="297"/>
      <c r="AC13" s="297"/>
      <c r="AD13" s="297"/>
      <c r="AE13" s="297"/>
      <c r="AF13" s="297"/>
      <c r="AG13" s="297"/>
      <c r="AH13" s="297"/>
      <c r="AI13" s="297"/>
      <c r="AJ13" s="297"/>
      <c r="AK13" s="297"/>
      <c r="AL13" s="297"/>
      <c r="AM13" s="297"/>
      <c r="AN13" s="297"/>
      <c r="AO13" s="297"/>
      <c r="AP13" s="297"/>
      <c r="AQ13" s="297"/>
      <c r="AR13" s="297"/>
      <c r="AS13" s="297"/>
      <c r="AT13" s="297"/>
      <c r="AU13" s="297"/>
      <c r="AV13" s="297"/>
      <c r="AW13" s="297"/>
      <c r="AX13" s="297"/>
      <c r="AY13" s="297"/>
      <c r="AZ13" s="297"/>
      <c r="BA13" s="297"/>
      <c r="BB13" s="297"/>
      <c r="BC13" s="297"/>
      <c r="BD13" s="297"/>
      <c r="BE13" s="297"/>
      <c r="BF13" s="297"/>
      <c r="BG13" s="297"/>
      <c r="BH13" s="297"/>
      <c r="BI13" s="297"/>
      <c r="BJ13" s="297"/>
      <c r="BK13" s="297"/>
      <c r="BL13" s="297"/>
      <c r="BM13" s="297"/>
      <c r="BN13" s="297"/>
      <c r="BO13" s="297"/>
      <c r="BP13" s="297"/>
      <c r="BQ13" s="297"/>
      <c r="BR13" s="297"/>
      <c r="BS13" s="297"/>
    </row>
    <row r="14" spans="2:71" ht="15.75">
      <c r="B14" s="297"/>
      <c r="C14" s="297"/>
      <c r="D14" s="322"/>
      <c r="E14" s="322"/>
      <c r="F14" s="322"/>
      <c r="G14" s="322"/>
      <c r="H14" s="322"/>
      <c r="I14" s="323" t="s">
        <v>357</v>
      </c>
      <c r="J14" s="323"/>
      <c r="K14" s="311"/>
      <c r="L14" s="311"/>
      <c r="S14" s="311"/>
      <c r="U14" s="320"/>
      <c r="V14" s="324"/>
      <c r="W14" s="324"/>
      <c r="X14" s="321"/>
      <c r="Y14" s="297"/>
      <c r="Z14" s="297"/>
      <c r="AA14" s="297"/>
      <c r="AB14" s="297"/>
      <c r="AC14" s="297"/>
      <c r="AD14" s="297"/>
      <c r="AE14" s="297"/>
      <c r="AF14" s="297"/>
      <c r="AG14" s="297"/>
      <c r="AH14" s="297"/>
      <c r="AI14" s="297"/>
      <c r="AJ14" s="297"/>
      <c r="AK14" s="297"/>
      <c r="AL14" s="297"/>
      <c r="AM14" s="297"/>
      <c r="AN14" s="297"/>
      <c r="AO14" s="297"/>
      <c r="AP14" s="297"/>
      <c r="AQ14" s="297"/>
      <c r="AR14" s="297"/>
      <c r="AS14" s="297"/>
      <c r="AT14" s="297"/>
      <c r="AU14" s="297"/>
      <c r="AV14" s="297"/>
      <c r="AW14" s="297"/>
      <c r="AX14" s="297"/>
      <c r="AY14" s="297"/>
      <c r="AZ14" s="297"/>
      <c r="BA14" s="297"/>
      <c r="BB14" s="297"/>
      <c r="BC14" s="297"/>
      <c r="BD14" s="297"/>
      <c r="BE14" s="297"/>
      <c r="BF14" s="297"/>
      <c r="BG14" s="297"/>
      <c r="BH14" s="297"/>
      <c r="BI14" s="297"/>
      <c r="BJ14" s="297"/>
      <c r="BK14" s="297"/>
      <c r="BL14" s="297"/>
      <c r="BM14" s="297"/>
      <c r="BN14" s="297"/>
      <c r="BO14" s="297"/>
      <c r="BP14" s="297"/>
      <c r="BQ14" s="297"/>
      <c r="BR14" s="297"/>
      <c r="BS14" s="297"/>
    </row>
    <row r="15" spans="2:71" ht="15.75">
      <c r="B15" s="325" t="s">
        <v>8</v>
      </c>
      <c r="C15" s="297"/>
      <c r="D15" s="322"/>
      <c r="E15" s="322"/>
      <c r="F15" s="322"/>
      <c r="G15" s="322"/>
      <c r="H15" s="322"/>
      <c r="I15" s="326" t="s">
        <v>69</v>
      </c>
      <c r="J15" s="326"/>
      <c r="K15" s="327" t="s">
        <v>68</v>
      </c>
      <c r="L15" s="327"/>
      <c r="M15" s="327" t="s">
        <v>16</v>
      </c>
      <c r="S15" s="311"/>
      <c r="U15" s="309"/>
      <c r="V15" s="328"/>
      <c r="W15" s="324"/>
      <c r="X15" s="321"/>
      <c r="Y15" s="297"/>
      <c r="Z15" s="297"/>
      <c r="AA15" s="297"/>
      <c r="AB15" s="297"/>
      <c r="AC15" s="297"/>
      <c r="AD15" s="297"/>
      <c r="AE15" s="297"/>
      <c r="AF15" s="297"/>
      <c r="AG15" s="297"/>
      <c r="AH15" s="297"/>
      <c r="AI15" s="297"/>
      <c r="AJ15" s="297"/>
      <c r="AK15" s="297"/>
      <c r="AL15" s="297"/>
      <c r="AM15" s="297"/>
      <c r="AN15" s="297"/>
      <c r="AO15" s="297"/>
      <c r="AP15" s="297"/>
      <c r="AQ15" s="297"/>
      <c r="AR15" s="297"/>
      <c r="AS15" s="297"/>
      <c r="AT15" s="297"/>
      <c r="AU15" s="297"/>
      <c r="AV15" s="297"/>
      <c r="AW15" s="297"/>
      <c r="AX15" s="297"/>
      <c r="AY15" s="297"/>
      <c r="AZ15" s="297"/>
      <c r="BA15" s="297"/>
      <c r="BB15" s="297"/>
      <c r="BC15" s="297"/>
      <c r="BD15" s="297"/>
      <c r="BE15" s="297"/>
      <c r="BF15" s="297"/>
      <c r="BG15" s="297"/>
      <c r="BH15" s="297"/>
      <c r="BI15" s="297"/>
      <c r="BJ15" s="297"/>
      <c r="BK15" s="297"/>
      <c r="BL15" s="297"/>
      <c r="BM15" s="297"/>
      <c r="BN15" s="297"/>
      <c r="BO15" s="297"/>
      <c r="BP15" s="297"/>
      <c r="BQ15" s="297"/>
      <c r="BR15" s="297"/>
      <c r="BS15" s="297"/>
    </row>
    <row r="16" spans="2:71" ht="15.75">
      <c r="B16" s="325" t="s">
        <v>10</v>
      </c>
      <c r="C16" s="297"/>
      <c r="D16" s="329"/>
      <c r="E16" s="329"/>
      <c r="F16" s="329"/>
      <c r="G16" s="329"/>
      <c r="H16" s="329"/>
      <c r="I16" s="311"/>
      <c r="J16" s="311"/>
      <c r="K16" s="311"/>
      <c r="L16" s="311"/>
      <c r="M16" s="311"/>
      <c r="S16" s="311"/>
      <c r="T16" s="311"/>
      <c r="U16" s="309"/>
      <c r="V16" s="320"/>
      <c r="W16" s="320"/>
      <c r="X16" s="321"/>
      <c r="Y16" s="297"/>
      <c r="Z16" s="297"/>
      <c r="AA16" s="297"/>
      <c r="AB16" s="297"/>
      <c r="AC16" s="297"/>
      <c r="AD16" s="297"/>
      <c r="AE16" s="297"/>
      <c r="AF16" s="297"/>
      <c r="AG16" s="297"/>
      <c r="AH16" s="297"/>
      <c r="AI16" s="297"/>
      <c r="AJ16" s="297"/>
      <c r="AK16" s="297"/>
      <c r="AL16" s="297"/>
      <c r="AM16" s="297"/>
      <c r="AN16" s="297"/>
      <c r="AO16" s="297"/>
      <c r="AP16" s="297"/>
      <c r="AQ16" s="297"/>
      <c r="AR16" s="297"/>
      <c r="AS16" s="297"/>
      <c r="AT16" s="297"/>
      <c r="AU16" s="297"/>
      <c r="AV16" s="297"/>
      <c r="AW16" s="297"/>
      <c r="AX16" s="297"/>
      <c r="AY16" s="297"/>
      <c r="AZ16" s="297"/>
      <c r="BA16" s="297"/>
      <c r="BB16" s="297"/>
      <c r="BC16" s="297"/>
      <c r="BD16" s="297"/>
      <c r="BE16" s="297"/>
      <c r="BF16" s="297"/>
      <c r="BG16" s="297"/>
      <c r="BH16" s="297"/>
      <c r="BI16" s="297"/>
      <c r="BJ16" s="297"/>
      <c r="BK16" s="297"/>
      <c r="BL16" s="297"/>
      <c r="BM16" s="297"/>
      <c r="BN16" s="297"/>
      <c r="BO16" s="297"/>
      <c r="BP16" s="297"/>
      <c r="BQ16" s="297"/>
      <c r="BR16" s="297"/>
      <c r="BS16" s="297"/>
    </row>
    <row r="17" spans="2:71" ht="15.75">
      <c r="B17" s="330"/>
      <c r="C17" s="297"/>
      <c r="D17" s="322"/>
      <c r="E17" s="322"/>
      <c r="F17" s="322"/>
      <c r="G17" s="322"/>
      <c r="H17" s="322"/>
      <c r="I17" s="311"/>
      <c r="J17" s="311"/>
      <c r="K17" s="311"/>
      <c r="L17" s="311"/>
      <c r="M17" s="311"/>
      <c r="S17" s="311"/>
      <c r="T17" s="311"/>
      <c r="U17" s="309"/>
      <c r="V17" s="320"/>
      <c r="W17" s="320"/>
      <c r="X17" s="321"/>
      <c r="Y17" s="297"/>
      <c r="Z17" s="297"/>
      <c r="AA17" s="297"/>
      <c r="AB17" s="297"/>
      <c r="AC17" s="297"/>
      <c r="AD17" s="297"/>
      <c r="AE17" s="297"/>
      <c r="AF17" s="297"/>
      <c r="AG17" s="297"/>
      <c r="AH17" s="297"/>
      <c r="AI17" s="297"/>
      <c r="AJ17" s="297"/>
      <c r="AK17" s="297"/>
      <c r="AL17" s="297"/>
      <c r="AM17" s="297"/>
      <c r="AN17" s="297"/>
      <c r="AO17" s="297"/>
      <c r="AP17" s="297"/>
      <c r="AQ17" s="297"/>
      <c r="AR17" s="297"/>
      <c r="AS17" s="297"/>
      <c r="AT17" s="297"/>
      <c r="AU17" s="297"/>
      <c r="AV17" s="297"/>
      <c r="AW17" s="297"/>
      <c r="AX17" s="297"/>
      <c r="AY17" s="297"/>
      <c r="AZ17" s="297"/>
      <c r="BA17" s="297"/>
      <c r="BB17" s="297"/>
      <c r="BC17" s="297"/>
      <c r="BD17" s="297"/>
      <c r="BE17" s="297"/>
      <c r="BF17" s="297"/>
      <c r="BG17" s="297"/>
      <c r="BH17" s="297"/>
      <c r="BI17" s="297"/>
      <c r="BJ17" s="297"/>
      <c r="BK17" s="297"/>
      <c r="BL17" s="297"/>
      <c r="BM17" s="297"/>
      <c r="BN17" s="297"/>
      <c r="BO17" s="297"/>
      <c r="BP17" s="297"/>
      <c r="BQ17" s="297"/>
      <c r="BR17" s="297"/>
      <c r="BS17" s="297"/>
    </row>
    <row r="18" spans="2:71">
      <c r="B18" s="331">
        <v>1</v>
      </c>
      <c r="C18" s="297"/>
      <c r="D18" s="322" t="s">
        <v>358</v>
      </c>
      <c r="E18" s="322"/>
      <c r="F18" s="322"/>
      <c r="G18" s="322"/>
      <c r="H18" s="322"/>
      <c r="I18" s="332" t="s">
        <v>473</v>
      </c>
      <c r="J18" s="332"/>
      <c r="K18" s="333">
        <f>'ATC Attach O ER13-1181'!I87+'ATC Attach O ER13-1181'!I88</f>
        <v>4149327607.2907691</v>
      </c>
      <c r="L18" s="311"/>
      <c r="S18" s="311"/>
      <c r="T18" s="311"/>
      <c r="U18" s="309"/>
      <c r="V18" s="320"/>
      <c r="W18" s="320"/>
      <c r="X18" s="321"/>
      <c r="Y18" s="297"/>
      <c r="Z18" s="297"/>
      <c r="AA18" s="297"/>
      <c r="AB18" s="297"/>
      <c r="AC18" s="297"/>
      <c r="AD18" s="297"/>
      <c r="AE18" s="297"/>
      <c r="AF18" s="297"/>
      <c r="AG18" s="297"/>
      <c r="AH18" s="297"/>
      <c r="AI18" s="297"/>
      <c r="AJ18" s="297"/>
      <c r="AK18" s="297"/>
      <c r="AL18" s="297"/>
      <c r="AM18" s="297"/>
      <c r="AN18" s="297"/>
      <c r="AO18" s="297"/>
      <c r="AP18" s="297"/>
      <c r="AQ18" s="297"/>
      <c r="AR18" s="297"/>
      <c r="AS18" s="297"/>
      <c r="AT18" s="297"/>
      <c r="AU18" s="297"/>
      <c r="AV18" s="297"/>
      <c r="AW18" s="297"/>
      <c r="AX18" s="297"/>
      <c r="AY18" s="297"/>
      <c r="AZ18" s="297"/>
      <c r="BA18" s="297"/>
      <c r="BB18" s="297"/>
      <c r="BC18" s="297"/>
      <c r="BD18" s="297"/>
      <c r="BE18" s="297"/>
      <c r="BF18" s="297"/>
      <c r="BG18" s="297"/>
      <c r="BH18" s="297"/>
      <c r="BI18" s="297"/>
      <c r="BJ18" s="297"/>
      <c r="BK18" s="297"/>
      <c r="BL18" s="297"/>
      <c r="BM18" s="297"/>
      <c r="BN18" s="297"/>
      <c r="BO18" s="297"/>
      <c r="BP18" s="297"/>
      <c r="BQ18" s="297"/>
      <c r="BR18" s="297"/>
      <c r="BS18" s="297"/>
    </row>
    <row r="19" spans="2:71">
      <c r="B19" s="331" t="s">
        <v>142</v>
      </c>
      <c r="C19" s="297"/>
      <c r="D19" s="322" t="s">
        <v>474</v>
      </c>
      <c r="E19" s="322"/>
      <c r="F19" s="322"/>
      <c r="G19" s="322"/>
      <c r="H19" s="322"/>
      <c r="I19" s="332" t="s">
        <v>475</v>
      </c>
      <c r="J19" s="332"/>
      <c r="K19" s="334">
        <f>'ATC Attach O ER13-1181'!I96+'ATC Attach O ER13-1181'!I97</f>
        <v>990179502.54485977</v>
      </c>
      <c r="L19" s="335"/>
      <c r="S19" s="311"/>
      <c r="T19" s="311"/>
      <c r="U19" s="309"/>
      <c r="V19" s="320"/>
      <c r="W19" s="320"/>
      <c r="X19" s="321"/>
      <c r="Y19" s="297"/>
      <c r="Z19" s="297"/>
      <c r="AA19" s="297"/>
      <c r="AB19" s="297"/>
      <c r="AC19" s="297"/>
      <c r="AD19" s="297"/>
      <c r="AE19" s="297"/>
      <c r="AF19" s="297"/>
      <c r="AG19" s="297"/>
      <c r="AH19" s="297"/>
      <c r="AI19" s="297"/>
      <c r="AJ19" s="297"/>
      <c r="AK19" s="297"/>
      <c r="AL19" s="297"/>
      <c r="AM19" s="297"/>
      <c r="AN19" s="297"/>
      <c r="AO19" s="297"/>
      <c r="AP19" s="297"/>
      <c r="AQ19" s="297"/>
      <c r="AR19" s="297"/>
      <c r="AS19" s="297"/>
      <c r="AT19" s="297"/>
      <c r="AU19" s="297"/>
      <c r="AV19" s="297"/>
      <c r="AW19" s="297"/>
      <c r="AX19" s="297"/>
      <c r="AY19" s="297"/>
      <c r="AZ19" s="297"/>
      <c r="BA19" s="297"/>
      <c r="BB19" s="297"/>
      <c r="BC19" s="297"/>
      <c r="BD19" s="297"/>
      <c r="BE19" s="297"/>
      <c r="BF19" s="297"/>
      <c r="BG19" s="297"/>
      <c r="BH19" s="297"/>
      <c r="BI19" s="297"/>
      <c r="BJ19" s="297"/>
      <c r="BK19" s="297"/>
      <c r="BL19" s="297"/>
      <c r="BM19" s="297"/>
      <c r="BN19" s="297"/>
      <c r="BO19" s="297"/>
      <c r="BP19" s="297"/>
      <c r="BQ19" s="297"/>
      <c r="BR19" s="297"/>
      <c r="BS19" s="297"/>
    </row>
    <row r="20" spans="2:71">
      <c r="B20" s="331">
        <v>2</v>
      </c>
      <c r="C20" s="297"/>
      <c r="D20" s="322" t="s">
        <v>360</v>
      </c>
      <c r="E20" s="322"/>
      <c r="F20" s="322"/>
      <c r="G20" s="322"/>
      <c r="H20" s="322"/>
      <c r="I20" s="332" t="s">
        <v>476</v>
      </c>
      <c r="J20" s="332"/>
      <c r="K20" s="336">
        <f>K18-K19</f>
        <v>3159148104.7459092</v>
      </c>
      <c r="L20" s="337"/>
      <c r="S20" s="311"/>
      <c r="T20" s="311"/>
      <c r="U20" s="309"/>
      <c r="V20" s="320"/>
      <c r="W20" s="320"/>
      <c r="X20" s="321"/>
      <c r="Y20" s="297"/>
      <c r="Z20" s="297"/>
      <c r="AA20" s="297"/>
      <c r="AB20" s="297"/>
      <c r="AC20" s="297"/>
      <c r="AD20" s="297"/>
      <c r="AE20" s="297"/>
      <c r="AF20" s="297"/>
      <c r="AG20" s="297"/>
      <c r="AH20" s="297"/>
      <c r="AI20" s="297"/>
      <c r="AJ20" s="297"/>
      <c r="AK20" s="297"/>
      <c r="AL20" s="297"/>
      <c r="AM20" s="297"/>
      <c r="AN20" s="297"/>
      <c r="AO20" s="297"/>
      <c r="AP20" s="297"/>
      <c r="AQ20" s="297"/>
      <c r="AR20" s="297"/>
      <c r="AS20" s="297"/>
      <c r="AT20" s="297"/>
      <c r="AU20" s="297"/>
      <c r="AV20" s="297"/>
      <c r="AW20" s="297"/>
      <c r="AX20" s="297"/>
      <c r="AY20" s="297"/>
      <c r="AZ20" s="297"/>
      <c r="BA20" s="297"/>
      <c r="BB20" s="297"/>
      <c r="BC20" s="297"/>
      <c r="BD20" s="297"/>
      <c r="BE20" s="297"/>
      <c r="BF20" s="297"/>
      <c r="BG20" s="297"/>
      <c r="BH20" s="297"/>
      <c r="BI20" s="297"/>
      <c r="BJ20" s="297"/>
      <c r="BK20" s="297"/>
      <c r="BL20" s="297"/>
      <c r="BM20" s="297"/>
      <c r="BN20" s="297"/>
      <c r="BO20" s="297"/>
      <c r="BP20" s="297"/>
      <c r="BQ20" s="297"/>
      <c r="BR20" s="297"/>
      <c r="BS20" s="297"/>
    </row>
    <row r="21" spans="2:71">
      <c r="B21" s="331"/>
      <c r="C21" s="297"/>
      <c r="D21" s="297"/>
      <c r="E21" s="297"/>
      <c r="F21" s="297"/>
      <c r="G21" s="297"/>
      <c r="H21" s="297"/>
      <c r="I21" s="332"/>
      <c r="J21" s="332"/>
      <c r="S21" s="311"/>
      <c r="T21" s="311"/>
      <c r="U21" s="309"/>
      <c r="V21" s="320"/>
      <c r="W21" s="320"/>
      <c r="X21" s="321"/>
      <c r="Y21" s="297"/>
      <c r="Z21" s="297"/>
      <c r="AA21" s="297"/>
      <c r="AB21" s="297"/>
      <c r="AC21" s="297"/>
      <c r="AD21" s="297"/>
      <c r="AE21" s="297"/>
      <c r="AF21" s="297"/>
      <c r="AG21" s="297"/>
      <c r="AH21" s="297"/>
      <c r="AI21" s="297"/>
      <c r="AJ21" s="297"/>
      <c r="AK21" s="297"/>
      <c r="AL21" s="297"/>
      <c r="AM21" s="297"/>
      <c r="AN21" s="297"/>
      <c r="AO21" s="297"/>
      <c r="AP21" s="297"/>
      <c r="AQ21" s="297"/>
      <c r="AR21" s="297"/>
      <c r="AS21" s="297"/>
      <c r="AT21" s="297"/>
      <c r="AU21" s="297"/>
      <c r="AV21" s="297"/>
      <c r="AW21" s="297"/>
      <c r="AX21" s="297"/>
      <c r="AY21" s="297"/>
      <c r="AZ21" s="297"/>
      <c r="BA21" s="297"/>
      <c r="BB21" s="297"/>
      <c r="BC21" s="297"/>
      <c r="BD21" s="297"/>
      <c r="BE21" s="297"/>
      <c r="BF21" s="297"/>
      <c r="BG21" s="297"/>
      <c r="BH21" s="297"/>
      <c r="BI21" s="297"/>
      <c r="BJ21" s="297"/>
      <c r="BK21" s="297"/>
      <c r="BL21" s="297"/>
      <c r="BM21" s="297"/>
      <c r="BN21" s="297"/>
      <c r="BO21" s="297"/>
      <c r="BP21" s="297"/>
      <c r="BQ21" s="297"/>
      <c r="BR21" s="297"/>
      <c r="BS21" s="297"/>
    </row>
    <row r="22" spans="2:71">
      <c r="B22" s="331"/>
      <c r="C22" s="297"/>
      <c r="D22" s="322" t="s">
        <v>477</v>
      </c>
      <c r="E22" s="322"/>
      <c r="F22" s="322"/>
      <c r="G22" s="322"/>
      <c r="H22" s="322"/>
      <c r="I22" s="332"/>
      <c r="J22" s="332"/>
      <c r="K22" s="311"/>
      <c r="L22" s="311"/>
      <c r="M22" s="311"/>
      <c r="S22" s="311"/>
      <c r="T22" s="311"/>
      <c r="U22" s="320"/>
      <c r="V22" s="320"/>
      <c r="W22" s="320"/>
      <c r="X22" s="321"/>
      <c r="Y22" s="297"/>
      <c r="Z22" s="297"/>
      <c r="AA22" s="297"/>
      <c r="AB22" s="297"/>
      <c r="AC22" s="297"/>
      <c r="AD22" s="297"/>
      <c r="AE22" s="297"/>
      <c r="AF22" s="297"/>
      <c r="AG22" s="297"/>
      <c r="AH22" s="297"/>
      <c r="AI22" s="297"/>
      <c r="AJ22" s="297"/>
      <c r="AK22" s="297"/>
      <c r="AL22" s="297"/>
      <c r="AM22" s="297"/>
      <c r="AN22" s="297"/>
      <c r="AO22" s="297"/>
      <c r="AP22" s="297"/>
      <c r="AQ22" s="297"/>
      <c r="AR22" s="297"/>
      <c r="AS22" s="297"/>
      <c r="AT22" s="297"/>
      <c r="AU22" s="297"/>
      <c r="AV22" s="297"/>
      <c r="AW22" s="297"/>
      <c r="AX22" s="297"/>
      <c r="AY22" s="297"/>
      <c r="AZ22" s="297"/>
      <c r="BA22" s="297"/>
      <c r="BB22" s="297"/>
      <c r="BC22" s="297"/>
      <c r="BD22" s="297"/>
      <c r="BE22" s="297"/>
      <c r="BF22" s="297"/>
      <c r="BG22" s="297"/>
      <c r="BH22" s="297"/>
      <c r="BI22" s="297"/>
      <c r="BJ22" s="297"/>
      <c r="BK22" s="297"/>
      <c r="BL22" s="297"/>
      <c r="BM22" s="297"/>
      <c r="BN22" s="297"/>
      <c r="BO22" s="297"/>
      <c r="BP22" s="297"/>
      <c r="BQ22" s="297"/>
      <c r="BR22" s="297"/>
      <c r="BS22" s="297"/>
    </row>
    <row r="23" spans="2:71">
      <c r="B23" s="331">
        <v>3</v>
      </c>
      <c r="C23" s="297"/>
      <c r="D23" s="322" t="s">
        <v>363</v>
      </c>
      <c r="E23" s="322"/>
      <c r="F23" s="322"/>
      <c r="G23" s="322"/>
      <c r="H23" s="322"/>
      <c r="I23" s="332" t="s">
        <v>364</v>
      </c>
      <c r="J23" s="332"/>
      <c r="K23" s="333">
        <f>'ATC Attach O ER13-1181'!I165</f>
        <v>146218483.97076175</v>
      </c>
      <c r="L23" s="311"/>
      <c r="S23" s="311"/>
      <c r="T23" s="311"/>
      <c r="U23" s="320"/>
      <c r="V23" s="320"/>
      <c r="W23" s="320"/>
      <c r="X23" s="321"/>
      <c r="Y23" s="297"/>
      <c r="Z23" s="297"/>
      <c r="AA23" s="297"/>
      <c r="AB23" s="297"/>
      <c r="AC23" s="297"/>
      <c r="AD23" s="297"/>
      <c r="AE23" s="297"/>
      <c r="AF23" s="297"/>
      <c r="AG23" s="297"/>
      <c r="AH23" s="297"/>
      <c r="AI23" s="297"/>
      <c r="AJ23" s="297"/>
      <c r="AK23" s="297"/>
      <c r="AL23" s="297"/>
      <c r="AM23" s="297"/>
      <c r="AN23" s="297"/>
      <c r="AO23" s="297"/>
      <c r="AP23" s="297"/>
      <c r="AQ23" s="297"/>
      <c r="AR23" s="297"/>
      <c r="AS23" s="297"/>
      <c r="AT23" s="297"/>
      <c r="AU23" s="297"/>
      <c r="AV23" s="297"/>
      <c r="AW23" s="297"/>
      <c r="AX23" s="297"/>
      <c r="AY23" s="297"/>
      <c r="AZ23" s="297"/>
      <c r="BA23" s="297"/>
      <c r="BB23" s="297"/>
      <c r="BC23" s="297"/>
      <c r="BD23" s="297"/>
      <c r="BE23" s="297"/>
      <c r="BF23" s="297"/>
      <c r="BG23" s="297"/>
      <c r="BH23" s="297"/>
      <c r="BI23" s="297"/>
      <c r="BJ23" s="297"/>
      <c r="BK23" s="297"/>
      <c r="BL23" s="297"/>
      <c r="BM23" s="297"/>
      <c r="BN23" s="297"/>
      <c r="BO23" s="297"/>
      <c r="BP23" s="297"/>
      <c r="BQ23" s="297"/>
      <c r="BR23" s="297"/>
      <c r="BS23" s="297"/>
    </row>
    <row r="24" spans="2:71">
      <c r="B24" s="331" t="s">
        <v>365</v>
      </c>
      <c r="C24" s="297"/>
      <c r="D24" s="322" t="s">
        <v>478</v>
      </c>
      <c r="E24" s="322"/>
      <c r="F24" s="322"/>
      <c r="G24" s="322"/>
      <c r="H24" s="322"/>
      <c r="I24" s="332" t="s">
        <v>479</v>
      </c>
      <c r="J24" s="332"/>
      <c r="K24" s="333">
        <f>'ATC Attach O ER13-1181'!I156</f>
        <v>103968530.5</v>
      </c>
      <c r="L24" s="311"/>
      <c r="S24" s="311"/>
      <c r="T24" s="311"/>
      <c r="U24" s="320"/>
      <c r="V24" s="320"/>
      <c r="W24" s="320"/>
      <c r="X24" s="321"/>
      <c r="Y24" s="297"/>
      <c r="Z24" s="297"/>
      <c r="AA24" s="297"/>
      <c r="AB24" s="297"/>
      <c r="AC24" s="297"/>
      <c r="AD24" s="297"/>
      <c r="AE24" s="297"/>
      <c r="AF24" s="297"/>
      <c r="AG24" s="297"/>
      <c r="AH24" s="297"/>
      <c r="AI24" s="297"/>
      <c r="AJ24" s="297"/>
      <c r="AK24" s="297"/>
      <c r="AL24" s="297"/>
      <c r="AM24" s="297"/>
      <c r="AN24" s="297"/>
      <c r="AO24" s="297"/>
      <c r="AP24" s="297"/>
      <c r="AQ24" s="297"/>
      <c r="AR24" s="297"/>
      <c r="AS24" s="297"/>
      <c r="AT24" s="297"/>
      <c r="AU24" s="297"/>
      <c r="AV24" s="297"/>
      <c r="AW24" s="297"/>
      <c r="AX24" s="297"/>
      <c r="AY24" s="297"/>
      <c r="AZ24" s="297"/>
      <c r="BA24" s="297"/>
      <c r="BB24" s="297"/>
      <c r="BC24" s="297"/>
      <c r="BD24" s="297"/>
      <c r="BE24" s="297"/>
      <c r="BF24" s="297"/>
      <c r="BG24" s="297"/>
      <c r="BH24" s="297"/>
      <c r="BI24" s="297"/>
      <c r="BJ24" s="297"/>
      <c r="BK24" s="297"/>
      <c r="BL24" s="297"/>
      <c r="BM24" s="297"/>
      <c r="BN24" s="297"/>
      <c r="BO24" s="297"/>
      <c r="BP24" s="297"/>
      <c r="BQ24" s="297"/>
      <c r="BR24" s="297"/>
      <c r="BS24" s="297"/>
    </row>
    <row r="25" spans="2:71" ht="32.25" customHeight="1">
      <c r="B25" s="331" t="s">
        <v>480</v>
      </c>
      <c r="C25" s="297"/>
      <c r="D25" s="322" t="s">
        <v>481</v>
      </c>
      <c r="E25" s="322"/>
      <c r="F25" s="322"/>
      <c r="G25" s="322"/>
      <c r="H25" s="738" t="s">
        <v>482</v>
      </c>
      <c r="I25" s="738"/>
      <c r="J25" s="738"/>
      <c r="K25" s="333">
        <v>19012033.280000001</v>
      </c>
      <c r="L25" s="311"/>
      <c r="S25" s="311"/>
      <c r="T25" s="311"/>
      <c r="U25" s="320"/>
      <c r="V25" s="320"/>
      <c r="W25" s="320"/>
      <c r="X25" s="321"/>
      <c r="Y25" s="297"/>
      <c r="Z25" s="297"/>
      <c r="AA25" s="297"/>
      <c r="AB25" s="297"/>
      <c r="AC25" s="297"/>
      <c r="AD25" s="297"/>
      <c r="AE25" s="297"/>
      <c r="AF25" s="297"/>
      <c r="AG25" s="297"/>
      <c r="AH25" s="297"/>
      <c r="AI25" s="297"/>
      <c r="AJ25" s="297"/>
      <c r="AK25" s="297"/>
      <c r="AL25" s="297"/>
      <c r="AM25" s="297"/>
      <c r="AN25" s="297"/>
      <c r="AO25" s="297"/>
      <c r="AP25" s="297"/>
      <c r="AQ25" s="297"/>
      <c r="AR25" s="297"/>
      <c r="AS25" s="297"/>
      <c r="AT25" s="297"/>
      <c r="AU25" s="297"/>
      <c r="AV25" s="297"/>
      <c r="AW25" s="297"/>
      <c r="AX25" s="297"/>
      <c r="AY25" s="297"/>
      <c r="AZ25" s="297"/>
      <c r="BA25" s="297"/>
      <c r="BB25" s="297"/>
      <c r="BC25" s="297"/>
      <c r="BD25" s="297"/>
      <c r="BE25" s="297"/>
      <c r="BF25" s="297"/>
      <c r="BG25" s="297"/>
      <c r="BH25" s="297"/>
      <c r="BI25" s="297"/>
      <c r="BJ25" s="297"/>
      <c r="BK25" s="297"/>
      <c r="BL25" s="297"/>
      <c r="BM25" s="297"/>
      <c r="BN25" s="297"/>
      <c r="BO25" s="297"/>
      <c r="BP25" s="297"/>
      <c r="BQ25" s="297"/>
      <c r="BR25" s="297"/>
      <c r="BS25" s="297"/>
    </row>
    <row r="26" spans="2:71">
      <c r="B26" s="331" t="s">
        <v>368</v>
      </c>
      <c r="C26" s="297"/>
      <c r="D26" s="322" t="s">
        <v>483</v>
      </c>
      <c r="E26" s="322"/>
      <c r="F26" s="322"/>
      <c r="G26" s="322"/>
      <c r="H26" s="322"/>
      <c r="I26" s="332" t="s">
        <v>484</v>
      </c>
      <c r="J26" s="332"/>
      <c r="K26" s="333">
        <f>'ATC Attach O ER13-1181'!I157</f>
        <v>0</v>
      </c>
      <c r="L26" s="311"/>
      <c r="S26" s="311"/>
      <c r="T26" s="311"/>
      <c r="U26" s="320"/>
      <c r="V26" s="320"/>
      <c r="W26" s="320"/>
      <c r="X26" s="321"/>
      <c r="Y26" s="297"/>
      <c r="Z26" s="297"/>
      <c r="AA26" s="297"/>
      <c r="AB26" s="297"/>
      <c r="AC26" s="297"/>
      <c r="AD26" s="297"/>
      <c r="AE26" s="297"/>
      <c r="AF26" s="297"/>
      <c r="AG26" s="297"/>
      <c r="AH26" s="297"/>
      <c r="AI26" s="297"/>
      <c r="AJ26" s="297"/>
      <c r="AK26" s="297"/>
      <c r="AL26" s="297"/>
      <c r="AM26" s="297"/>
      <c r="AN26" s="297"/>
      <c r="AO26" s="297"/>
      <c r="AP26" s="297"/>
      <c r="AQ26" s="297"/>
      <c r="AR26" s="297"/>
      <c r="AS26" s="297"/>
      <c r="AT26" s="297"/>
      <c r="AU26" s="297"/>
      <c r="AV26" s="297"/>
      <c r="AW26" s="297"/>
      <c r="AX26" s="297"/>
      <c r="AY26" s="297"/>
      <c r="AZ26" s="297"/>
      <c r="BA26" s="297"/>
      <c r="BB26" s="297"/>
      <c r="BC26" s="297"/>
      <c r="BD26" s="297"/>
      <c r="BE26" s="297"/>
      <c r="BF26" s="297"/>
      <c r="BG26" s="297"/>
      <c r="BH26" s="297"/>
      <c r="BI26" s="297"/>
      <c r="BJ26" s="297"/>
      <c r="BK26" s="297"/>
      <c r="BL26" s="297"/>
      <c r="BM26" s="297"/>
      <c r="BN26" s="297"/>
      <c r="BO26" s="297"/>
      <c r="BP26" s="297"/>
      <c r="BQ26" s="297"/>
      <c r="BR26" s="297"/>
      <c r="BS26" s="297"/>
    </row>
    <row r="27" spans="2:71">
      <c r="B27" s="331" t="s">
        <v>485</v>
      </c>
      <c r="C27" s="297"/>
      <c r="D27" s="322" t="s">
        <v>486</v>
      </c>
      <c r="E27" s="322"/>
      <c r="F27" s="322"/>
      <c r="G27" s="322"/>
      <c r="H27" s="322"/>
      <c r="I27" s="332" t="s">
        <v>487</v>
      </c>
      <c r="J27" s="332"/>
      <c r="K27" s="334">
        <f>'ATC Attach O ER13-1181'!I158</f>
        <v>0</v>
      </c>
      <c r="L27" s="335"/>
      <c r="S27" s="311"/>
      <c r="T27" s="311"/>
      <c r="U27" s="320"/>
      <c r="V27" s="320"/>
      <c r="W27" s="320"/>
      <c r="X27" s="321"/>
      <c r="Y27" s="297"/>
      <c r="Z27" s="297"/>
      <c r="AA27" s="297"/>
      <c r="AB27" s="297"/>
      <c r="AC27" s="297"/>
      <c r="AD27" s="297"/>
      <c r="AE27" s="297"/>
      <c r="AF27" s="297"/>
      <c r="AG27" s="297"/>
      <c r="AH27" s="297"/>
      <c r="AI27" s="297"/>
      <c r="AJ27" s="297"/>
      <c r="AK27" s="297"/>
      <c r="AL27" s="297"/>
      <c r="AM27" s="297"/>
      <c r="AN27" s="297"/>
      <c r="AO27" s="297"/>
      <c r="AP27" s="297"/>
      <c r="AQ27" s="297"/>
      <c r="AR27" s="297"/>
      <c r="AS27" s="297"/>
      <c r="AT27" s="297"/>
      <c r="AU27" s="297"/>
      <c r="AV27" s="297"/>
      <c r="AW27" s="297"/>
      <c r="AX27" s="297"/>
      <c r="AY27" s="297"/>
      <c r="AZ27" s="297"/>
      <c r="BA27" s="297"/>
      <c r="BB27" s="297"/>
      <c r="BC27" s="297"/>
      <c r="BD27" s="297"/>
      <c r="BE27" s="297"/>
      <c r="BF27" s="297"/>
      <c r="BG27" s="297"/>
      <c r="BH27" s="297"/>
      <c r="BI27" s="297"/>
      <c r="BJ27" s="297"/>
      <c r="BK27" s="297"/>
      <c r="BL27" s="297"/>
      <c r="BM27" s="297"/>
      <c r="BN27" s="297"/>
      <c r="BO27" s="297"/>
      <c r="BP27" s="297"/>
      <c r="BQ27" s="297"/>
      <c r="BR27" s="297"/>
      <c r="BS27" s="297"/>
    </row>
    <row r="28" spans="2:71">
      <c r="B28" s="331" t="s">
        <v>488</v>
      </c>
      <c r="C28" s="297"/>
      <c r="D28" s="322" t="s">
        <v>489</v>
      </c>
      <c r="E28" s="322"/>
      <c r="F28" s="322"/>
      <c r="G28" s="322"/>
      <c r="H28" s="322"/>
      <c r="I28" s="332" t="s">
        <v>490</v>
      </c>
      <c r="J28" s="332"/>
      <c r="K28" s="336">
        <f>K24-(K26+K27+K25)</f>
        <v>84956497.219999999</v>
      </c>
      <c r="L28" s="311"/>
      <c r="S28" s="311"/>
      <c r="T28" s="311"/>
      <c r="U28" s="320"/>
      <c r="V28" s="320"/>
      <c r="W28" s="320"/>
      <c r="X28" s="321"/>
      <c r="Y28" s="297"/>
      <c r="Z28" s="297"/>
      <c r="AA28" s="297"/>
      <c r="AB28" s="297"/>
      <c r="AC28" s="297"/>
      <c r="AD28" s="297"/>
      <c r="AE28" s="297"/>
      <c r="AF28" s="297"/>
      <c r="AG28" s="297"/>
      <c r="AH28" s="297"/>
      <c r="AI28" s="297"/>
      <c r="AJ28" s="297"/>
      <c r="AK28" s="297"/>
      <c r="AL28" s="297"/>
      <c r="AM28" s="297"/>
      <c r="AN28" s="297"/>
      <c r="AO28" s="297"/>
      <c r="AP28" s="297"/>
      <c r="AQ28" s="297"/>
      <c r="AR28" s="297"/>
      <c r="AS28" s="297"/>
      <c r="AT28" s="297"/>
      <c r="AU28" s="297"/>
      <c r="AV28" s="297"/>
      <c r="AW28" s="297"/>
      <c r="AX28" s="297"/>
      <c r="AY28" s="297"/>
      <c r="AZ28" s="297"/>
      <c r="BA28" s="297"/>
      <c r="BB28" s="297"/>
      <c r="BC28" s="297"/>
      <c r="BD28" s="297"/>
      <c r="BE28" s="297"/>
      <c r="BF28" s="297"/>
      <c r="BG28" s="297"/>
      <c r="BH28" s="297"/>
      <c r="BI28" s="297"/>
      <c r="BJ28" s="297"/>
      <c r="BK28" s="297"/>
      <c r="BL28" s="297"/>
      <c r="BM28" s="297"/>
      <c r="BN28" s="297"/>
      <c r="BO28" s="297"/>
      <c r="BP28" s="297"/>
      <c r="BQ28" s="297"/>
      <c r="BR28" s="297"/>
      <c r="BS28" s="297"/>
    </row>
    <row r="29" spans="2:71">
      <c r="B29" s="331"/>
      <c r="C29" s="297"/>
      <c r="D29" s="322"/>
      <c r="E29" s="322"/>
      <c r="F29" s="322"/>
      <c r="G29" s="322"/>
      <c r="H29" s="322"/>
      <c r="I29" s="332"/>
      <c r="J29" s="332"/>
      <c r="K29" s="311"/>
      <c r="L29" s="311"/>
      <c r="S29" s="311"/>
      <c r="T29" s="311"/>
      <c r="U29" s="320"/>
      <c r="V29" s="320"/>
      <c r="W29" s="320"/>
      <c r="X29" s="321"/>
      <c r="Y29" s="297"/>
      <c r="Z29" s="297"/>
      <c r="AA29" s="297"/>
      <c r="AB29" s="297"/>
      <c r="AC29" s="297"/>
      <c r="AD29" s="297"/>
      <c r="AE29" s="297"/>
      <c r="AF29" s="297"/>
      <c r="AG29" s="297"/>
      <c r="AH29" s="297"/>
      <c r="AI29" s="297"/>
      <c r="AJ29" s="297"/>
      <c r="AK29" s="297"/>
      <c r="AL29" s="297"/>
      <c r="AM29" s="297"/>
      <c r="AN29" s="297"/>
      <c r="AO29" s="297"/>
      <c r="AP29" s="297"/>
      <c r="AQ29" s="297"/>
      <c r="AR29" s="297"/>
      <c r="AS29" s="297"/>
      <c r="AT29" s="297"/>
      <c r="AU29" s="297"/>
      <c r="AV29" s="297"/>
      <c r="AW29" s="297"/>
      <c r="AX29" s="297"/>
      <c r="AY29" s="297"/>
      <c r="AZ29" s="297"/>
      <c r="BA29" s="297"/>
      <c r="BB29" s="297"/>
      <c r="BC29" s="297"/>
      <c r="BD29" s="297"/>
      <c r="BE29" s="297"/>
      <c r="BF29" s="297"/>
      <c r="BG29" s="297"/>
      <c r="BH29" s="297"/>
      <c r="BI29" s="297"/>
      <c r="BJ29" s="297"/>
      <c r="BK29" s="297"/>
      <c r="BL29" s="297"/>
      <c r="BM29" s="297"/>
      <c r="BN29" s="297"/>
      <c r="BO29" s="297"/>
      <c r="BP29" s="297"/>
      <c r="BQ29" s="297"/>
      <c r="BR29" s="297"/>
      <c r="BS29" s="297"/>
    </row>
    <row r="30" spans="2:71" ht="15.75">
      <c r="B30" s="331">
        <v>4</v>
      </c>
      <c r="C30" s="297"/>
      <c r="D30" s="329" t="s">
        <v>491</v>
      </c>
      <c r="E30" s="329"/>
      <c r="F30" s="329"/>
      <c r="G30" s="329"/>
      <c r="H30" s="322"/>
      <c r="I30" s="332" t="s">
        <v>492</v>
      </c>
      <c r="J30" s="332"/>
      <c r="K30" s="338">
        <f>IF(K28=0,0,K28/K19)</f>
        <v>8.5799086934897517E-2</v>
      </c>
      <c r="L30" s="338"/>
      <c r="M30" s="339">
        <f>K30</f>
        <v>8.5799086934897517E-2</v>
      </c>
      <c r="S30" s="311"/>
      <c r="T30" s="311"/>
      <c r="U30" s="320"/>
      <c r="V30" s="320"/>
      <c r="W30" s="320"/>
      <c r="X30" s="321"/>
      <c r="Y30" s="297"/>
      <c r="Z30" s="297"/>
      <c r="AA30" s="297"/>
      <c r="AB30" s="297"/>
      <c r="AC30" s="297"/>
      <c r="AD30" s="297"/>
      <c r="AE30" s="297"/>
      <c r="AF30" s="297"/>
      <c r="AG30" s="297"/>
      <c r="AH30" s="297"/>
      <c r="AI30" s="297"/>
      <c r="AJ30" s="297"/>
      <c r="AK30" s="297"/>
      <c r="AL30" s="297"/>
      <c r="AM30" s="297"/>
      <c r="AN30" s="297"/>
      <c r="AO30" s="297"/>
      <c r="AP30" s="297"/>
      <c r="AQ30" s="297"/>
      <c r="AR30" s="297"/>
      <c r="AS30" s="297"/>
      <c r="AT30" s="297"/>
      <c r="AU30" s="297"/>
      <c r="AV30" s="297"/>
      <c r="AW30" s="297"/>
      <c r="AX30" s="297"/>
      <c r="AY30" s="297"/>
      <c r="AZ30" s="297"/>
      <c r="BA30" s="297"/>
      <c r="BB30" s="297"/>
      <c r="BC30" s="297"/>
      <c r="BD30" s="297"/>
      <c r="BE30" s="297"/>
      <c r="BF30" s="297"/>
      <c r="BG30" s="297"/>
      <c r="BH30" s="297"/>
      <c r="BI30" s="297"/>
      <c r="BJ30" s="297"/>
      <c r="BK30" s="297"/>
      <c r="BL30" s="297"/>
      <c r="BM30" s="297"/>
      <c r="BN30" s="297"/>
      <c r="BO30" s="297"/>
      <c r="BP30" s="297"/>
      <c r="BQ30" s="297"/>
      <c r="BR30" s="297"/>
      <c r="BS30" s="297"/>
    </row>
    <row r="31" spans="2:71">
      <c r="B31" s="331"/>
      <c r="C31" s="297"/>
      <c r="D31" s="322"/>
      <c r="E31" s="322"/>
      <c r="F31" s="322"/>
      <c r="G31" s="322"/>
      <c r="H31" s="322"/>
      <c r="I31" s="332"/>
      <c r="J31" s="332"/>
      <c r="K31" s="311"/>
      <c r="L31" s="311"/>
      <c r="S31" s="311"/>
      <c r="T31" s="311"/>
      <c r="U31" s="320"/>
      <c r="V31" s="320"/>
      <c r="W31" s="320"/>
      <c r="X31" s="321"/>
      <c r="Y31" s="297"/>
      <c r="Z31" s="297"/>
      <c r="AA31" s="297"/>
      <c r="AB31" s="297"/>
      <c r="AC31" s="297"/>
      <c r="AD31" s="297"/>
      <c r="AE31" s="297"/>
      <c r="AF31" s="297"/>
      <c r="AG31" s="297"/>
      <c r="AH31" s="297"/>
      <c r="AI31" s="297"/>
      <c r="AJ31" s="297"/>
      <c r="AK31" s="297"/>
      <c r="AL31" s="297"/>
      <c r="AM31" s="297"/>
      <c r="AN31" s="297"/>
      <c r="AO31" s="297"/>
      <c r="AP31" s="297"/>
      <c r="AQ31" s="297"/>
      <c r="AR31" s="297"/>
      <c r="AS31" s="297"/>
      <c r="AT31" s="297"/>
      <c r="AU31" s="297"/>
      <c r="AV31" s="297"/>
      <c r="AW31" s="297"/>
      <c r="AX31" s="297"/>
      <c r="AY31" s="297"/>
      <c r="AZ31" s="297"/>
      <c r="BA31" s="297"/>
      <c r="BB31" s="297"/>
      <c r="BC31" s="297"/>
      <c r="BD31" s="297"/>
      <c r="BE31" s="297"/>
      <c r="BF31" s="297"/>
      <c r="BG31" s="297"/>
      <c r="BH31" s="297"/>
      <c r="BI31" s="297"/>
      <c r="BJ31" s="297"/>
      <c r="BK31" s="297"/>
      <c r="BL31" s="297"/>
      <c r="BM31" s="297"/>
      <c r="BN31" s="297"/>
      <c r="BO31" s="297"/>
      <c r="BP31" s="297"/>
      <c r="BQ31" s="297"/>
      <c r="BR31" s="297"/>
      <c r="BS31" s="297"/>
    </row>
    <row r="32" spans="2:71">
      <c r="B32" s="331"/>
      <c r="C32" s="297"/>
      <c r="D32" s="322"/>
      <c r="E32" s="322"/>
      <c r="F32" s="322"/>
      <c r="G32" s="322"/>
      <c r="H32" s="322"/>
      <c r="I32" s="332"/>
      <c r="J32" s="332"/>
      <c r="K32" s="311"/>
      <c r="L32" s="311"/>
      <c r="S32" s="311"/>
      <c r="T32" s="311"/>
      <c r="U32" s="320"/>
      <c r="V32" s="320"/>
      <c r="W32" s="320"/>
      <c r="X32" s="321"/>
      <c r="Y32" s="297"/>
      <c r="Z32" s="297"/>
      <c r="AA32" s="297"/>
      <c r="AB32" s="297"/>
      <c r="AC32" s="297"/>
      <c r="AD32" s="297"/>
      <c r="AE32" s="297"/>
      <c r="AF32" s="297"/>
      <c r="AG32" s="297"/>
      <c r="AH32" s="297"/>
      <c r="AI32" s="297"/>
      <c r="AJ32" s="297"/>
      <c r="AK32" s="297"/>
      <c r="AL32" s="297"/>
      <c r="AM32" s="297"/>
      <c r="AN32" s="297"/>
      <c r="AO32" s="297"/>
      <c r="AP32" s="297"/>
      <c r="AQ32" s="297"/>
      <c r="AR32" s="297"/>
      <c r="AS32" s="297"/>
      <c r="AT32" s="297"/>
      <c r="AU32" s="297"/>
      <c r="AV32" s="297"/>
      <c r="AW32" s="297"/>
      <c r="AX32" s="297"/>
      <c r="AY32" s="297"/>
      <c r="AZ32" s="297"/>
      <c r="BA32" s="297"/>
      <c r="BB32" s="297"/>
      <c r="BC32" s="297"/>
      <c r="BD32" s="297"/>
      <c r="BE32" s="297"/>
      <c r="BF32" s="297"/>
      <c r="BG32" s="297"/>
      <c r="BH32" s="297"/>
      <c r="BI32" s="297"/>
      <c r="BJ32" s="297"/>
      <c r="BK32" s="297"/>
      <c r="BL32" s="297"/>
      <c r="BM32" s="297"/>
      <c r="BN32" s="297"/>
      <c r="BO32" s="297"/>
      <c r="BP32" s="297"/>
      <c r="BQ32" s="297"/>
      <c r="BR32" s="297"/>
      <c r="BS32" s="297"/>
    </row>
    <row r="33" spans="2:71" ht="15.75">
      <c r="B33" s="331"/>
      <c r="C33" s="297"/>
      <c r="D33" s="322" t="s">
        <v>493</v>
      </c>
      <c r="E33" s="322"/>
      <c r="F33" s="322"/>
      <c r="G33" s="322"/>
      <c r="H33" s="322"/>
      <c r="I33" s="332"/>
      <c r="J33" s="332"/>
      <c r="K33" s="340"/>
      <c r="L33" s="340"/>
      <c r="M33" s="341"/>
      <c r="S33" s="311"/>
      <c r="T33" s="338"/>
      <c r="U33" s="342"/>
      <c r="V33" s="343"/>
      <c r="W33" s="320"/>
      <c r="X33" s="321"/>
      <c r="Y33" s="297"/>
      <c r="Z33" s="297"/>
      <c r="AA33" s="297"/>
      <c r="AB33" s="297"/>
      <c r="AC33" s="297"/>
      <c r="AD33" s="297"/>
      <c r="AE33" s="297"/>
      <c r="AF33" s="297"/>
      <c r="AG33" s="297"/>
      <c r="AH33" s="297"/>
      <c r="AI33" s="297"/>
      <c r="AJ33" s="297"/>
      <c r="AK33" s="297"/>
      <c r="AL33" s="297"/>
      <c r="AM33" s="297"/>
      <c r="AN33" s="297"/>
      <c r="AO33" s="297"/>
      <c r="AP33" s="297"/>
      <c r="AQ33" s="297"/>
      <c r="AR33" s="297"/>
      <c r="AS33" s="297"/>
      <c r="AT33" s="297"/>
      <c r="AU33" s="297"/>
      <c r="AV33" s="297"/>
      <c r="AW33" s="297"/>
      <c r="AX33" s="297"/>
      <c r="AY33" s="297"/>
      <c r="AZ33" s="297"/>
      <c r="BA33" s="297"/>
      <c r="BB33" s="297"/>
      <c r="BC33" s="297"/>
      <c r="BD33" s="297"/>
      <c r="BE33" s="297"/>
      <c r="BF33" s="297"/>
      <c r="BG33" s="297"/>
      <c r="BH33" s="297"/>
      <c r="BI33" s="297"/>
      <c r="BJ33" s="297"/>
      <c r="BK33" s="297"/>
      <c r="BL33" s="297"/>
      <c r="BM33" s="297"/>
      <c r="BN33" s="297"/>
      <c r="BO33" s="297"/>
      <c r="BP33" s="297"/>
      <c r="BQ33" s="297"/>
      <c r="BR33" s="297"/>
      <c r="BS33" s="297"/>
    </row>
    <row r="34" spans="2:71" ht="15.75">
      <c r="B34" s="331" t="s">
        <v>494</v>
      </c>
      <c r="C34" s="297"/>
      <c r="D34" s="322" t="s">
        <v>495</v>
      </c>
      <c r="E34" s="322"/>
      <c r="F34" s="322"/>
      <c r="G34" s="322"/>
      <c r="H34" s="322"/>
      <c r="I34" s="332" t="s">
        <v>496</v>
      </c>
      <c r="J34" s="332"/>
      <c r="K34" s="336">
        <f>K23-K28-K25</f>
        <v>42249953.470761746</v>
      </c>
      <c r="L34" s="340"/>
      <c r="M34" s="341"/>
      <c r="S34" s="311"/>
      <c r="T34" s="338"/>
      <c r="U34" s="342"/>
      <c r="V34" s="343"/>
      <c r="W34" s="320"/>
      <c r="X34" s="321"/>
      <c r="Y34" s="297"/>
      <c r="Z34" s="297"/>
      <c r="AA34" s="297"/>
      <c r="AB34" s="297"/>
      <c r="AC34" s="297"/>
      <c r="AD34" s="297"/>
      <c r="AE34" s="297"/>
      <c r="AF34" s="297"/>
      <c r="AG34" s="297"/>
      <c r="AH34" s="297"/>
      <c r="AI34" s="297"/>
      <c r="AJ34" s="297"/>
      <c r="AK34" s="297"/>
      <c r="AL34" s="297"/>
      <c r="AM34" s="297"/>
      <c r="AN34" s="297"/>
      <c r="AO34" s="297"/>
      <c r="AP34" s="297"/>
      <c r="AQ34" s="297"/>
      <c r="AR34" s="297"/>
      <c r="AS34" s="297"/>
      <c r="AT34" s="297"/>
      <c r="AU34" s="297"/>
      <c r="AV34" s="297"/>
      <c r="AW34" s="297"/>
      <c r="AX34" s="297"/>
      <c r="AY34" s="297"/>
      <c r="AZ34" s="297"/>
      <c r="BA34" s="297"/>
      <c r="BB34" s="297"/>
      <c r="BC34" s="297"/>
      <c r="BD34" s="297"/>
      <c r="BE34" s="297"/>
      <c r="BF34" s="297"/>
      <c r="BG34" s="297"/>
      <c r="BH34" s="297"/>
      <c r="BI34" s="297"/>
      <c r="BJ34" s="297"/>
      <c r="BK34" s="297"/>
      <c r="BL34" s="297"/>
      <c r="BM34" s="297"/>
      <c r="BN34" s="297"/>
      <c r="BO34" s="297"/>
      <c r="BP34" s="297"/>
      <c r="BQ34" s="297"/>
      <c r="BR34" s="297"/>
      <c r="BS34" s="297"/>
    </row>
    <row r="35" spans="2:71" ht="15.75">
      <c r="B35" s="331" t="s">
        <v>497</v>
      </c>
      <c r="C35" s="297"/>
      <c r="D35" s="322" t="s">
        <v>498</v>
      </c>
      <c r="E35" s="322"/>
      <c r="F35" s="322"/>
      <c r="G35" s="322"/>
      <c r="H35" s="322"/>
      <c r="I35" s="332" t="s">
        <v>499</v>
      </c>
      <c r="J35" s="332"/>
      <c r="K35" s="340">
        <f>IF(K34=0,0,K34/K18)</f>
        <v>1.0182361449726096E-2</v>
      </c>
      <c r="L35" s="340"/>
      <c r="M35" s="341">
        <f>K35</f>
        <v>1.0182361449726096E-2</v>
      </c>
      <c r="S35" s="311"/>
      <c r="T35" s="338"/>
      <c r="U35" s="342"/>
      <c r="V35" s="343"/>
      <c r="W35" s="320"/>
      <c r="X35" s="321"/>
      <c r="Y35" s="297"/>
      <c r="Z35" s="297"/>
      <c r="AA35" s="297"/>
      <c r="AB35" s="297"/>
      <c r="AC35" s="297"/>
      <c r="AD35" s="297"/>
      <c r="AE35" s="297"/>
      <c r="AF35" s="297"/>
      <c r="AG35" s="297"/>
      <c r="AH35" s="297"/>
      <c r="AI35" s="297"/>
      <c r="AJ35" s="297"/>
      <c r="AK35" s="297"/>
      <c r="AL35" s="297"/>
      <c r="AM35" s="297"/>
      <c r="AN35" s="297"/>
      <c r="AO35" s="297"/>
      <c r="AP35" s="297"/>
      <c r="AQ35" s="297"/>
      <c r="AR35" s="297"/>
      <c r="AS35" s="297"/>
      <c r="AT35" s="297"/>
      <c r="AU35" s="297"/>
      <c r="AV35" s="297"/>
      <c r="AW35" s="297"/>
      <c r="AX35" s="297"/>
      <c r="AY35" s="297"/>
      <c r="AZ35" s="297"/>
      <c r="BA35" s="297"/>
      <c r="BB35" s="297"/>
      <c r="BC35" s="297"/>
      <c r="BD35" s="297"/>
      <c r="BE35" s="297"/>
      <c r="BF35" s="297"/>
      <c r="BG35" s="297"/>
      <c r="BH35" s="297"/>
      <c r="BI35" s="297"/>
      <c r="BJ35" s="297"/>
      <c r="BK35" s="297"/>
      <c r="BL35" s="297"/>
      <c r="BM35" s="297"/>
      <c r="BN35" s="297"/>
      <c r="BO35" s="297"/>
      <c r="BP35" s="297"/>
      <c r="BQ35" s="297"/>
      <c r="BR35" s="297"/>
      <c r="BS35" s="297"/>
    </row>
    <row r="36" spans="2:71" ht="15.75">
      <c r="B36" s="331"/>
      <c r="C36" s="297"/>
      <c r="D36" s="322"/>
      <c r="E36" s="322"/>
      <c r="F36" s="322"/>
      <c r="G36" s="322"/>
      <c r="H36" s="322"/>
      <c r="I36" s="332"/>
      <c r="J36" s="332"/>
      <c r="K36" s="340"/>
      <c r="L36" s="340"/>
      <c r="M36" s="341"/>
      <c r="S36" s="311"/>
      <c r="T36" s="338"/>
      <c r="U36" s="342"/>
      <c r="V36" s="343"/>
      <c r="W36" s="320"/>
      <c r="X36" s="321"/>
      <c r="Y36" s="297"/>
      <c r="Z36" s="297"/>
      <c r="AA36" s="297"/>
      <c r="AB36" s="297"/>
      <c r="AC36" s="297"/>
      <c r="AD36" s="297"/>
      <c r="AE36" s="297"/>
      <c r="AF36" s="297"/>
      <c r="AG36" s="297"/>
      <c r="AH36" s="297"/>
      <c r="AI36" s="297"/>
      <c r="AJ36" s="297"/>
      <c r="AK36" s="297"/>
      <c r="AL36" s="297"/>
      <c r="AM36" s="297"/>
      <c r="AN36" s="297"/>
      <c r="AO36" s="297"/>
      <c r="AP36" s="297"/>
      <c r="AQ36" s="297"/>
      <c r="AR36" s="297"/>
      <c r="AS36" s="297"/>
      <c r="AT36" s="297"/>
      <c r="AU36" s="297"/>
      <c r="AV36" s="297"/>
      <c r="AW36" s="297"/>
      <c r="AX36" s="297"/>
      <c r="AY36" s="297"/>
      <c r="AZ36" s="297"/>
      <c r="BA36" s="297"/>
      <c r="BB36" s="297"/>
      <c r="BC36" s="297"/>
      <c r="BD36" s="297"/>
      <c r="BE36" s="297"/>
      <c r="BF36" s="297"/>
      <c r="BG36" s="297"/>
      <c r="BH36" s="297"/>
      <c r="BI36" s="297"/>
      <c r="BJ36" s="297"/>
      <c r="BK36" s="297"/>
      <c r="BL36" s="297"/>
      <c r="BM36" s="297"/>
      <c r="BN36" s="297"/>
      <c r="BO36" s="297"/>
      <c r="BP36" s="297"/>
      <c r="BQ36" s="297"/>
      <c r="BR36" s="297"/>
      <c r="BS36" s="297"/>
    </row>
    <row r="37" spans="2:71" ht="15.75">
      <c r="B37" s="344"/>
      <c r="C37" s="297"/>
      <c r="D37" s="322" t="s">
        <v>373</v>
      </c>
      <c r="E37" s="322"/>
      <c r="F37" s="322"/>
      <c r="G37" s="322"/>
      <c r="H37" s="322"/>
      <c r="I37" s="345"/>
      <c r="J37" s="345"/>
      <c r="K37" s="311"/>
      <c r="L37" s="311"/>
      <c r="M37" s="311"/>
      <c r="O37" s="297"/>
      <c r="P37" s="297"/>
      <c r="Q37" s="297"/>
      <c r="S37" s="311"/>
      <c r="T37" s="338"/>
      <c r="U37" s="342"/>
      <c r="V37" s="343"/>
      <c r="W37" s="320"/>
      <c r="X37" s="321"/>
      <c r="Y37" s="297"/>
      <c r="Z37" s="297"/>
      <c r="AA37" s="297"/>
      <c r="AB37" s="297"/>
      <c r="AC37" s="297"/>
      <c r="AD37" s="297"/>
      <c r="AE37" s="297"/>
      <c r="AF37" s="297"/>
      <c r="AG37" s="297"/>
      <c r="AH37" s="297"/>
      <c r="AI37" s="297"/>
      <c r="AJ37" s="297"/>
      <c r="AK37" s="297"/>
      <c r="AL37" s="297"/>
      <c r="AM37" s="297"/>
      <c r="AN37" s="297"/>
      <c r="AO37" s="297"/>
      <c r="AP37" s="297"/>
      <c r="AQ37" s="297"/>
      <c r="AR37" s="297"/>
      <c r="AS37" s="297"/>
      <c r="AT37" s="297"/>
      <c r="AU37" s="297"/>
      <c r="AV37" s="297"/>
      <c r="AW37" s="297"/>
      <c r="AX37" s="297"/>
      <c r="AY37" s="297"/>
      <c r="AZ37" s="297"/>
      <c r="BA37" s="297"/>
      <c r="BB37" s="297"/>
      <c r="BC37" s="297"/>
      <c r="BD37" s="297"/>
      <c r="BE37" s="297"/>
      <c r="BF37" s="297"/>
      <c r="BG37" s="297"/>
      <c r="BH37" s="297"/>
      <c r="BI37" s="297"/>
      <c r="BJ37" s="297"/>
      <c r="BK37" s="297"/>
      <c r="BL37" s="297"/>
      <c r="BM37" s="297"/>
      <c r="BN37" s="297"/>
      <c r="BO37" s="297"/>
      <c r="BP37" s="297"/>
      <c r="BQ37" s="297"/>
      <c r="BR37" s="297"/>
      <c r="BS37" s="297"/>
    </row>
    <row r="38" spans="2:71" ht="15.75">
      <c r="B38" s="344" t="s">
        <v>374</v>
      </c>
      <c r="C38" s="297"/>
      <c r="D38" s="322" t="s">
        <v>375</v>
      </c>
      <c r="E38" s="322"/>
      <c r="F38" s="322"/>
      <c r="G38" s="322"/>
      <c r="H38" s="322"/>
      <c r="I38" s="332" t="s">
        <v>376</v>
      </c>
      <c r="J38" s="332"/>
      <c r="K38" s="333">
        <f>'ATC Attach O ER13-1181'!I169+'ATC Attach O ER13-1181'!I170</f>
        <v>7157102</v>
      </c>
      <c r="L38" s="311"/>
      <c r="M38" s="297"/>
      <c r="O38" s="297"/>
      <c r="P38" s="297"/>
      <c r="Q38" s="297"/>
      <c r="S38" s="311"/>
      <c r="T38" s="338"/>
      <c r="U38" s="342"/>
      <c r="V38" s="343"/>
      <c r="W38" s="320"/>
      <c r="X38" s="321"/>
      <c r="Y38" s="297"/>
      <c r="Z38" s="297"/>
      <c r="AA38" s="297"/>
      <c r="AB38" s="297"/>
      <c r="AC38" s="297"/>
      <c r="AD38" s="297"/>
      <c r="AE38" s="297"/>
      <c r="AF38" s="297"/>
      <c r="AG38" s="297"/>
      <c r="AH38" s="297"/>
      <c r="AI38" s="297"/>
      <c r="AJ38" s="297"/>
      <c r="AK38" s="297"/>
      <c r="AL38" s="297"/>
      <c r="AM38" s="297"/>
      <c r="AN38" s="297"/>
      <c r="AO38" s="297"/>
      <c r="AP38" s="297"/>
      <c r="AQ38" s="297"/>
      <c r="AR38" s="297"/>
      <c r="AS38" s="297"/>
      <c r="AT38" s="297"/>
      <c r="AU38" s="297"/>
      <c r="AV38" s="297"/>
      <c r="AW38" s="297"/>
      <c r="AX38" s="297"/>
      <c r="AY38" s="297"/>
      <c r="AZ38" s="297"/>
      <c r="BA38" s="297"/>
      <c r="BB38" s="297"/>
      <c r="BC38" s="297"/>
      <c r="BD38" s="297"/>
      <c r="BE38" s="297"/>
      <c r="BF38" s="297"/>
      <c r="BG38" s="297"/>
      <c r="BH38" s="297"/>
      <c r="BI38" s="297"/>
      <c r="BJ38" s="297"/>
      <c r="BK38" s="297"/>
      <c r="BL38" s="297"/>
      <c r="BM38" s="297"/>
      <c r="BN38" s="297"/>
      <c r="BO38" s="297"/>
      <c r="BP38" s="297"/>
      <c r="BQ38" s="297"/>
      <c r="BR38" s="297"/>
      <c r="BS38" s="297"/>
    </row>
    <row r="39" spans="2:71" ht="15.75">
      <c r="B39" s="344" t="s">
        <v>377</v>
      </c>
      <c r="C39" s="297"/>
      <c r="D39" s="322" t="s">
        <v>378</v>
      </c>
      <c r="E39" s="322"/>
      <c r="F39" s="322"/>
      <c r="G39" s="322"/>
      <c r="H39" s="322"/>
      <c r="I39" s="332" t="s">
        <v>379</v>
      </c>
      <c r="J39" s="332"/>
      <c r="K39" s="340">
        <f>IF(K38=0,0,K38/K18)</f>
        <v>1.7248823610418905E-3</v>
      </c>
      <c r="L39" s="340"/>
      <c r="M39" s="341">
        <f>K39</f>
        <v>1.7248823610418905E-3</v>
      </c>
      <c r="O39" s="297"/>
      <c r="P39" s="297"/>
      <c r="Q39" s="297"/>
      <c r="S39" s="311"/>
      <c r="T39" s="338"/>
      <c r="U39" s="342"/>
      <c r="V39" s="343"/>
      <c r="W39" s="320"/>
      <c r="X39" s="321"/>
      <c r="Y39" s="297"/>
      <c r="Z39" s="297"/>
      <c r="AA39" s="297"/>
      <c r="AB39" s="297"/>
      <c r="AC39" s="297"/>
      <c r="AD39" s="297"/>
      <c r="AE39" s="297"/>
      <c r="AF39" s="297"/>
      <c r="AG39" s="297"/>
      <c r="AH39" s="297"/>
      <c r="AI39" s="297"/>
      <c r="AJ39" s="297"/>
      <c r="AK39" s="297"/>
      <c r="AL39" s="297"/>
      <c r="AM39" s="297"/>
      <c r="AN39" s="297"/>
      <c r="AO39" s="297"/>
      <c r="AP39" s="297"/>
      <c r="AQ39" s="297"/>
      <c r="AR39" s="297"/>
      <c r="AS39" s="297"/>
      <c r="AT39" s="297"/>
      <c r="AU39" s="297"/>
      <c r="AV39" s="297"/>
      <c r="AW39" s="297"/>
      <c r="AX39" s="297"/>
      <c r="AY39" s="297"/>
      <c r="AZ39" s="297"/>
      <c r="BA39" s="297"/>
      <c r="BB39" s="297"/>
      <c r="BC39" s="297"/>
      <c r="BD39" s="297"/>
      <c r="BE39" s="297"/>
      <c r="BF39" s="297"/>
      <c r="BG39" s="297"/>
      <c r="BH39" s="297"/>
      <c r="BI39" s="297"/>
      <c r="BJ39" s="297"/>
      <c r="BK39" s="297"/>
      <c r="BL39" s="297"/>
      <c r="BM39" s="297"/>
      <c r="BN39" s="297"/>
      <c r="BO39" s="297"/>
      <c r="BP39" s="297"/>
      <c r="BQ39" s="297"/>
      <c r="BR39" s="297"/>
      <c r="BS39" s="297"/>
    </row>
    <row r="40" spans="2:71" ht="15.75">
      <c r="B40" s="331"/>
      <c r="C40" s="297"/>
      <c r="D40" s="322"/>
      <c r="E40" s="322"/>
      <c r="F40" s="322"/>
      <c r="G40" s="322"/>
      <c r="H40" s="322"/>
      <c r="I40" s="332"/>
      <c r="J40" s="332"/>
      <c r="K40" s="340"/>
      <c r="L40" s="340"/>
      <c r="M40" s="341"/>
      <c r="S40" s="311"/>
      <c r="T40" s="338"/>
      <c r="U40" s="342"/>
      <c r="V40" s="343"/>
      <c r="W40" s="320"/>
      <c r="X40" s="321"/>
      <c r="Y40" s="297"/>
      <c r="Z40" s="297"/>
      <c r="AA40" s="297"/>
      <c r="AB40" s="297"/>
      <c r="AC40" s="297"/>
      <c r="AD40" s="297"/>
      <c r="AE40" s="297"/>
      <c r="AF40" s="297"/>
      <c r="AG40" s="297"/>
      <c r="AH40" s="297"/>
      <c r="AI40" s="297"/>
      <c r="AJ40" s="297"/>
      <c r="AK40" s="297"/>
      <c r="AL40" s="297"/>
      <c r="AM40" s="297"/>
      <c r="AN40" s="297"/>
      <c r="AO40" s="297"/>
      <c r="AP40" s="297"/>
      <c r="AQ40" s="297"/>
      <c r="AR40" s="297"/>
      <c r="AS40" s="297"/>
      <c r="AT40" s="297"/>
      <c r="AU40" s="297"/>
      <c r="AV40" s="297"/>
      <c r="AW40" s="297"/>
      <c r="AX40" s="297"/>
      <c r="AY40" s="297"/>
      <c r="AZ40" s="297"/>
      <c r="BA40" s="297"/>
      <c r="BB40" s="297"/>
      <c r="BC40" s="297"/>
      <c r="BD40" s="297"/>
      <c r="BE40" s="297"/>
      <c r="BF40" s="297"/>
      <c r="BG40" s="297"/>
      <c r="BH40" s="297"/>
      <c r="BI40" s="297"/>
      <c r="BJ40" s="297"/>
      <c r="BK40" s="297"/>
      <c r="BL40" s="297"/>
      <c r="BM40" s="297"/>
      <c r="BN40" s="297"/>
      <c r="BO40" s="297"/>
      <c r="BP40" s="297"/>
      <c r="BQ40" s="297"/>
      <c r="BR40" s="297"/>
      <c r="BS40" s="297"/>
    </row>
    <row r="41" spans="2:71">
      <c r="B41" s="344"/>
      <c r="C41" s="297"/>
      <c r="D41" s="322" t="s">
        <v>380</v>
      </c>
      <c r="E41" s="322"/>
      <c r="F41" s="322"/>
      <c r="G41" s="322"/>
      <c r="H41" s="322"/>
      <c r="I41" s="345"/>
      <c r="J41" s="345"/>
      <c r="K41" s="311"/>
      <c r="L41" s="311"/>
      <c r="M41" s="311"/>
      <c r="S41" s="311"/>
      <c r="T41" s="311"/>
      <c r="U41" s="320"/>
      <c r="V41" s="311"/>
      <c r="W41" s="320"/>
      <c r="X41" s="321"/>
      <c r="Y41" s="297"/>
      <c r="Z41" s="297"/>
      <c r="AA41" s="297"/>
      <c r="AB41" s="297"/>
      <c r="AC41" s="297"/>
      <c r="AD41" s="297"/>
      <c r="AE41" s="297"/>
      <c r="AF41" s="297"/>
      <c r="AG41" s="297"/>
      <c r="AH41" s="297"/>
      <c r="AI41" s="297"/>
      <c r="AJ41" s="297"/>
      <c r="AK41" s="297"/>
      <c r="AL41" s="297"/>
      <c r="AM41" s="297"/>
      <c r="AN41" s="297"/>
      <c r="AO41" s="297"/>
      <c r="AP41" s="297"/>
      <c r="AQ41" s="297"/>
      <c r="AR41" s="297"/>
      <c r="AS41" s="297"/>
      <c r="AT41" s="297"/>
      <c r="AU41" s="297"/>
      <c r="AV41" s="297"/>
      <c r="AW41" s="297"/>
      <c r="AX41" s="297"/>
      <c r="AY41" s="297"/>
      <c r="AZ41" s="297"/>
      <c r="BA41" s="297"/>
      <c r="BB41" s="297"/>
      <c r="BC41" s="297"/>
      <c r="BD41" s="297"/>
      <c r="BE41" s="297"/>
      <c r="BF41" s="297"/>
      <c r="BG41" s="297"/>
      <c r="BH41" s="297"/>
      <c r="BI41" s="297"/>
      <c r="BJ41" s="297"/>
      <c r="BK41" s="297"/>
      <c r="BL41" s="297"/>
      <c r="BM41" s="297"/>
      <c r="BN41" s="297"/>
      <c r="BO41" s="297"/>
      <c r="BP41" s="297"/>
      <c r="BQ41" s="297"/>
      <c r="BR41" s="297"/>
      <c r="BS41" s="297"/>
    </row>
    <row r="42" spans="2:71" ht="15.75">
      <c r="B42" s="344" t="s">
        <v>381</v>
      </c>
      <c r="C42" s="297"/>
      <c r="D42" s="322" t="s">
        <v>382</v>
      </c>
      <c r="E42" s="322"/>
      <c r="F42" s="322"/>
      <c r="G42" s="322"/>
      <c r="H42" s="322"/>
      <c r="I42" s="332" t="s">
        <v>383</v>
      </c>
      <c r="J42" s="332"/>
      <c r="K42" s="333">
        <f>'ATC Attach O ER13-1181'!I182</f>
        <v>19083646.300000001</v>
      </c>
      <c r="L42" s="311"/>
      <c r="S42" s="311"/>
      <c r="T42" s="346"/>
      <c r="U42" s="320"/>
      <c r="V42" s="331"/>
      <c r="W42" s="324"/>
      <c r="X42" s="321"/>
      <c r="Y42" s="297"/>
      <c r="Z42" s="297"/>
      <c r="AA42" s="297"/>
      <c r="AB42" s="297"/>
      <c r="AC42" s="297"/>
      <c r="AD42" s="297"/>
      <c r="AE42" s="297"/>
      <c r="AF42" s="297"/>
      <c r="AG42" s="297"/>
      <c r="AH42" s="297"/>
      <c r="AI42" s="297"/>
      <c r="AJ42" s="297"/>
      <c r="AK42" s="297"/>
      <c r="AL42" s="297"/>
      <c r="AM42" s="297"/>
      <c r="AN42" s="297"/>
      <c r="AO42" s="297"/>
      <c r="AP42" s="297"/>
      <c r="AQ42" s="297"/>
      <c r="AR42" s="297"/>
      <c r="AS42" s="297"/>
      <c r="AT42" s="297"/>
      <c r="AU42" s="297"/>
      <c r="AV42" s="297"/>
      <c r="AW42" s="297"/>
      <c r="AX42" s="297"/>
      <c r="AY42" s="297"/>
      <c r="AZ42" s="297"/>
      <c r="BA42" s="297"/>
      <c r="BB42" s="297"/>
      <c r="BC42" s="297"/>
      <c r="BD42" s="297"/>
      <c r="BE42" s="297"/>
      <c r="BF42" s="297"/>
      <c r="BG42" s="297"/>
      <c r="BH42" s="297"/>
      <c r="BI42" s="297"/>
      <c r="BJ42" s="297"/>
      <c r="BK42" s="297"/>
      <c r="BL42" s="297"/>
      <c r="BM42" s="297"/>
      <c r="BN42" s="297"/>
      <c r="BO42" s="297"/>
      <c r="BP42" s="297"/>
      <c r="BQ42" s="297"/>
      <c r="BR42" s="297"/>
      <c r="BS42" s="297"/>
    </row>
    <row r="43" spans="2:71" ht="15.75">
      <c r="B43" s="344" t="s">
        <v>384</v>
      </c>
      <c r="C43" s="297"/>
      <c r="D43" s="322" t="s">
        <v>385</v>
      </c>
      <c r="E43" s="322"/>
      <c r="F43" s="322"/>
      <c r="G43" s="322"/>
      <c r="H43" s="322"/>
      <c r="I43" s="332" t="s">
        <v>386</v>
      </c>
      <c r="J43" s="332"/>
      <c r="K43" s="340">
        <f>IF(K42=0,0,K42/K18)</f>
        <v>4.5992141633907609E-3</v>
      </c>
      <c r="L43" s="340"/>
      <c r="M43" s="341">
        <f>K43</f>
        <v>4.5992141633907609E-3</v>
      </c>
      <c r="S43" s="311"/>
      <c r="T43" s="338"/>
      <c r="U43" s="320"/>
      <c r="V43" s="343"/>
      <c r="W43" s="324"/>
      <c r="X43" s="321"/>
      <c r="Y43" s="297"/>
      <c r="Z43" s="297"/>
      <c r="AA43" s="297"/>
      <c r="AB43" s="297"/>
      <c r="AC43" s="297"/>
      <c r="AD43" s="297"/>
      <c r="AE43" s="297"/>
      <c r="AF43" s="297"/>
      <c r="AG43" s="297"/>
      <c r="AH43" s="297"/>
      <c r="AI43" s="297"/>
      <c r="AJ43" s="297"/>
      <c r="AK43" s="297"/>
      <c r="AL43" s="297"/>
      <c r="AM43" s="297"/>
      <c r="AN43" s="297"/>
      <c r="AO43" s="297"/>
      <c r="AP43" s="297"/>
      <c r="AQ43" s="297"/>
      <c r="AR43" s="297"/>
      <c r="AS43" s="297"/>
      <c r="AT43" s="297"/>
      <c r="AU43" s="297"/>
      <c r="AV43" s="297"/>
      <c r="AW43" s="297"/>
      <c r="AX43" s="297"/>
      <c r="AY43" s="297"/>
      <c r="AZ43" s="297"/>
      <c r="BA43" s="297"/>
      <c r="BB43" s="297"/>
      <c r="BC43" s="297"/>
      <c r="BD43" s="297"/>
      <c r="BE43" s="297"/>
      <c r="BF43" s="297"/>
      <c r="BG43" s="297"/>
      <c r="BH43" s="297"/>
      <c r="BI43" s="297"/>
      <c r="BJ43" s="297"/>
      <c r="BK43" s="297"/>
      <c r="BL43" s="297"/>
      <c r="BM43" s="297"/>
      <c r="BN43" s="297"/>
      <c r="BO43" s="297"/>
      <c r="BP43" s="297"/>
      <c r="BQ43" s="297"/>
      <c r="BR43" s="297"/>
      <c r="BS43" s="297"/>
    </row>
    <row r="44" spans="2:71">
      <c r="B44" s="344"/>
      <c r="C44" s="297"/>
      <c r="D44" s="322"/>
      <c r="E44" s="322"/>
      <c r="F44" s="322"/>
      <c r="G44" s="322"/>
      <c r="H44" s="322"/>
      <c r="I44" s="332"/>
      <c r="J44" s="332"/>
      <c r="K44" s="311"/>
      <c r="L44" s="311"/>
      <c r="M44" s="311"/>
      <c r="S44" s="311"/>
      <c r="W44" s="320"/>
      <c r="X44" s="321"/>
      <c r="Y44" s="297"/>
      <c r="Z44" s="297"/>
      <c r="AA44" s="297"/>
      <c r="AB44" s="297"/>
      <c r="AC44" s="297"/>
      <c r="AD44" s="297"/>
      <c r="AE44" s="297"/>
      <c r="AF44" s="297"/>
      <c r="AG44" s="297"/>
      <c r="AH44" s="297"/>
      <c r="AI44" s="297"/>
      <c r="AJ44" s="297"/>
      <c r="AK44" s="297"/>
      <c r="AL44" s="297"/>
      <c r="AM44" s="297"/>
      <c r="AN44" s="297"/>
      <c r="AO44" s="297"/>
      <c r="AP44" s="297"/>
      <c r="AQ44" s="297"/>
      <c r="AR44" s="297"/>
      <c r="AS44" s="297"/>
      <c r="AT44" s="297"/>
      <c r="AU44" s="297"/>
      <c r="AV44" s="297"/>
      <c r="AW44" s="297"/>
      <c r="AX44" s="297"/>
      <c r="AY44" s="297"/>
      <c r="AZ44" s="297"/>
      <c r="BA44" s="297"/>
      <c r="BB44" s="297"/>
      <c r="BC44" s="297"/>
      <c r="BD44" s="297"/>
      <c r="BE44" s="297"/>
      <c r="BF44" s="297"/>
      <c r="BG44" s="297"/>
      <c r="BH44" s="297"/>
      <c r="BI44" s="297"/>
      <c r="BJ44" s="297"/>
      <c r="BK44" s="297"/>
      <c r="BL44" s="297"/>
      <c r="BM44" s="297"/>
      <c r="BN44" s="297"/>
      <c r="BO44" s="297"/>
      <c r="BP44" s="297"/>
      <c r="BQ44" s="297"/>
      <c r="BR44" s="297"/>
      <c r="BS44" s="297"/>
    </row>
    <row r="45" spans="2:71" ht="15.75">
      <c r="B45" s="347" t="s">
        <v>387</v>
      </c>
      <c r="C45" s="348"/>
      <c r="D45" s="329" t="s">
        <v>500</v>
      </c>
      <c r="E45" s="329"/>
      <c r="F45" s="329"/>
      <c r="G45" s="329"/>
      <c r="H45" s="329"/>
      <c r="I45" s="323" t="s">
        <v>501</v>
      </c>
      <c r="J45" s="323"/>
      <c r="K45" s="235">
        <f>K35+K39+K43</f>
        <v>1.6506457974158745E-2</v>
      </c>
      <c r="L45" s="235"/>
      <c r="M45" s="235">
        <f>M35+M39+M43</f>
        <v>1.6506457974158745E-2</v>
      </c>
      <c r="S45" s="311"/>
      <c r="W45" s="320"/>
      <c r="X45" s="321"/>
      <c r="Y45" s="297"/>
      <c r="Z45" s="297"/>
      <c r="AA45" s="297"/>
      <c r="AB45" s="297"/>
      <c r="AC45" s="297"/>
      <c r="AD45" s="297"/>
      <c r="AE45" s="297"/>
      <c r="AF45" s="297"/>
      <c r="AG45" s="297"/>
      <c r="AH45" s="297"/>
      <c r="AI45" s="297"/>
      <c r="AJ45" s="297"/>
      <c r="AK45" s="297"/>
      <c r="AL45" s="297"/>
      <c r="AM45" s="297"/>
      <c r="AN45" s="297"/>
      <c r="AO45" s="297"/>
      <c r="AP45" s="297"/>
      <c r="AQ45" s="297"/>
      <c r="AR45" s="297"/>
      <c r="AS45" s="297"/>
      <c r="AT45" s="297"/>
      <c r="AU45" s="297"/>
      <c r="AV45" s="297"/>
      <c r="AW45" s="297"/>
      <c r="AX45" s="297"/>
      <c r="AY45" s="297"/>
      <c r="AZ45" s="297"/>
      <c r="BA45" s="297"/>
      <c r="BB45" s="297"/>
      <c r="BC45" s="297"/>
      <c r="BD45" s="297"/>
      <c r="BE45" s="297"/>
      <c r="BF45" s="297"/>
      <c r="BG45" s="297"/>
      <c r="BH45" s="297"/>
      <c r="BI45" s="297"/>
      <c r="BJ45" s="297"/>
      <c r="BK45" s="297"/>
      <c r="BL45" s="297"/>
      <c r="BM45" s="297"/>
      <c r="BN45" s="297"/>
      <c r="BO45" s="297"/>
      <c r="BP45" s="297"/>
      <c r="BQ45" s="297"/>
      <c r="BR45" s="297"/>
      <c r="BS45" s="297"/>
    </row>
    <row r="46" spans="2:71">
      <c r="B46" s="344"/>
      <c r="C46" s="297"/>
      <c r="D46" s="322"/>
      <c r="E46" s="322"/>
      <c r="F46" s="322"/>
      <c r="G46" s="322"/>
      <c r="H46" s="322"/>
      <c r="I46" s="332"/>
      <c r="J46" s="332"/>
      <c r="K46" s="311"/>
      <c r="L46" s="311"/>
      <c r="M46" s="311"/>
      <c r="S46" s="311"/>
      <c r="T46" s="311"/>
      <c r="U46" s="320"/>
      <c r="V46" s="349"/>
      <c r="W46" s="320"/>
      <c r="X46" s="321"/>
      <c r="Y46" s="297"/>
      <c r="Z46" s="297"/>
      <c r="AA46" s="297"/>
      <c r="AB46" s="297"/>
      <c r="AC46" s="297"/>
      <c r="AD46" s="297"/>
      <c r="AE46" s="297"/>
      <c r="AF46" s="297"/>
      <c r="AG46" s="297"/>
      <c r="AH46" s="297"/>
      <c r="AI46" s="297"/>
      <c r="AJ46" s="297"/>
      <c r="AK46" s="297"/>
      <c r="AL46" s="297"/>
      <c r="AM46" s="297"/>
      <c r="AN46" s="297"/>
      <c r="AO46" s="297"/>
      <c r="AP46" s="297"/>
      <c r="AQ46" s="297"/>
      <c r="AR46" s="297"/>
      <c r="AS46" s="297"/>
      <c r="AT46" s="297"/>
      <c r="AU46" s="297"/>
      <c r="AV46" s="297"/>
      <c r="AW46" s="297"/>
      <c r="AX46" s="297"/>
      <c r="AY46" s="297"/>
      <c r="AZ46" s="297"/>
      <c r="BA46" s="297"/>
      <c r="BB46" s="297"/>
      <c r="BC46" s="297"/>
      <c r="BD46" s="297"/>
      <c r="BE46" s="297"/>
      <c r="BF46" s="297"/>
      <c r="BG46" s="297"/>
      <c r="BH46" s="297"/>
      <c r="BI46" s="297"/>
      <c r="BJ46" s="297"/>
      <c r="BK46" s="297"/>
      <c r="BL46" s="297"/>
      <c r="BM46" s="297"/>
      <c r="BN46" s="297"/>
      <c r="BO46" s="297"/>
      <c r="BP46" s="297"/>
      <c r="BQ46" s="297"/>
      <c r="BR46" s="297"/>
      <c r="BS46" s="297"/>
    </row>
    <row r="47" spans="2:71">
      <c r="B47" s="344"/>
      <c r="C47" s="297"/>
      <c r="D47" s="311" t="s">
        <v>390</v>
      </c>
      <c r="E47" s="311"/>
      <c r="F47" s="311"/>
      <c r="G47" s="311"/>
      <c r="H47" s="311"/>
      <c r="I47" s="332"/>
      <c r="J47" s="332"/>
      <c r="K47" s="311"/>
      <c r="L47" s="311"/>
      <c r="M47" s="311"/>
      <c r="S47" s="350"/>
      <c r="T47" s="351"/>
      <c r="W47" s="324"/>
      <c r="X47" s="320" t="s">
        <v>3</v>
      </c>
      <c r="Y47" s="297"/>
      <c r="Z47" s="297"/>
      <c r="AA47" s="297"/>
      <c r="AB47" s="297"/>
      <c r="AC47" s="297"/>
      <c r="AD47" s="297"/>
      <c r="AE47" s="297"/>
      <c r="AF47" s="297"/>
      <c r="AG47" s="297"/>
      <c r="AH47" s="297"/>
      <c r="AI47" s="297"/>
      <c r="AJ47" s="297"/>
      <c r="AK47" s="297"/>
      <c r="AL47" s="297"/>
      <c r="AM47" s="297"/>
      <c r="AN47" s="297"/>
      <c r="AO47" s="297"/>
      <c r="AP47" s="297"/>
      <c r="AQ47" s="297"/>
      <c r="AR47" s="297"/>
      <c r="AS47" s="297"/>
      <c r="AT47" s="297"/>
      <c r="AU47" s="297"/>
      <c r="AV47" s="297"/>
      <c r="AW47" s="297"/>
      <c r="AX47" s="297"/>
      <c r="AY47" s="297"/>
      <c r="AZ47" s="297"/>
      <c r="BA47" s="297"/>
      <c r="BB47" s="297"/>
      <c r="BC47" s="297"/>
      <c r="BD47" s="297"/>
      <c r="BE47" s="297"/>
      <c r="BF47" s="297"/>
      <c r="BG47" s="297"/>
      <c r="BH47" s="297"/>
      <c r="BI47" s="297"/>
      <c r="BJ47" s="297"/>
      <c r="BK47" s="297"/>
      <c r="BL47" s="297"/>
      <c r="BM47" s="297"/>
      <c r="BN47" s="297"/>
      <c r="BO47" s="297"/>
      <c r="BP47" s="297"/>
      <c r="BQ47" s="297"/>
      <c r="BR47" s="297"/>
      <c r="BS47" s="297"/>
    </row>
    <row r="48" spans="2:71">
      <c r="B48" s="344" t="s">
        <v>391</v>
      </c>
      <c r="C48" s="297"/>
      <c r="D48" s="311" t="s">
        <v>392</v>
      </c>
      <c r="E48" s="311"/>
      <c r="F48" s="311"/>
      <c r="G48" s="311"/>
      <c r="H48" s="311"/>
      <c r="I48" s="332" t="s">
        <v>393</v>
      </c>
      <c r="J48" s="332"/>
      <c r="K48" s="333">
        <f>'ATC Attach O ER13-1181'!I197</f>
        <v>98921602.21656163</v>
      </c>
      <c r="L48" s="311"/>
      <c r="M48" s="311"/>
      <c r="S48" s="350"/>
      <c r="T48" s="351"/>
      <c r="W48" s="324"/>
      <c r="X48" s="320"/>
      <c r="Y48" s="297"/>
      <c r="Z48" s="297"/>
      <c r="AA48" s="297"/>
      <c r="AB48" s="297"/>
      <c r="AC48" s="297"/>
      <c r="AD48" s="297"/>
      <c r="AE48" s="297"/>
      <c r="AF48" s="297"/>
      <c r="AG48" s="297"/>
      <c r="AH48" s="297"/>
      <c r="AI48" s="297"/>
      <c r="AJ48" s="297"/>
      <c r="AK48" s="297"/>
      <c r="AL48" s="297"/>
      <c r="AM48" s="297"/>
      <c r="AN48" s="297"/>
      <c r="AO48" s="297"/>
      <c r="AP48" s="297"/>
      <c r="AQ48" s="297"/>
      <c r="AR48" s="297"/>
      <c r="AS48" s="297"/>
      <c r="AT48" s="297"/>
      <c r="AU48" s="297"/>
      <c r="AV48" s="297"/>
      <c r="AW48" s="297"/>
      <c r="AX48" s="297"/>
      <c r="AY48" s="297"/>
      <c r="AZ48" s="297"/>
      <c r="BA48" s="297"/>
      <c r="BB48" s="297"/>
      <c r="BC48" s="297"/>
      <c r="BD48" s="297"/>
      <c r="BE48" s="297"/>
      <c r="BF48" s="297"/>
      <c r="BG48" s="297"/>
      <c r="BH48" s="297"/>
      <c r="BI48" s="297"/>
      <c r="BJ48" s="297"/>
      <c r="BK48" s="297"/>
      <c r="BL48" s="297"/>
      <c r="BM48" s="297"/>
      <c r="BN48" s="297"/>
      <c r="BO48" s="297"/>
      <c r="BP48" s="297"/>
      <c r="BQ48" s="297"/>
      <c r="BR48" s="297"/>
      <c r="BS48" s="297"/>
    </row>
    <row r="49" spans="2:71" ht="15.75">
      <c r="B49" s="344" t="s">
        <v>394</v>
      </c>
      <c r="C49" s="297"/>
      <c r="D49" s="311" t="s">
        <v>395</v>
      </c>
      <c r="E49" s="311"/>
      <c r="F49" s="311"/>
      <c r="G49" s="311"/>
      <c r="H49" s="311"/>
      <c r="I49" s="332" t="s">
        <v>396</v>
      </c>
      <c r="J49" s="332"/>
      <c r="K49" s="340">
        <f>IF(K48=0,0,K48/K20)</f>
        <v>3.1312746011481443E-2</v>
      </c>
      <c r="L49" s="340"/>
      <c r="M49" s="341">
        <f>K49</f>
        <v>3.1312746011481443E-2</v>
      </c>
      <c r="S49" s="350"/>
      <c r="T49" s="351"/>
      <c r="U49" s="320"/>
      <c r="V49" s="320"/>
      <c r="W49" s="324"/>
      <c r="X49" s="320"/>
      <c r="Y49" s="297"/>
      <c r="Z49" s="297"/>
      <c r="AA49" s="297"/>
      <c r="AB49" s="297"/>
      <c r="AC49" s="297"/>
      <c r="AD49" s="297"/>
      <c r="AE49" s="297"/>
      <c r="AF49" s="297"/>
      <c r="AG49" s="297"/>
      <c r="AH49" s="297"/>
      <c r="AI49" s="297"/>
      <c r="AJ49" s="297"/>
      <c r="AK49" s="297"/>
      <c r="AL49" s="297"/>
      <c r="AM49" s="297"/>
      <c r="AN49" s="297"/>
      <c r="AO49" s="297"/>
      <c r="AP49" s="297"/>
      <c r="AQ49" s="297"/>
      <c r="AR49" s="297"/>
      <c r="AS49" s="297"/>
      <c r="AT49" s="297"/>
      <c r="AU49" s="297"/>
      <c r="AV49" s="297"/>
      <c r="AW49" s="297"/>
      <c r="AX49" s="297"/>
      <c r="AY49" s="297"/>
      <c r="AZ49" s="297"/>
      <c r="BA49" s="297"/>
      <c r="BB49" s="297"/>
      <c r="BC49" s="297"/>
      <c r="BD49" s="297"/>
      <c r="BE49" s="297"/>
      <c r="BF49" s="297"/>
      <c r="BG49" s="297"/>
      <c r="BH49" s="297"/>
      <c r="BI49" s="297"/>
      <c r="BJ49" s="297"/>
      <c r="BK49" s="297"/>
      <c r="BL49" s="297"/>
      <c r="BM49" s="297"/>
      <c r="BN49" s="297"/>
      <c r="BO49" s="297"/>
      <c r="BP49" s="297"/>
      <c r="BQ49" s="297"/>
      <c r="BR49" s="297"/>
      <c r="BS49" s="297"/>
    </row>
    <row r="50" spans="2:71">
      <c r="B50" s="344"/>
      <c r="C50" s="297"/>
      <c r="D50" s="311"/>
      <c r="E50" s="311"/>
      <c r="F50" s="311"/>
      <c r="G50" s="311"/>
      <c r="H50" s="311"/>
      <c r="I50" s="332"/>
      <c r="J50" s="332"/>
      <c r="K50" s="311"/>
      <c r="L50" s="311"/>
      <c r="M50" s="311"/>
      <c r="S50" s="311"/>
      <c r="U50" s="309"/>
      <c r="V50" s="320"/>
      <c r="W50" s="309"/>
      <c r="X50" s="321"/>
      <c r="Y50" s="297"/>
      <c r="Z50" s="297"/>
      <c r="AA50" s="297"/>
      <c r="AB50" s="297"/>
      <c r="AC50" s="297"/>
      <c r="AD50" s="297"/>
      <c r="AE50" s="297"/>
      <c r="AF50" s="297"/>
      <c r="AG50" s="297"/>
      <c r="AH50" s="297"/>
      <c r="AI50" s="297"/>
      <c r="AJ50" s="297"/>
      <c r="AK50" s="297"/>
      <c r="AL50" s="297"/>
      <c r="AM50" s="297"/>
      <c r="AN50" s="297"/>
      <c r="AO50" s="297"/>
      <c r="AP50" s="297"/>
      <c r="AQ50" s="297"/>
      <c r="AR50" s="297"/>
      <c r="AS50" s="297"/>
      <c r="AT50" s="297"/>
      <c r="AU50" s="297"/>
      <c r="AV50" s="297"/>
      <c r="AW50" s="297"/>
      <c r="AX50" s="297"/>
      <c r="AY50" s="297"/>
      <c r="AZ50" s="297"/>
      <c r="BA50" s="297"/>
      <c r="BB50" s="297"/>
      <c r="BC50" s="297"/>
      <c r="BD50" s="297"/>
      <c r="BE50" s="297"/>
      <c r="BF50" s="297"/>
      <c r="BG50" s="297"/>
      <c r="BH50" s="297"/>
      <c r="BI50" s="297"/>
      <c r="BJ50" s="297"/>
      <c r="BK50" s="297"/>
      <c r="BL50" s="297"/>
      <c r="BM50" s="297"/>
      <c r="BN50" s="297"/>
      <c r="BO50" s="297"/>
      <c r="BP50" s="297"/>
      <c r="BQ50" s="297"/>
      <c r="BR50" s="297"/>
      <c r="BS50" s="297"/>
    </row>
    <row r="51" spans="2:71">
      <c r="B51" s="344"/>
      <c r="C51" s="297"/>
      <c r="D51" s="322" t="s">
        <v>188</v>
      </c>
      <c r="E51" s="322"/>
      <c r="F51" s="322"/>
      <c r="G51" s="322"/>
      <c r="H51" s="322"/>
      <c r="I51" s="352"/>
      <c r="J51" s="352"/>
      <c r="S51" s="311"/>
      <c r="U51" s="320"/>
      <c r="V51" s="320"/>
      <c r="W51" s="320"/>
      <c r="X51" s="321"/>
      <c r="Y51" s="297"/>
      <c r="Z51" s="297"/>
      <c r="AA51" s="297"/>
      <c r="AB51" s="297"/>
      <c r="AC51" s="297"/>
      <c r="AD51" s="297"/>
      <c r="AE51" s="297"/>
      <c r="AF51" s="297"/>
      <c r="AG51" s="297"/>
      <c r="AH51" s="297"/>
      <c r="AI51" s="297"/>
      <c r="AJ51" s="297"/>
      <c r="AK51" s="297"/>
      <c r="AL51" s="297"/>
      <c r="AM51" s="297"/>
      <c r="AN51" s="297"/>
      <c r="AO51" s="297"/>
      <c r="AP51" s="297"/>
      <c r="AQ51" s="297"/>
      <c r="AR51" s="297"/>
      <c r="AS51" s="297"/>
      <c r="AT51" s="297"/>
      <c r="AU51" s="297"/>
      <c r="AV51" s="297"/>
      <c r="AW51" s="297"/>
      <c r="AX51" s="297"/>
      <c r="AY51" s="297"/>
      <c r="AZ51" s="297"/>
      <c r="BA51" s="297"/>
      <c r="BB51" s="297"/>
      <c r="BC51" s="297"/>
      <c r="BD51" s="297"/>
      <c r="BE51" s="297"/>
      <c r="BF51" s="297"/>
      <c r="BG51" s="297"/>
      <c r="BH51" s="297"/>
      <c r="BI51" s="297"/>
      <c r="BJ51" s="297"/>
      <c r="BK51" s="297"/>
      <c r="BL51" s="297"/>
      <c r="BM51" s="297"/>
      <c r="BN51" s="297"/>
      <c r="BO51" s="297"/>
      <c r="BP51" s="297"/>
      <c r="BQ51" s="297"/>
      <c r="BR51" s="297"/>
      <c r="BS51" s="297"/>
    </row>
    <row r="52" spans="2:71">
      <c r="B52" s="344" t="s">
        <v>397</v>
      </c>
      <c r="C52" s="297"/>
      <c r="D52" s="322" t="s">
        <v>398</v>
      </c>
      <c r="E52" s="322"/>
      <c r="F52" s="322"/>
      <c r="G52" s="322"/>
      <c r="H52" s="322"/>
      <c r="I52" s="332" t="s">
        <v>399</v>
      </c>
      <c r="J52" s="332"/>
      <c r="K52" s="333">
        <f>'ATC Attach O ER13-1181'!I199</f>
        <v>235586448.71995243</v>
      </c>
      <c r="L52" s="311"/>
      <c r="M52" s="311"/>
      <c r="S52" s="311"/>
      <c r="U52" s="320"/>
      <c r="V52" s="320"/>
      <c r="W52" s="320"/>
      <c r="X52" s="321"/>
      <c r="Y52" s="297"/>
      <c r="Z52" s="297"/>
      <c r="AA52" s="297"/>
      <c r="AB52" s="297"/>
      <c r="AC52" s="297"/>
      <c r="AD52" s="297"/>
      <c r="AE52" s="297"/>
      <c r="AF52" s="297"/>
      <c r="AG52" s="297"/>
      <c r="AH52" s="297"/>
      <c r="AI52" s="297"/>
      <c r="AJ52" s="297"/>
      <c r="AK52" s="297"/>
      <c r="AL52" s="297"/>
      <c r="AM52" s="297"/>
      <c r="AN52" s="297"/>
      <c r="AO52" s="297"/>
      <c r="AP52" s="297"/>
      <c r="AQ52" s="297"/>
      <c r="AR52" s="297"/>
      <c r="AS52" s="297"/>
      <c r="AT52" s="297"/>
      <c r="AU52" s="297"/>
      <c r="AV52" s="297"/>
      <c r="AW52" s="297"/>
      <c r="AX52" s="297"/>
      <c r="AY52" s="297"/>
      <c r="AZ52" s="297"/>
      <c r="BA52" s="297"/>
      <c r="BB52" s="297"/>
      <c r="BC52" s="297"/>
      <c r="BD52" s="297"/>
      <c r="BE52" s="297"/>
      <c r="BF52" s="297"/>
      <c r="BG52" s="297"/>
      <c r="BH52" s="297"/>
      <c r="BI52" s="297"/>
      <c r="BJ52" s="297"/>
      <c r="BK52" s="297"/>
      <c r="BL52" s="297"/>
      <c r="BM52" s="297"/>
      <c r="BN52" s="297"/>
      <c r="BO52" s="297"/>
      <c r="BP52" s="297"/>
      <c r="BQ52" s="297"/>
      <c r="BR52" s="297"/>
      <c r="BS52" s="297"/>
    </row>
    <row r="53" spans="2:71" ht="15.75">
      <c r="B53" s="344" t="s">
        <v>400</v>
      </c>
      <c r="C53" s="297"/>
      <c r="D53" s="311" t="s">
        <v>401</v>
      </c>
      <c r="E53" s="311"/>
      <c r="F53" s="311"/>
      <c r="G53" s="311"/>
      <c r="H53" s="311"/>
      <c r="I53" s="332" t="s">
        <v>402</v>
      </c>
      <c r="J53" s="332"/>
      <c r="K53" s="238">
        <f>IF(K52=0,0,K52/K20)</f>
        <v>7.4572777504807952E-2</v>
      </c>
      <c r="L53" s="238"/>
      <c r="M53" s="341">
        <f>K53</f>
        <v>7.4572777504807952E-2</v>
      </c>
      <c r="S53" s="311"/>
      <c r="V53" s="353"/>
      <c r="W53" s="324"/>
      <c r="X53" s="320"/>
      <c r="Y53" s="297"/>
      <c r="Z53" s="297"/>
      <c r="AA53" s="297"/>
      <c r="AB53" s="297"/>
      <c r="AC53" s="297"/>
      <c r="AD53" s="297"/>
      <c r="AE53" s="297"/>
      <c r="AF53" s="297"/>
      <c r="AG53" s="297"/>
      <c r="AH53" s="297"/>
      <c r="AI53" s="297"/>
      <c r="AJ53" s="297"/>
      <c r="AK53" s="297"/>
      <c r="AL53" s="297"/>
      <c r="AM53" s="297"/>
      <c r="AN53" s="297"/>
      <c r="AO53" s="297"/>
      <c r="AP53" s="297"/>
      <c r="AQ53" s="297"/>
      <c r="AR53" s="297"/>
      <c r="AS53" s="297"/>
      <c r="AT53" s="297"/>
      <c r="AU53" s="297"/>
      <c r="AV53" s="297"/>
      <c r="AW53" s="297"/>
      <c r="AX53" s="297"/>
      <c r="AY53" s="297"/>
      <c r="AZ53" s="297"/>
      <c r="BA53" s="297"/>
      <c r="BB53" s="297"/>
      <c r="BC53" s="297"/>
      <c r="BD53" s="297"/>
      <c r="BE53" s="297"/>
      <c r="BF53" s="297"/>
      <c r="BG53" s="297"/>
      <c r="BH53" s="297"/>
      <c r="BI53" s="297"/>
      <c r="BJ53" s="297"/>
      <c r="BK53" s="297"/>
      <c r="BL53" s="297"/>
      <c r="BM53" s="297"/>
      <c r="BN53" s="297"/>
      <c r="BO53" s="297"/>
      <c r="BP53" s="297"/>
      <c r="BQ53" s="297"/>
      <c r="BR53" s="297"/>
      <c r="BS53" s="297"/>
    </row>
    <row r="54" spans="2:71">
      <c r="B54" s="344"/>
      <c r="C54" s="297"/>
      <c r="D54" s="322"/>
      <c r="E54" s="322"/>
      <c r="F54" s="322"/>
      <c r="G54" s="322"/>
      <c r="H54" s="322"/>
      <c r="I54" s="332"/>
      <c r="J54" s="332"/>
      <c r="K54" s="311"/>
      <c r="L54" s="311"/>
      <c r="M54" s="311"/>
      <c r="S54" s="311"/>
      <c r="T54" s="352"/>
      <c r="U54" s="320"/>
      <c r="V54" s="320"/>
      <c r="W54" s="320"/>
      <c r="X54" s="321"/>
      <c r="Y54" s="297"/>
      <c r="Z54" s="297"/>
      <c r="AA54" s="297"/>
      <c r="AB54" s="297"/>
      <c r="AC54" s="297"/>
      <c r="AD54" s="297"/>
      <c r="AE54" s="297"/>
      <c r="AF54" s="297"/>
      <c r="AG54" s="297"/>
      <c r="AH54" s="297"/>
      <c r="AI54" s="297"/>
      <c r="AJ54" s="297"/>
      <c r="AK54" s="297"/>
      <c r="AL54" s="297"/>
      <c r="AM54" s="297"/>
      <c r="AN54" s="297"/>
      <c r="AO54" s="297"/>
      <c r="AP54" s="297"/>
      <c r="AQ54" s="297"/>
      <c r="AR54" s="297"/>
      <c r="AS54" s="297"/>
      <c r="AT54" s="297"/>
      <c r="AU54" s="297"/>
      <c r="AV54" s="297"/>
      <c r="AW54" s="297"/>
      <c r="AX54" s="297"/>
      <c r="AY54" s="297"/>
      <c r="AZ54" s="297"/>
      <c r="BA54" s="297"/>
      <c r="BB54" s="297"/>
      <c r="BC54" s="297"/>
      <c r="BD54" s="297"/>
      <c r="BE54" s="297"/>
      <c r="BF54" s="297"/>
      <c r="BG54" s="297"/>
      <c r="BH54" s="297"/>
      <c r="BI54" s="297"/>
      <c r="BJ54" s="297"/>
      <c r="BK54" s="297"/>
      <c r="BL54" s="297"/>
      <c r="BM54" s="297"/>
      <c r="BN54" s="297"/>
      <c r="BO54" s="297"/>
      <c r="BP54" s="297"/>
      <c r="BQ54" s="297"/>
      <c r="BR54" s="297"/>
      <c r="BS54" s="297"/>
    </row>
    <row r="55" spans="2:71" ht="15.75">
      <c r="B55" s="347" t="s">
        <v>403</v>
      </c>
      <c r="C55" s="348"/>
      <c r="D55" s="329" t="s">
        <v>404</v>
      </c>
      <c r="E55" s="329"/>
      <c r="F55" s="329"/>
      <c r="G55" s="329"/>
      <c r="H55" s="329"/>
      <c r="I55" s="323" t="s">
        <v>405</v>
      </c>
      <c r="J55" s="323"/>
      <c r="K55" s="235">
        <f>K49+K53</f>
        <v>0.1058855235162894</v>
      </c>
      <c r="L55" s="354"/>
      <c r="M55" s="235">
        <f>M49+M53</f>
        <v>0.1058855235162894</v>
      </c>
      <c r="S55" s="311"/>
      <c r="T55" s="352"/>
      <c r="U55" s="320"/>
      <c r="V55" s="320"/>
      <c r="W55" s="320"/>
      <c r="X55" s="321"/>
      <c r="Y55" s="297"/>
      <c r="Z55" s="297"/>
      <c r="AA55" s="297"/>
      <c r="AB55" s="297"/>
      <c r="AC55" s="297"/>
      <c r="AD55" s="297"/>
      <c r="AE55" s="297"/>
      <c r="AF55" s="297"/>
      <c r="AG55" s="297"/>
      <c r="AH55" s="297"/>
      <c r="AI55" s="297"/>
      <c r="AJ55" s="297"/>
      <c r="AK55" s="297"/>
      <c r="AL55" s="297"/>
      <c r="AM55" s="297"/>
      <c r="AN55" s="297"/>
      <c r="AO55" s="297"/>
      <c r="AP55" s="297"/>
      <c r="AQ55" s="297"/>
      <c r="AR55" s="297"/>
      <c r="AS55" s="297"/>
      <c r="AT55" s="297"/>
      <c r="AU55" s="297"/>
      <c r="AV55" s="297"/>
      <c r="AW55" s="297"/>
      <c r="AX55" s="297"/>
      <c r="AY55" s="297"/>
      <c r="AZ55" s="297"/>
      <c r="BA55" s="297"/>
      <c r="BB55" s="297"/>
      <c r="BC55" s="297"/>
      <c r="BD55" s="297"/>
      <c r="BE55" s="297"/>
      <c r="BF55" s="297"/>
      <c r="BG55" s="297"/>
      <c r="BH55" s="297"/>
      <c r="BI55" s="297"/>
      <c r="BJ55" s="297"/>
      <c r="BK55" s="297"/>
      <c r="BL55" s="297"/>
      <c r="BM55" s="297"/>
      <c r="BN55" s="297"/>
      <c r="BO55" s="297"/>
      <c r="BP55" s="297"/>
      <c r="BQ55" s="297"/>
      <c r="BR55" s="297"/>
      <c r="BS55" s="297"/>
    </row>
    <row r="56" spans="2:71">
      <c r="B56" s="297"/>
      <c r="C56" s="297"/>
      <c r="D56" s="297"/>
      <c r="E56" s="297"/>
      <c r="F56" s="297"/>
      <c r="G56" s="297"/>
      <c r="H56" s="297"/>
      <c r="I56" s="297"/>
      <c r="J56" s="297"/>
      <c r="S56" s="355"/>
      <c r="T56" s="355"/>
      <c r="U56" s="320"/>
      <c r="V56" s="320"/>
      <c r="W56" s="320"/>
      <c r="X56" s="321"/>
      <c r="Y56" s="297"/>
      <c r="Z56" s="297"/>
      <c r="AA56" s="297"/>
      <c r="AB56" s="297"/>
      <c r="AC56" s="297"/>
      <c r="AD56" s="297"/>
      <c r="AE56" s="297"/>
      <c r="AF56" s="297"/>
      <c r="AG56" s="297"/>
      <c r="AH56" s="297"/>
      <c r="AI56" s="297"/>
      <c r="AJ56" s="297"/>
      <c r="AK56" s="297"/>
      <c r="AL56" s="297"/>
      <c r="AM56" s="297"/>
      <c r="AN56" s="297"/>
      <c r="AO56" s="297"/>
      <c r="AP56" s="297"/>
      <c r="AQ56" s="297"/>
      <c r="AR56" s="297"/>
      <c r="AS56" s="297"/>
      <c r="AT56" s="297"/>
      <c r="AU56" s="297"/>
      <c r="AV56" s="297"/>
      <c r="AW56" s="297"/>
      <c r="AX56" s="297"/>
      <c r="AY56" s="297"/>
      <c r="AZ56" s="297"/>
      <c r="BA56" s="297"/>
      <c r="BB56" s="297"/>
      <c r="BC56" s="297"/>
      <c r="BD56" s="297"/>
      <c r="BE56" s="297"/>
      <c r="BF56" s="297"/>
      <c r="BG56" s="297"/>
      <c r="BH56" s="297"/>
      <c r="BI56" s="297"/>
      <c r="BJ56" s="297"/>
      <c r="BK56" s="297"/>
      <c r="BL56" s="297"/>
      <c r="BM56" s="297"/>
      <c r="BN56" s="297"/>
      <c r="BO56" s="297"/>
      <c r="BP56" s="297"/>
      <c r="BQ56" s="297"/>
      <c r="BR56" s="297"/>
      <c r="BS56" s="297"/>
    </row>
    <row r="57" spans="2:71">
      <c r="B57" s="325"/>
      <c r="C57" s="297"/>
      <c r="D57" s="356"/>
      <c r="E57" s="356"/>
      <c r="F57" s="356"/>
      <c r="G57" s="356"/>
      <c r="H57" s="356"/>
      <c r="I57" s="356"/>
      <c r="J57" s="356"/>
      <c r="K57" s="311"/>
      <c r="L57" s="311"/>
      <c r="M57" s="356"/>
      <c r="N57" s="356"/>
      <c r="O57" s="356"/>
      <c r="P57" s="356"/>
      <c r="Q57" s="356"/>
      <c r="S57" s="311"/>
      <c r="T57" s="311"/>
      <c r="U57" s="320"/>
      <c r="V57" s="320"/>
      <c r="W57" s="324"/>
      <c r="X57" s="320" t="s">
        <v>3</v>
      </c>
      <c r="Y57" s="297"/>
      <c r="Z57" s="297"/>
      <c r="AA57" s="297"/>
      <c r="AB57" s="297"/>
      <c r="AC57" s="297"/>
      <c r="AD57" s="297"/>
      <c r="AE57" s="297"/>
      <c r="AF57" s="297"/>
      <c r="AG57" s="297"/>
      <c r="AH57" s="297"/>
      <c r="AI57" s="297"/>
      <c r="AJ57" s="297"/>
      <c r="AK57" s="297"/>
      <c r="AL57" s="297"/>
      <c r="AM57" s="297"/>
      <c r="AN57" s="297"/>
      <c r="AO57" s="297"/>
      <c r="AP57" s="297"/>
      <c r="AQ57" s="297"/>
      <c r="AR57" s="297"/>
      <c r="AS57" s="297"/>
      <c r="AT57" s="297"/>
      <c r="AU57" s="297"/>
      <c r="AV57" s="297"/>
      <c r="AW57" s="297"/>
      <c r="AX57" s="297"/>
      <c r="AY57" s="297"/>
      <c r="AZ57" s="297"/>
      <c r="BA57" s="297"/>
      <c r="BB57" s="297"/>
      <c r="BC57" s="297"/>
      <c r="BD57" s="297"/>
      <c r="BE57" s="297"/>
      <c r="BF57" s="297"/>
      <c r="BG57" s="297"/>
      <c r="BH57" s="297"/>
      <c r="BI57" s="297"/>
      <c r="BJ57" s="297"/>
      <c r="BK57" s="297"/>
      <c r="BL57" s="297"/>
      <c r="BM57" s="297"/>
      <c r="BN57" s="297"/>
      <c r="BO57" s="297"/>
      <c r="BP57" s="297"/>
      <c r="BQ57" s="297"/>
      <c r="BR57" s="297"/>
      <c r="BS57" s="297"/>
    </row>
    <row r="58" spans="2:71">
      <c r="T58" s="302"/>
    </row>
    <row r="59" spans="2:71">
      <c r="T59" s="302"/>
    </row>
    <row r="61" spans="2:71">
      <c r="B61" s="313"/>
      <c r="D61" s="356"/>
      <c r="E61" s="356"/>
      <c r="F61" s="356"/>
      <c r="G61" s="356"/>
      <c r="H61" s="356"/>
      <c r="I61" s="356"/>
      <c r="J61" s="356"/>
      <c r="K61" s="311"/>
      <c r="L61" s="311"/>
      <c r="M61" s="356"/>
      <c r="N61" s="356"/>
      <c r="O61" s="356"/>
      <c r="P61" s="356"/>
      <c r="Q61" s="356"/>
      <c r="S61" s="311"/>
      <c r="T61" s="302" t="s">
        <v>471</v>
      </c>
      <c r="U61" s="320"/>
      <c r="V61" s="309"/>
      <c r="W61" s="320"/>
      <c r="X61" s="321"/>
      <c r="Y61" s="297"/>
      <c r="Z61" s="297"/>
      <c r="AA61" s="297"/>
      <c r="AB61" s="297"/>
      <c r="AC61" s="297"/>
      <c r="AD61" s="297"/>
      <c r="AE61" s="297"/>
      <c r="AF61" s="297"/>
      <c r="AG61" s="297"/>
      <c r="AH61" s="297"/>
      <c r="AI61" s="297"/>
      <c r="AJ61" s="297"/>
      <c r="AK61" s="297"/>
      <c r="AL61" s="297"/>
      <c r="AM61" s="297"/>
      <c r="AN61" s="297"/>
      <c r="AO61" s="297"/>
      <c r="AP61" s="297"/>
      <c r="AQ61" s="297"/>
      <c r="AR61" s="297"/>
      <c r="AS61" s="297"/>
      <c r="AT61" s="297"/>
      <c r="AU61" s="297"/>
      <c r="AV61" s="297"/>
      <c r="AW61" s="297"/>
      <c r="AX61" s="297"/>
      <c r="AY61" s="297"/>
      <c r="AZ61" s="297"/>
      <c r="BA61" s="297"/>
      <c r="BB61" s="297"/>
      <c r="BC61" s="297"/>
      <c r="BD61" s="297"/>
      <c r="BE61" s="297"/>
      <c r="BF61" s="297"/>
      <c r="BG61" s="297"/>
      <c r="BH61" s="297"/>
      <c r="BI61" s="297"/>
      <c r="BJ61" s="297"/>
      <c r="BK61" s="297"/>
      <c r="BL61" s="297"/>
      <c r="BM61" s="297"/>
      <c r="BN61" s="297"/>
      <c r="BO61" s="297"/>
      <c r="BP61" s="297"/>
      <c r="BQ61" s="297"/>
      <c r="BR61" s="297"/>
      <c r="BS61" s="297"/>
    </row>
    <row r="62" spans="2:71">
      <c r="B62" s="313"/>
      <c r="D62" s="322" t="str">
        <f>D5</f>
        <v>Formula Rate calculation</v>
      </c>
      <c r="E62" s="322"/>
      <c r="F62" s="322"/>
      <c r="G62" s="322"/>
      <c r="H62" s="322"/>
      <c r="I62" s="356"/>
      <c r="J62" s="356"/>
      <c r="K62" s="356" t="str">
        <f>K5</f>
        <v xml:space="preserve">     Rate Formula Template</v>
      </c>
      <c r="L62" s="356"/>
      <c r="M62" s="356"/>
      <c r="N62" s="356"/>
      <c r="O62" s="356"/>
      <c r="P62" s="356"/>
      <c r="Q62" s="356"/>
      <c r="S62" s="311"/>
      <c r="T62" s="357" t="str">
        <f>T5</f>
        <v>For  the 12 months ended 12/31/2013</v>
      </c>
      <c r="U62" s="320"/>
      <c r="V62" s="309"/>
      <c r="W62" s="320"/>
      <c r="X62" s="321"/>
      <c r="Y62" s="297"/>
      <c r="Z62" s="297"/>
      <c r="AA62" s="297"/>
      <c r="AB62" s="297"/>
      <c r="AC62" s="297"/>
      <c r="AD62" s="297"/>
      <c r="AE62" s="297"/>
      <c r="AF62" s="297"/>
      <c r="AG62" s="297"/>
      <c r="AH62" s="297"/>
      <c r="AI62" s="297"/>
      <c r="AJ62" s="297"/>
      <c r="AK62" s="297"/>
      <c r="AL62" s="297"/>
      <c r="AM62" s="297"/>
      <c r="AN62" s="297"/>
      <c r="AO62" s="297"/>
      <c r="AP62" s="297"/>
      <c r="AQ62" s="297"/>
      <c r="AR62" s="297"/>
      <c r="AS62" s="297"/>
      <c r="AT62" s="297"/>
      <c r="AU62" s="297"/>
      <c r="AV62" s="297"/>
      <c r="AW62" s="297"/>
      <c r="AX62" s="297"/>
      <c r="AY62" s="297"/>
      <c r="AZ62" s="297"/>
      <c r="BA62" s="297"/>
      <c r="BB62" s="297"/>
      <c r="BC62" s="297"/>
      <c r="BD62" s="297"/>
      <c r="BE62" s="297"/>
      <c r="BF62" s="297"/>
      <c r="BG62" s="297"/>
      <c r="BH62" s="297"/>
      <c r="BI62" s="297"/>
      <c r="BJ62" s="297"/>
      <c r="BK62" s="297"/>
      <c r="BL62" s="297"/>
      <c r="BM62" s="297"/>
      <c r="BN62" s="297"/>
      <c r="BO62" s="297"/>
      <c r="BP62" s="297"/>
      <c r="BQ62" s="297"/>
      <c r="BR62" s="297"/>
      <c r="BS62" s="297"/>
    </row>
    <row r="63" spans="2:71">
      <c r="B63" s="313"/>
      <c r="D63" s="322"/>
      <c r="E63" s="322"/>
      <c r="F63" s="322"/>
      <c r="G63" s="322"/>
      <c r="H63" s="322"/>
      <c r="I63" s="356"/>
      <c r="J63" s="356"/>
      <c r="K63" s="311" t="s">
        <v>354</v>
      </c>
      <c r="L63" s="356"/>
      <c r="M63" s="356"/>
      <c r="N63" s="356"/>
      <c r="O63" s="356"/>
      <c r="P63" s="356"/>
      <c r="Q63" s="356"/>
      <c r="R63" s="311"/>
      <c r="S63" s="311"/>
      <c r="U63" s="320"/>
      <c r="V63" s="309"/>
      <c r="W63" s="320"/>
      <c r="X63" s="321"/>
      <c r="Y63" s="297"/>
      <c r="Z63" s="297"/>
      <c r="AA63" s="297"/>
      <c r="AB63" s="297"/>
      <c r="AC63" s="297"/>
      <c r="AD63" s="297"/>
      <c r="AE63" s="297"/>
      <c r="AF63" s="297"/>
      <c r="AG63" s="297"/>
      <c r="AH63" s="297"/>
      <c r="AI63" s="297"/>
      <c r="AJ63" s="297"/>
      <c r="AK63" s="297"/>
      <c r="AL63" s="297"/>
      <c r="AM63" s="297"/>
      <c r="AN63" s="297"/>
      <c r="AO63" s="297"/>
      <c r="AP63" s="297"/>
      <c r="AQ63" s="297"/>
      <c r="AR63" s="297"/>
      <c r="AS63" s="297"/>
      <c r="AT63" s="297"/>
      <c r="AU63" s="297"/>
      <c r="AV63" s="297"/>
      <c r="AW63" s="297"/>
      <c r="AX63" s="297"/>
      <c r="AY63" s="297"/>
      <c r="AZ63" s="297"/>
      <c r="BA63" s="297"/>
      <c r="BB63" s="297"/>
      <c r="BC63" s="297"/>
      <c r="BD63" s="297"/>
      <c r="BE63" s="297"/>
      <c r="BF63" s="297"/>
      <c r="BG63" s="297"/>
      <c r="BH63" s="297"/>
      <c r="BI63" s="297"/>
      <c r="BJ63" s="297"/>
      <c r="BK63" s="297"/>
      <c r="BL63" s="297"/>
      <c r="BM63" s="297"/>
      <c r="BN63" s="297"/>
      <c r="BO63" s="297"/>
      <c r="BP63" s="297"/>
      <c r="BQ63" s="297"/>
      <c r="BR63" s="297"/>
      <c r="BS63" s="297"/>
    </row>
    <row r="64" spans="2:71" ht="14.25" customHeight="1">
      <c r="B64" s="313"/>
      <c r="D64" s="356"/>
      <c r="E64" s="356"/>
      <c r="F64" s="356"/>
      <c r="G64" s="356"/>
      <c r="H64" s="356"/>
      <c r="I64" s="356"/>
      <c r="J64" s="356"/>
      <c r="K64" s="356"/>
      <c r="L64" s="356"/>
      <c r="M64" s="356"/>
      <c r="N64" s="356"/>
      <c r="O64" s="356"/>
      <c r="P64" s="356"/>
      <c r="Q64" s="356"/>
      <c r="S64" s="311"/>
      <c r="T64" s="356" t="s">
        <v>406</v>
      </c>
      <c r="U64" s="320"/>
      <c r="V64" s="309"/>
      <c r="W64" s="320"/>
      <c r="X64" s="321"/>
      <c r="Y64" s="297"/>
      <c r="Z64" s="297"/>
      <c r="AA64" s="297"/>
      <c r="AB64" s="297"/>
      <c r="AC64" s="297"/>
      <c r="AD64" s="297"/>
      <c r="AE64" s="297"/>
      <c r="AF64" s="297"/>
      <c r="AG64" s="297"/>
      <c r="AH64" s="297"/>
      <c r="AI64" s="297"/>
      <c r="AJ64" s="297"/>
      <c r="AK64" s="297"/>
      <c r="AL64" s="297"/>
      <c r="AM64" s="297"/>
      <c r="AN64" s="297"/>
      <c r="AO64" s="297"/>
      <c r="AP64" s="297"/>
      <c r="AQ64" s="297"/>
      <c r="AR64" s="297"/>
      <c r="AS64" s="297"/>
      <c r="AT64" s="297"/>
      <c r="AU64" s="297"/>
      <c r="AV64" s="297"/>
      <c r="AW64" s="297"/>
      <c r="AX64" s="297"/>
      <c r="AY64" s="297"/>
      <c r="AZ64" s="297"/>
      <c r="BA64" s="297"/>
      <c r="BB64" s="297"/>
      <c r="BC64" s="297"/>
      <c r="BD64" s="297"/>
      <c r="BE64" s="297"/>
      <c r="BF64" s="297"/>
      <c r="BG64" s="297"/>
      <c r="BH64" s="297"/>
      <c r="BI64" s="297"/>
      <c r="BJ64" s="297"/>
      <c r="BK64" s="297"/>
      <c r="BL64" s="297"/>
      <c r="BM64" s="297"/>
      <c r="BN64" s="297"/>
      <c r="BO64" s="297"/>
      <c r="BP64" s="297"/>
      <c r="BQ64" s="297"/>
      <c r="BR64" s="297"/>
      <c r="BS64" s="297"/>
    </row>
    <row r="65" spans="1:71">
      <c r="B65" s="313"/>
      <c r="I65" s="356"/>
      <c r="J65" s="356"/>
      <c r="K65" s="356" t="str">
        <f>K8</f>
        <v>American Transmission Company LLC</v>
      </c>
      <c r="L65" s="356"/>
      <c r="M65" s="356"/>
      <c r="N65" s="356"/>
      <c r="O65" s="356"/>
      <c r="P65" s="356"/>
      <c r="Q65" s="356"/>
      <c r="R65" s="356"/>
      <c r="S65" s="311"/>
      <c r="T65" s="311"/>
      <c r="U65" s="320"/>
      <c r="V65" s="309"/>
      <c r="W65" s="320"/>
      <c r="X65" s="321"/>
      <c r="Y65" s="297"/>
      <c r="Z65" s="297"/>
      <c r="AA65" s="297"/>
      <c r="AB65" s="297"/>
      <c r="AC65" s="297"/>
      <c r="AD65" s="297"/>
      <c r="AE65" s="297"/>
      <c r="AF65" s="297"/>
      <c r="AG65" s="297"/>
      <c r="AH65" s="297"/>
      <c r="AI65" s="297"/>
      <c r="AJ65" s="297"/>
      <c r="AK65" s="297"/>
      <c r="AL65" s="297"/>
      <c r="AM65" s="297"/>
      <c r="AN65" s="297"/>
      <c r="AO65" s="297"/>
      <c r="AP65" s="297"/>
      <c r="AQ65" s="297"/>
      <c r="AR65" s="297"/>
      <c r="AS65" s="297"/>
      <c r="AT65" s="297"/>
      <c r="AU65" s="297"/>
      <c r="AV65" s="297"/>
      <c r="AW65" s="297"/>
      <c r="AX65" s="297"/>
      <c r="AY65" s="297"/>
      <c r="AZ65" s="297"/>
      <c r="BA65" s="297"/>
      <c r="BB65" s="297"/>
      <c r="BC65" s="297"/>
      <c r="BD65" s="297"/>
      <c r="BE65" s="297"/>
      <c r="BF65" s="297"/>
      <c r="BG65" s="297"/>
      <c r="BH65" s="297"/>
      <c r="BI65" s="297"/>
      <c r="BJ65" s="297"/>
      <c r="BK65" s="297"/>
      <c r="BL65" s="297"/>
      <c r="BM65" s="297"/>
      <c r="BN65" s="297"/>
      <c r="BO65" s="297"/>
      <c r="BP65" s="297"/>
      <c r="BQ65" s="297"/>
      <c r="BR65" s="297"/>
      <c r="BS65" s="297"/>
    </row>
    <row r="66" spans="1:71">
      <c r="B66" s="313"/>
      <c r="I66" s="322"/>
      <c r="J66" s="322"/>
      <c r="K66" s="322"/>
      <c r="L66" s="322"/>
      <c r="M66" s="322"/>
      <c r="N66" s="322"/>
      <c r="O66" s="322"/>
      <c r="P66" s="322"/>
      <c r="Q66" s="322"/>
      <c r="R66" s="322"/>
      <c r="S66" s="322"/>
      <c r="T66" s="322"/>
      <c r="U66" s="320"/>
      <c r="V66" s="309"/>
      <c r="W66" s="320"/>
      <c r="X66" s="321"/>
      <c r="Y66" s="297"/>
      <c r="Z66" s="297"/>
      <c r="AA66" s="297"/>
      <c r="AB66" s="297"/>
      <c r="AC66" s="297"/>
      <c r="AD66" s="297"/>
      <c r="AE66" s="297"/>
      <c r="AF66" s="297"/>
      <c r="AG66" s="297"/>
      <c r="AH66" s="297"/>
      <c r="AI66" s="297"/>
      <c r="AJ66" s="297"/>
      <c r="AK66" s="297"/>
      <c r="AL66" s="297"/>
      <c r="AM66" s="297"/>
      <c r="AN66" s="297"/>
      <c r="AO66" s="297"/>
      <c r="AP66" s="297"/>
      <c r="AQ66" s="297"/>
      <c r="AR66" s="297"/>
      <c r="AS66" s="297"/>
      <c r="AT66" s="297"/>
      <c r="AU66" s="297"/>
      <c r="AV66" s="297"/>
      <c r="AW66" s="297"/>
      <c r="AX66" s="297"/>
      <c r="AY66" s="297"/>
      <c r="AZ66" s="297"/>
      <c r="BA66" s="297"/>
      <c r="BB66" s="297"/>
      <c r="BC66" s="297"/>
      <c r="BD66" s="297"/>
      <c r="BE66" s="297"/>
      <c r="BF66" s="297"/>
      <c r="BG66" s="297"/>
      <c r="BH66" s="297"/>
      <c r="BI66" s="297"/>
      <c r="BJ66" s="297"/>
      <c r="BK66" s="297"/>
      <c r="BL66" s="297"/>
      <c r="BM66" s="297"/>
      <c r="BN66" s="297"/>
      <c r="BO66" s="297"/>
      <c r="BP66" s="297"/>
      <c r="BQ66" s="297"/>
      <c r="BR66" s="297"/>
      <c r="BS66" s="297"/>
    </row>
    <row r="67" spans="1:71" ht="15.75">
      <c r="B67" s="313"/>
      <c r="D67" s="356"/>
      <c r="E67" s="356"/>
      <c r="F67" s="356"/>
      <c r="G67" s="356"/>
      <c r="H67" s="356"/>
      <c r="I67" s="329" t="s">
        <v>502</v>
      </c>
      <c r="J67" s="329"/>
      <c r="M67" s="267"/>
      <c r="N67" s="267"/>
      <c r="O67" s="267"/>
      <c r="P67" s="267"/>
      <c r="Q67" s="267"/>
      <c r="R67" s="267"/>
      <c r="S67" s="311"/>
      <c r="T67" s="311"/>
      <c r="U67" s="320"/>
      <c r="V67" s="309"/>
      <c r="W67" s="320"/>
      <c r="X67" s="321"/>
      <c r="Y67" s="297"/>
      <c r="Z67" s="297"/>
      <c r="AA67" s="297"/>
      <c r="AB67" s="297"/>
      <c r="AC67" s="297"/>
      <c r="AD67" s="297"/>
      <c r="AE67" s="297"/>
      <c r="AF67" s="297"/>
      <c r="AG67" s="297"/>
      <c r="AH67" s="297"/>
      <c r="AI67" s="297"/>
      <c r="AJ67" s="297"/>
      <c r="AK67" s="297"/>
      <c r="AL67" s="297"/>
      <c r="AM67" s="297"/>
      <c r="AN67" s="297"/>
      <c r="AO67" s="297"/>
      <c r="AP67" s="297"/>
      <c r="AQ67" s="297"/>
      <c r="AR67" s="297"/>
      <c r="AS67" s="297"/>
      <c r="AT67" s="297"/>
      <c r="AU67" s="297"/>
      <c r="AV67" s="297"/>
      <c r="AW67" s="297"/>
      <c r="AX67" s="297"/>
      <c r="AY67" s="297"/>
      <c r="AZ67" s="297"/>
      <c r="BA67" s="297"/>
      <c r="BB67" s="297"/>
      <c r="BC67" s="297"/>
      <c r="BD67" s="297"/>
      <c r="BE67" s="297"/>
      <c r="BF67" s="297"/>
      <c r="BG67" s="297"/>
      <c r="BH67" s="297"/>
      <c r="BI67" s="297"/>
      <c r="BJ67" s="297"/>
      <c r="BK67" s="297"/>
      <c r="BL67" s="297"/>
      <c r="BM67" s="297"/>
      <c r="BN67" s="297"/>
      <c r="BO67" s="297"/>
      <c r="BP67" s="297"/>
      <c r="BQ67" s="297"/>
      <c r="BR67" s="297"/>
      <c r="BS67" s="297"/>
    </row>
    <row r="68" spans="1:71" ht="15.75">
      <c r="B68" s="313"/>
      <c r="D68" s="356"/>
      <c r="E68" s="356"/>
      <c r="F68" s="356"/>
      <c r="G68" s="356"/>
      <c r="H68" s="356"/>
      <c r="I68" s="329"/>
      <c r="J68" s="329"/>
      <c r="M68" s="267"/>
      <c r="N68" s="267"/>
      <c r="O68" s="267"/>
      <c r="P68" s="267"/>
      <c r="Q68" s="267"/>
      <c r="R68" s="267"/>
      <c r="S68" s="311"/>
      <c r="T68" s="311"/>
      <c r="U68" s="320"/>
      <c r="V68" s="309"/>
      <c r="W68" s="320"/>
      <c r="X68" s="321"/>
      <c r="Y68" s="297"/>
      <c r="Z68" s="297"/>
      <c r="AA68" s="297"/>
      <c r="AB68" s="297"/>
      <c r="AC68" s="297"/>
      <c r="AD68" s="297"/>
      <c r="AE68" s="297"/>
      <c r="AF68" s="297"/>
      <c r="AG68" s="297"/>
      <c r="AH68" s="297"/>
      <c r="AI68" s="297"/>
      <c r="AJ68" s="297"/>
      <c r="AK68" s="297"/>
      <c r="AL68" s="297"/>
      <c r="AM68" s="297"/>
      <c r="AN68" s="297"/>
      <c r="AO68" s="297"/>
      <c r="AP68" s="297"/>
      <c r="AQ68" s="297"/>
      <c r="AR68" s="297"/>
      <c r="AS68" s="297"/>
      <c r="AT68" s="297"/>
      <c r="AU68" s="297"/>
      <c r="AV68" s="297"/>
      <c r="AW68" s="297"/>
      <c r="AX68" s="297"/>
      <c r="AY68" s="297"/>
      <c r="AZ68" s="297"/>
      <c r="BA68" s="297"/>
      <c r="BB68" s="297"/>
      <c r="BC68" s="297"/>
      <c r="BD68" s="297"/>
      <c r="BE68" s="297"/>
      <c r="BF68" s="297"/>
      <c r="BG68" s="297"/>
      <c r="BH68" s="297"/>
      <c r="BI68" s="297"/>
      <c r="BJ68" s="297"/>
      <c r="BK68" s="297"/>
      <c r="BL68" s="297"/>
      <c r="BM68" s="297"/>
      <c r="BN68" s="297"/>
      <c r="BO68" s="297"/>
      <c r="BP68" s="297"/>
      <c r="BQ68" s="297"/>
      <c r="BR68" s="297"/>
      <c r="BS68" s="297"/>
    </row>
    <row r="69" spans="1:71" ht="15.75">
      <c r="B69" s="358"/>
      <c r="D69" s="359" t="s">
        <v>62</v>
      </c>
      <c r="E69" s="359" t="s">
        <v>63</v>
      </c>
      <c r="F69" s="359" t="s">
        <v>64</v>
      </c>
      <c r="G69" s="359" t="s">
        <v>65</v>
      </c>
      <c r="H69" s="359" t="s">
        <v>66</v>
      </c>
      <c r="I69" s="359" t="s">
        <v>503</v>
      </c>
      <c r="J69" s="359" t="s">
        <v>504</v>
      </c>
      <c r="K69" s="359" t="s">
        <v>505</v>
      </c>
      <c r="L69" s="359" t="s">
        <v>506</v>
      </c>
      <c r="M69" s="359" t="s">
        <v>507</v>
      </c>
      <c r="N69" s="359" t="s">
        <v>508</v>
      </c>
      <c r="O69" s="359" t="s">
        <v>509</v>
      </c>
      <c r="P69" s="359" t="s">
        <v>510</v>
      </c>
      <c r="Q69" s="359" t="s">
        <v>511</v>
      </c>
      <c r="R69" s="359" t="s">
        <v>512</v>
      </c>
      <c r="S69" s="359" t="s">
        <v>513</v>
      </c>
      <c r="T69" s="359" t="s">
        <v>514</v>
      </c>
      <c r="U69" s="320"/>
      <c r="V69" s="309"/>
      <c r="W69" s="320"/>
      <c r="X69" s="321"/>
      <c r="Y69" s="297"/>
      <c r="Z69" s="297"/>
      <c r="AA69" s="297"/>
      <c r="AB69" s="297"/>
      <c r="AC69" s="297"/>
      <c r="AD69" s="297"/>
      <c r="AE69" s="297"/>
      <c r="AF69" s="297"/>
      <c r="AG69" s="297"/>
      <c r="AH69" s="297"/>
      <c r="AI69" s="297"/>
      <c r="AJ69" s="297"/>
      <c r="AK69" s="297"/>
      <c r="AL69" s="297"/>
      <c r="AM69" s="297"/>
      <c r="AN69" s="297"/>
      <c r="AO69" s="297"/>
      <c r="AP69" s="297"/>
      <c r="AQ69" s="297"/>
      <c r="AR69" s="297"/>
      <c r="AS69" s="297"/>
      <c r="AT69" s="297"/>
      <c r="AU69" s="297"/>
      <c r="AV69" s="297"/>
      <c r="AW69" s="297"/>
      <c r="AX69" s="297"/>
      <c r="AY69" s="297"/>
      <c r="AZ69" s="297"/>
      <c r="BA69" s="297"/>
      <c r="BB69" s="297"/>
      <c r="BC69" s="297"/>
      <c r="BD69" s="297"/>
      <c r="BE69" s="297"/>
      <c r="BF69" s="297"/>
      <c r="BG69" s="297"/>
      <c r="BH69" s="297"/>
      <c r="BI69" s="297"/>
      <c r="BJ69" s="297"/>
      <c r="BK69" s="297"/>
      <c r="BL69" s="297"/>
      <c r="BM69" s="297"/>
      <c r="BN69" s="297"/>
      <c r="BO69" s="297"/>
      <c r="BP69" s="297"/>
      <c r="BQ69" s="297"/>
      <c r="BR69" s="297"/>
      <c r="BS69" s="297"/>
    </row>
    <row r="70" spans="1:71" ht="65.25" customHeight="1">
      <c r="B70" s="360" t="s">
        <v>409</v>
      </c>
      <c r="C70" s="361"/>
      <c r="D70" s="362" t="s">
        <v>410</v>
      </c>
      <c r="E70" s="362" t="s">
        <v>411</v>
      </c>
      <c r="F70" s="362" t="s">
        <v>515</v>
      </c>
      <c r="G70" s="362" t="s">
        <v>516</v>
      </c>
      <c r="H70" s="362" t="s">
        <v>517</v>
      </c>
      <c r="I70" s="254" t="s">
        <v>518</v>
      </c>
      <c r="J70" s="254" t="s">
        <v>519</v>
      </c>
      <c r="K70" s="363" t="s">
        <v>520</v>
      </c>
      <c r="L70" s="364" t="s">
        <v>413</v>
      </c>
      <c r="M70" s="254" t="s">
        <v>414</v>
      </c>
      <c r="N70" s="254" t="s">
        <v>404</v>
      </c>
      <c r="O70" s="364" t="s">
        <v>415</v>
      </c>
      <c r="P70" s="254" t="s">
        <v>416</v>
      </c>
      <c r="Q70" s="254" t="s">
        <v>417</v>
      </c>
      <c r="R70" s="365" t="s">
        <v>418</v>
      </c>
      <c r="S70" s="366" t="s">
        <v>419</v>
      </c>
      <c r="T70" s="365" t="s">
        <v>521</v>
      </c>
      <c r="U70" s="342"/>
      <c r="V70" s="309"/>
      <c r="W70" s="320"/>
      <c r="X70" s="321"/>
      <c r="Y70" s="297"/>
      <c r="Z70" s="297"/>
      <c r="AA70" s="297"/>
      <c r="AB70" s="297"/>
      <c r="AC70" s="297"/>
      <c r="AD70" s="297"/>
      <c r="AE70" s="297"/>
      <c r="AF70" s="297"/>
      <c r="AG70" s="297"/>
      <c r="AH70" s="297"/>
      <c r="AI70" s="297"/>
      <c r="AJ70" s="297"/>
      <c r="AK70" s="297"/>
      <c r="AL70" s="297"/>
      <c r="AM70" s="297"/>
      <c r="AN70" s="297"/>
      <c r="AO70" s="297"/>
      <c r="AP70" s="297"/>
      <c r="AQ70" s="297"/>
      <c r="AR70" s="297"/>
      <c r="AS70" s="297"/>
      <c r="AT70" s="297"/>
      <c r="AU70" s="297"/>
      <c r="AV70" s="297"/>
      <c r="AW70" s="297"/>
      <c r="AX70" s="297"/>
      <c r="AY70" s="297"/>
      <c r="AZ70" s="297"/>
      <c r="BA70" s="297"/>
      <c r="BB70" s="297"/>
      <c r="BC70" s="297"/>
      <c r="BD70" s="297"/>
      <c r="BE70" s="297"/>
      <c r="BF70" s="297"/>
      <c r="BG70" s="297"/>
      <c r="BH70" s="297"/>
      <c r="BI70" s="297"/>
      <c r="BJ70" s="297"/>
      <c r="BK70" s="297"/>
      <c r="BL70" s="297"/>
      <c r="BM70" s="297"/>
      <c r="BN70" s="297"/>
      <c r="BO70" s="297"/>
      <c r="BP70" s="297"/>
      <c r="BQ70" s="297"/>
      <c r="BR70" s="297"/>
      <c r="BS70" s="297"/>
    </row>
    <row r="71" spans="1:71" ht="46.5" customHeight="1">
      <c r="B71" s="367"/>
      <c r="C71" s="368"/>
      <c r="D71" s="368"/>
      <c r="E71" s="368"/>
      <c r="F71" s="369" t="s">
        <v>33</v>
      </c>
      <c r="G71" s="368"/>
      <c r="H71" s="370" t="s">
        <v>522</v>
      </c>
      <c r="I71" s="371" t="s">
        <v>523</v>
      </c>
      <c r="J71" s="372" t="s">
        <v>524</v>
      </c>
      <c r="K71" s="371" t="s">
        <v>525</v>
      </c>
      <c r="L71" s="373" t="s">
        <v>526</v>
      </c>
      <c r="M71" s="371" t="s">
        <v>527</v>
      </c>
      <c r="N71" s="372" t="s">
        <v>423</v>
      </c>
      <c r="O71" s="374" t="s">
        <v>528</v>
      </c>
      <c r="P71" s="372" t="s">
        <v>57</v>
      </c>
      <c r="Q71" s="372" t="s">
        <v>425</v>
      </c>
      <c r="R71" s="374" t="s">
        <v>529</v>
      </c>
      <c r="S71" s="375" t="s">
        <v>427</v>
      </c>
      <c r="T71" s="376" t="s">
        <v>530</v>
      </c>
      <c r="U71" s="320"/>
      <c r="V71" s="309"/>
      <c r="W71" s="320"/>
      <c r="X71" s="321"/>
      <c r="Y71" s="297"/>
      <c r="Z71" s="297"/>
      <c r="AA71" s="297"/>
      <c r="AB71" s="297"/>
      <c r="AC71" s="297"/>
      <c r="AD71" s="297"/>
      <c r="AE71" s="297"/>
      <c r="AF71" s="297"/>
      <c r="AG71" s="297"/>
      <c r="AH71" s="297"/>
      <c r="AI71" s="297"/>
      <c r="AJ71" s="297"/>
      <c r="AK71" s="297"/>
      <c r="AL71" s="297"/>
      <c r="AM71" s="297"/>
      <c r="AN71" s="297"/>
      <c r="AO71" s="297"/>
      <c r="AP71" s="297"/>
      <c r="AQ71" s="297"/>
      <c r="AR71" s="297"/>
      <c r="AS71" s="297"/>
      <c r="AT71" s="297"/>
      <c r="AU71" s="297"/>
      <c r="AV71" s="297"/>
      <c r="AW71" s="297"/>
      <c r="AX71" s="297"/>
      <c r="AY71" s="297"/>
      <c r="AZ71" s="297"/>
      <c r="BA71" s="297"/>
      <c r="BB71" s="297"/>
      <c r="BC71" s="297"/>
      <c r="BD71" s="297"/>
      <c r="BE71" s="297"/>
      <c r="BF71" s="297"/>
      <c r="BG71" s="297"/>
      <c r="BH71" s="297"/>
      <c r="BI71" s="297"/>
      <c r="BJ71" s="297"/>
      <c r="BK71" s="297"/>
      <c r="BL71" s="297"/>
      <c r="BM71" s="297"/>
      <c r="BN71" s="297"/>
      <c r="BO71" s="297"/>
      <c r="BP71" s="297"/>
      <c r="BQ71" s="297"/>
      <c r="BR71" s="297"/>
      <c r="BS71" s="297"/>
    </row>
    <row r="72" spans="1:71">
      <c r="B72" s="377" t="s">
        <v>531</v>
      </c>
      <c r="C72" s="267"/>
      <c r="D72" s="267"/>
      <c r="E72" s="267"/>
      <c r="F72" s="267"/>
      <c r="G72" s="267"/>
      <c r="H72" s="267"/>
      <c r="I72" s="267"/>
      <c r="J72" s="267"/>
      <c r="K72" s="267"/>
      <c r="L72" s="378"/>
      <c r="M72" s="267"/>
      <c r="N72" s="267"/>
      <c r="O72" s="378"/>
      <c r="P72" s="267"/>
      <c r="Q72" s="267"/>
      <c r="R72" s="378"/>
      <c r="S72" s="311"/>
      <c r="T72" s="379"/>
      <c r="U72" s="320"/>
      <c r="V72" s="309"/>
      <c r="W72" s="320"/>
      <c r="X72" s="321"/>
      <c r="Y72" s="297"/>
      <c r="Z72" s="297"/>
      <c r="AA72" s="297"/>
      <c r="AB72" s="297"/>
      <c r="AC72" s="297"/>
      <c r="AD72" s="297"/>
      <c r="AE72" s="297"/>
      <c r="AF72" s="297"/>
      <c r="AG72" s="297"/>
      <c r="AH72" s="297"/>
      <c r="AI72" s="297"/>
      <c r="AJ72" s="297"/>
      <c r="AK72" s="297"/>
      <c r="AL72" s="297"/>
      <c r="AM72" s="297"/>
      <c r="AN72" s="297"/>
      <c r="AO72" s="297"/>
      <c r="AP72" s="297"/>
      <c r="AQ72" s="297"/>
      <c r="AR72" s="297"/>
      <c r="AS72" s="297"/>
      <c r="AT72" s="297"/>
      <c r="AU72" s="297"/>
      <c r="AV72" s="297"/>
      <c r="AW72" s="297"/>
      <c r="AX72" s="297"/>
      <c r="AY72" s="297"/>
      <c r="AZ72" s="297"/>
      <c r="BA72" s="297"/>
      <c r="BB72" s="297"/>
      <c r="BC72" s="297"/>
      <c r="BD72" s="297"/>
      <c r="BE72" s="297"/>
      <c r="BF72" s="297"/>
      <c r="BG72" s="297"/>
      <c r="BH72" s="297"/>
      <c r="BI72" s="297"/>
      <c r="BJ72" s="297"/>
      <c r="BK72" s="297"/>
      <c r="BL72" s="297"/>
      <c r="BM72" s="297"/>
      <c r="BN72" s="297"/>
      <c r="BO72" s="297"/>
      <c r="BP72" s="297"/>
      <c r="BQ72" s="297"/>
      <c r="BR72" s="297"/>
      <c r="BS72" s="297"/>
    </row>
    <row r="73" spans="1:71" s="297" customFormat="1">
      <c r="A73" s="380"/>
      <c r="B73" s="381" t="s">
        <v>142</v>
      </c>
      <c r="D73" s="382" t="s">
        <v>542</v>
      </c>
      <c r="E73" s="383">
        <v>2844</v>
      </c>
      <c r="F73" s="384">
        <f>SUM(V124,V125)</f>
        <v>23015619.745384615</v>
      </c>
      <c r="G73" s="387">
        <f>+F73-M73</f>
        <v>12868.280769232661</v>
      </c>
      <c r="H73" s="238">
        <f t="shared" ref="H73:H75" si="0">$M$30</f>
        <v>8.5799086934897517E-2</v>
      </c>
      <c r="I73" s="385">
        <f t="shared" ref="I73:I75" si="1">G73*H73</f>
        <v>1104.086740422063</v>
      </c>
      <c r="J73" s="238">
        <f t="shared" ref="J73:J75" si="2">$M$45</f>
        <v>1.6506457974158745E-2</v>
      </c>
      <c r="K73" s="385">
        <f t="shared" ref="K73:K75" si="3">F73*J73</f>
        <v>379906.36007640936</v>
      </c>
      <c r="L73" s="386">
        <f t="shared" ref="L73:L75" si="4">I73+K73</f>
        <v>381010.44681683142</v>
      </c>
      <c r="M73" s="384">
        <f>SUM(V124,V129)</f>
        <v>23002751.464615382</v>
      </c>
      <c r="N73" s="238">
        <f t="shared" ref="N73:N75" si="5">$M$55</f>
        <v>0.1058855235162894</v>
      </c>
      <c r="O73" s="386">
        <f t="shared" ref="O73:O75" si="6">M73*N73</f>
        <v>2435658.3811458922</v>
      </c>
      <c r="P73" s="384">
        <f>V127</f>
        <v>42478.049999999996</v>
      </c>
      <c r="Q73" s="384">
        <f>V123</f>
        <v>782.27</v>
      </c>
      <c r="R73" s="386">
        <f t="shared" ref="R73:R75" si="7">L73+O73+P73+Q73</f>
        <v>2859929.1479627234</v>
      </c>
      <c r="S73" s="387">
        <v>0</v>
      </c>
      <c r="T73" s="386">
        <f t="shared" ref="T73:T75" si="8">R73+S73</f>
        <v>2859929.1479627234</v>
      </c>
      <c r="V73" s="278"/>
    </row>
    <row r="74" spans="1:71" s="297" customFormat="1">
      <c r="A74" s="380"/>
      <c r="B74" s="381" t="s">
        <v>430</v>
      </c>
      <c r="D74" s="382" t="s">
        <v>541</v>
      </c>
      <c r="E74" s="383">
        <v>3127</v>
      </c>
      <c r="F74" s="384">
        <f>SUM(V132,V133)</f>
        <v>0</v>
      </c>
      <c r="G74" s="387">
        <f t="shared" ref="G74:G75" si="9">+F74-M74</f>
        <v>0</v>
      </c>
      <c r="H74" s="238">
        <f t="shared" si="0"/>
        <v>8.5799086934897517E-2</v>
      </c>
      <c r="I74" s="385">
        <f t="shared" si="1"/>
        <v>0</v>
      </c>
      <c r="J74" s="238">
        <f t="shared" si="2"/>
        <v>1.6506457974158745E-2</v>
      </c>
      <c r="K74" s="385">
        <f t="shared" si="3"/>
        <v>0</v>
      </c>
      <c r="L74" s="386">
        <f t="shared" si="4"/>
        <v>0</v>
      </c>
      <c r="M74" s="384">
        <f>SUM(V132,V137)</f>
        <v>0</v>
      </c>
      <c r="N74" s="238">
        <f t="shared" si="5"/>
        <v>0.1058855235162894</v>
      </c>
      <c r="O74" s="386">
        <f t="shared" si="6"/>
        <v>0</v>
      </c>
      <c r="P74" s="384">
        <f>V135</f>
        <v>0</v>
      </c>
      <c r="Q74" s="384">
        <f>V131</f>
        <v>2116123.8800000018</v>
      </c>
      <c r="R74" s="386">
        <f t="shared" si="7"/>
        <v>2116123.8800000018</v>
      </c>
      <c r="S74" s="387">
        <v>0</v>
      </c>
      <c r="T74" s="386">
        <f t="shared" si="8"/>
        <v>2116123.8800000018</v>
      </c>
      <c r="V74" s="278"/>
    </row>
    <row r="75" spans="1:71" s="297" customFormat="1">
      <c r="A75" s="380"/>
      <c r="B75" s="381"/>
      <c r="D75" s="382" t="s">
        <v>543</v>
      </c>
      <c r="E75" s="383" t="s">
        <v>543</v>
      </c>
      <c r="F75" s="387">
        <v>0</v>
      </c>
      <c r="G75" s="387">
        <f t="shared" si="9"/>
        <v>0</v>
      </c>
      <c r="H75" s="238">
        <f t="shared" si="0"/>
        <v>8.5799086934897517E-2</v>
      </c>
      <c r="I75" s="385">
        <f t="shared" si="1"/>
        <v>0</v>
      </c>
      <c r="J75" s="238">
        <f t="shared" si="2"/>
        <v>1.6506457974158745E-2</v>
      </c>
      <c r="K75" s="385">
        <f t="shared" si="3"/>
        <v>0</v>
      </c>
      <c r="L75" s="386">
        <f t="shared" si="4"/>
        <v>0</v>
      </c>
      <c r="M75" s="387">
        <v>0</v>
      </c>
      <c r="N75" s="238">
        <f t="shared" si="5"/>
        <v>0.1058855235162894</v>
      </c>
      <c r="O75" s="386">
        <f t="shared" si="6"/>
        <v>0</v>
      </c>
      <c r="P75" s="387">
        <v>0</v>
      </c>
      <c r="Q75" s="387">
        <v>0</v>
      </c>
      <c r="R75" s="386">
        <f t="shared" si="7"/>
        <v>0</v>
      </c>
      <c r="S75" s="387">
        <v>0</v>
      </c>
      <c r="T75" s="386">
        <f t="shared" si="8"/>
        <v>0</v>
      </c>
      <c r="V75" s="278"/>
    </row>
    <row r="76" spans="1:71" s="297" customFormat="1">
      <c r="A76" s="380" t="str">
        <f>IF(T76=0,"",COUNT($A$72:A75)+1)</f>
        <v/>
      </c>
      <c r="B76" s="381"/>
      <c r="D76" s="382" t="s">
        <v>543</v>
      </c>
      <c r="E76" s="383" t="s">
        <v>543</v>
      </c>
      <c r="F76" s="385"/>
      <c r="G76" s="385"/>
      <c r="H76" s="238"/>
      <c r="I76" s="385"/>
      <c r="J76" s="238"/>
      <c r="K76" s="385"/>
      <c r="L76" s="386"/>
      <c r="M76" s="385"/>
      <c r="N76" s="238"/>
      <c r="O76" s="386"/>
      <c r="P76" s="385"/>
      <c r="Q76" s="385"/>
      <c r="R76" s="386"/>
      <c r="S76" s="385"/>
      <c r="T76" s="386"/>
      <c r="V76" s="278"/>
    </row>
    <row r="77" spans="1:71" s="297" customFormat="1">
      <c r="A77" s="380" t="str">
        <f>IF(T77=0,"",COUNT($A$72:A76)+1)</f>
        <v/>
      </c>
      <c r="B77" s="381"/>
      <c r="D77" s="382" t="s">
        <v>543</v>
      </c>
      <c r="E77" s="383" t="s">
        <v>543</v>
      </c>
      <c r="F77" s="385"/>
      <c r="G77" s="385"/>
      <c r="H77" s="238"/>
      <c r="I77" s="385"/>
      <c r="J77" s="238"/>
      <c r="K77" s="385"/>
      <c r="L77" s="386"/>
      <c r="M77" s="385"/>
      <c r="N77" s="238"/>
      <c r="O77" s="386"/>
      <c r="P77" s="385"/>
      <c r="Q77" s="385"/>
      <c r="R77" s="386"/>
      <c r="S77" s="385"/>
      <c r="T77" s="386"/>
      <c r="V77" s="278"/>
    </row>
    <row r="78" spans="1:71" s="297" customFormat="1">
      <c r="A78" s="380" t="str">
        <f>IF(T78=0,"",COUNT($A$72:A77)+1)</f>
        <v/>
      </c>
      <c r="B78" s="381"/>
      <c r="D78" s="382" t="s">
        <v>543</v>
      </c>
      <c r="E78" s="383" t="s">
        <v>543</v>
      </c>
      <c r="F78" s="385"/>
      <c r="G78" s="385"/>
      <c r="H78" s="238"/>
      <c r="I78" s="385"/>
      <c r="J78" s="238"/>
      <c r="K78" s="385"/>
      <c r="L78" s="386"/>
      <c r="M78" s="385"/>
      <c r="N78" s="238"/>
      <c r="O78" s="386"/>
      <c r="P78" s="385"/>
      <c r="Q78" s="385"/>
      <c r="R78" s="386"/>
      <c r="S78" s="385"/>
      <c r="T78" s="386"/>
      <c r="V78" s="278"/>
    </row>
    <row r="79" spans="1:71" s="297" customFormat="1">
      <c r="A79" s="380" t="str">
        <f>IF(T79=0,"",COUNT($A$72:A78)+1)</f>
        <v/>
      </c>
      <c r="B79" s="381"/>
      <c r="D79" s="382" t="s">
        <v>543</v>
      </c>
      <c r="E79" s="383" t="s">
        <v>543</v>
      </c>
      <c r="F79" s="385"/>
      <c r="G79" s="385"/>
      <c r="H79" s="238"/>
      <c r="I79" s="385"/>
      <c r="J79" s="238"/>
      <c r="K79" s="385"/>
      <c r="L79" s="386"/>
      <c r="M79" s="385"/>
      <c r="N79" s="238"/>
      <c r="O79" s="386"/>
      <c r="P79" s="385"/>
      <c r="Q79" s="385"/>
      <c r="R79" s="386"/>
      <c r="S79" s="385"/>
      <c r="T79" s="386"/>
      <c r="V79" s="278"/>
    </row>
    <row r="80" spans="1:71" s="297" customFormat="1">
      <c r="A80" s="380" t="str">
        <f>IF(T80=0,"",COUNT($A$72:A79)+1)</f>
        <v/>
      </c>
      <c r="B80" s="381"/>
      <c r="D80" s="382" t="s">
        <v>543</v>
      </c>
      <c r="E80" s="383" t="s">
        <v>543</v>
      </c>
      <c r="F80" s="385"/>
      <c r="G80" s="385"/>
      <c r="H80" s="238"/>
      <c r="I80" s="385"/>
      <c r="J80" s="238"/>
      <c r="K80" s="385"/>
      <c r="L80" s="386"/>
      <c r="M80" s="385"/>
      <c r="N80" s="238"/>
      <c r="O80" s="386"/>
      <c r="P80" s="385"/>
      <c r="Q80" s="385"/>
      <c r="R80" s="386"/>
      <c r="S80" s="385"/>
      <c r="T80" s="386"/>
      <c r="V80" s="278"/>
    </row>
    <row r="81" spans="1:22" s="297" customFormat="1">
      <c r="A81" s="380" t="str">
        <f>IF(T81=0,"",COUNT($A$72:A80)+1)</f>
        <v/>
      </c>
      <c r="B81" s="381"/>
      <c r="D81" s="382" t="s">
        <v>543</v>
      </c>
      <c r="E81" s="383" t="s">
        <v>543</v>
      </c>
      <c r="F81" s="385"/>
      <c r="G81" s="385"/>
      <c r="H81" s="238"/>
      <c r="I81" s="385"/>
      <c r="J81" s="238"/>
      <c r="K81" s="385"/>
      <c r="L81" s="386"/>
      <c r="M81" s="385"/>
      <c r="N81" s="238"/>
      <c r="O81" s="386"/>
      <c r="P81" s="385"/>
      <c r="Q81" s="385"/>
      <c r="R81" s="386"/>
      <c r="S81" s="385"/>
      <c r="T81" s="386"/>
      <c r="V81" s="278"/>
    </row>
    <row r="82" spans="1:22" s="297" customFormat="1">
      <c r="A82" s="380" t="str">
        <f>IF(T82=0,"",COUNT($A$72:A81)+1)</f>
        <v/>
      </c>
      <c r="B82" s="381"/>
      <c r="D82" s="382" t="s">
        <v>543</v>
      </c>
      <c r="E82" s="383" t="s">
        <v>543</v>
      </c>
      <c r="F82" s="385"/>
      <c r="G82" s="385"/>
      <c r="H82" s="238"/>
      <c r="I82" s="385"/>
      <c r="J82" s="238"/>
      <c r="K82" s="385"/>
      <c r="L82" s="386"/>
      <c r="M82" s="385"/>
      <c r="N82" s="238"/>
      <c r="O82" s="386"/>
      <c r="P82" s="385"/>
      <c r="Q82" s="385"/>
      <c r="R82" s="386"/>
      <c r="S82" s="385"/>
      <c r="T82" s="386"/>
      <c r="V82" s="278"/>
    </row>
    <row r="83" spans="1:22" s="297" customFormat="1">
      <c r="A83" s="380" t="str">
        <f>IF(T83=0,"",COUNT($A$72:A82)+1)</f>
        <v/>
      </c>
      <c r="B83" s="381"/>
      <c r="D83" s="382" t="s">
        <v>543</v>
      </c>
      <c r="E83" s="383" t="s">
        <v>543</v>
      </c>
      <c r="F83" s="385"/>
      <c r="G83" s="385"/>
      <c r="H83" s="238"/>
      <c r="I83" s="385"/>
      <c r="J83" s="238"/>
      <c r="K83" s="385"/>
      <c r="L83" s="386"/>
      <c r="M83" s="385"/>
      <c r="N83" s="238"/>
      <c r="O83" s="386"/>
      <c r="P83" s="385"/>
      <c r="Q83" s="385"/>
      <c r="R83" s="386"/>
      <c r="S83" s="385"/>
      <c r="T83" s="386"/>
      <c r="V83" s="278"/>
    </row>
    <row r="84" spans="1:22" s="297" customFormat="1">
      <c r="A84" s="380" t="str">
        <f>IF(T84=0,"",COUNT($A$72:A83)+1)</f>
        <v/>
      </c>
      <c r="B84" s="381"/>
      <c r="D84" s="382" t="s">
        <v>543</v>
      </c>
      <c r="E84" s="383" t="s">
        <v>543</v>
      </c>
      <c r="F84" s="385"/>
      <c r="G84" s="385"/>
      <c r="H84" s="238"/>
      <c r="I84" s="385"/>
      <c r="J84" s="238"/>
      <c r="K84" s="385"/>
      <c r="L84" s="386"/>
      <c r="M84" s="385"/>
      <c r="N84" s="238"/>
      <c r="O84" s="386"/>
      <c r="P84" s="385"/>
      <c r="Q84" s="385"/>
      <c r="R84" s="386"/>
      <c r="S84" s="385"/>
      <c r="T84" s="386"/>
      <c r="V84" s="278"/>
    </row>
    <row r="85" spans="1:22" s="297" customFormat="1">
      <c r="A85" s="380" t="str">
        <f>IF(T85=0,"",COUNT($A$72:A84)+1)</f>
        <v/>
      </c>
      <c r="B85" s="381"/>
      <c r="D85" s="382" t="s">
        <v>543</v>
      </c>
      <c r="E85" s="383" t="s">
        <v>543</v>
      </c>
      <c r="F85" s="385"/>
      <c r="G85" s="385"/>
      <c r="H85" s="238"/>
      <c r="I85" s="385"/>
      <c r="J85" s="238"/>
      <c r="K85" s="385"/>
      <c r="L85" s="386"/>
      <c r="M85" s="385"/>
      <c r="N85" s="238"/>
      <c r="O85" s="386"/>
      <c r="P85" s="385"/>
      <c r="Q85" s="385"/>
      <c r="R85" s="386"/>
      <c r="S85" s="385"/>
      <c r="T85" s="386"/>
      <c r="V85" s="278"/>
    </row>
    <row r="86" spans="1:22" s="297" customFormat="1">
      <c r="A86" s="380" t="str">
        <f>IF(T86=0,"",COUNT($A$72:A85)+1)</f>
        <v/>
      </c>
      <c r="B86" s="381"/>
      <c r="D86" s="382" t="s">
        <v>543</v>
      </c>
      <c r="E86" s="383" t="s">
        <v>543</v>
      </c>
      <c r="F86" s="385"/>
      <c r="G86" s="385"/>
      <c r="H86" s="238"/>
      <c r="I86" s="385"/>
      <c r="J86" s="238"/>
      <c r="K86" s="385"/>
      <c r="L86" s="386"/>
      <c r="M86" s="385"/>
      <c r="N86" s="238"/>
      <c r="O86" s="386"/>
      <c r="P86" s="385"/>
      <c r="Q86" s="385"/>
      <c r="R86" s="386"/>
      <c r="S86" s="385"/>
      <c r="T86" s="386"/>
      <c r="V86" s="278"/>
    </row>
    <row r="87" spans="1:22" s="297" customFormat="1">
      <c r="A87" s="380" t="str">
        <f>IF(T87=0,"",COUNT($A$72:A86)+1)</f>
        <v/>
      </c>
      <c r="B87" s="381"/>
      <c r="D87" s="382" t="s">
        <v>543</v>
      </c>
      <c r="E87" s="383" t="s">
        <v>543</v>
      </c>
      <c r="F87" s="385"/>
      <c r="G87" s="385"/>
      <c r="H87" s="238"/>
      <c r="I87" s="385"/>
      <c r="J87" s="238"/>
      <c r="K87" s="385"/>
      <c r="L87" s="386"/>
      <c r="M87" s="385"/>
      <c r="N87" s="238"/>
      <c r="O87" s="386"/>
      <c r="P87" s="385"/>
      <c r="Q87" s="385"/>
      <c r="R87" s="386"/>
      <c r="S87" s="385"/>
      <c r="T87" s="386"/>
      <c r="V87" s="278"/>
    </row>
    <row r="88" spans="1:22" s="297" customFormat="1">
      <c r="A88" s="380" t="str">
        <f>IF(T88=0,"",COUNT($A$72:A87)+1)</f>
        <v/>
      </c>
      <c r="B88" s="381"/>
      <c r="D88" s="382" t="s">
        <v>543</v>
      </c>
      <c r="E88" s="383" t="s">
        <v>543</v>
      </c>
      <c r="F88" s="385"/>
      <c r="G88" s="385"/>
      <c r="H88" s="238"/>
      <c r="I88" s="385"/>
      <c r="J88" s="238"/>
      <c r="K88" s="385"/>
      <c r="L88" s="386"/>
      <c r="M88" s="385"/>
      <c r="N88" s="238"/>
      <c r="O88" s="386"/>
      <c r="P88" s="385"/>
      <c r="Q88" s="385"/>
      <c r="R88" s="386"/>
      <c r="S88" s="385"/>
      <c r="T88" s="386"/>
      <c r="V88" s="278"/>
    </row>
    <row r="89" spans="1:22" s="297" customFormat="1">
      <c r="A89" s="380" t="str">
        <f>IF(T89=0,"",COUNT($A$72:A88)+1)</f>
        <v/>
      </c>
      <c r="B89" s="381"/>
      <c r="D89" s="382" t="s">
        <v>543</v>
      </c>
      <c r="E89" s="383" t="s">
        <v>543</v>
      </c>
      <c r="F89" s="385"/>
      <c r="G89" s="385"/>
      <c r="H89" s="238"/>
      <c r="I89" s="385"/>
      <c r="J89" s="238"/>
      <c r="K89" s="385"/>
      <c r="L89" s="386"/>
      <c r="M89" s="385"/>
      <c r="N89" s="238"/>
      <c r="O89" s="386"/>
      <c r="P89" s="385"/>
      <c r="Q89" s="385"/>
      <c r="R89" s="386"/>
      <c r="S89" s="385"/>
      <c r="T89" s="386"/>
      <c r="V89" s="278"/>
    </row>
    <row r="90" spans="1:22" s="297" customFormat="1">
      <c r="A90" s="380" t="str">
        <f>IF(T90=0,"",COUNT($A$72:A89)+1)</f>
        <v/>
      </c>
      <c r="B90" s="381"/>
      <c r="D90" s="382" t="s">
        <v>543</v>
      </c>
      <c r="E90" s="383" t="s">
        <v>543</v>
      </c>
      <c r="F90" s="385"/>
      <c r="G90" s="385"/>
      <c r="H90" s="238"/>
      <c r="I90" s="385"/>
      <c r="J90" s="238"/>
      <c r="K90" s="385"/>
      <c r="L90" s="386"/>
      <c r="M90" s="385"/>
      <c r="N90" s="238"/>
      <c r="O90" s="386"/>
      <c r="P90" s="385"/>
      <c r="Q90" s="385"/>
      <c r="R90" s="386"/>
      <c r="S90" s="385"/>
      <c r="T90" s="386"/>
      <c r="V90" s="278"/>
    </row>
    <row r="91" spans="1:22" s="297" customFormat="1">
      <c r="A91" s="380" t="str">
        <f>IF(T91=0,"",COUNT($A$72:A90)+1)</f>
        <v/>
      </c>
      <c r="B91" s="381"/>
      <c r="D91" s="382" t="s">
        <v>543</v>
      </c>
      <c r="E91" s="383" t="s">
        <v>543</v>
      </c>
      <c r="F91" s="385"/>
      <c r="G91" s="385"/>
      <c r="H91" s="238"/>
      <c r="I91" s="385"/>
      <c r="J91" s="238"/>
      <c r="K91" s="385"/>
      <c r="L91" s="386"/>
      <c r="M91" s="385"/>
      <c r="N91" s="238"/>
      <c r="O91" s="386"/>
      <c r="P91" s="385"/>
      <c r="Q91" s="385"/>
      <c r="R91" s="386"/>
      <c r="S91" s="385"/>
      <c r="T91" s="386"/>
      <c r="V91" s="278"/>
    </row>
    <row r="92" spans="1:22" s="297" customFormat="1">
      <c r="A92" s="380" t="str">
        <f>IF(T92=0,"",COUNT($A$72:A91)+1)</f>
        <v/>
      </c>
      <c r="B92" s="381"/>
      <c r="D92" s="382" t="s">
        <v>543</v>
      </c>
      <c r="E92" s="383" t="s">
        <v>543</v>
      </c>
      <c r="F92" s="385"/>
      <c r="G92" s="385"/>
      <c r="H92" s="238"/>
      <c r="I92" s="385"/>
      <c r="J92" s="238"/>
      <c r="K92" s="385"/>
      <c r="L92" s="386"/>
      <c r="M92" s="385"/>
      <c r="N92" s="238"/>
      <c r="O92" s="386"/>
      <c r="P92" s="385"/>
      <c r="Q92" s="385"/>
      <c r="R92" s="386"/>
      <c r="S92" s="385"/>
      <c r="T92" s="386"/>
      <c r="V92" s="278"/>
    </row>
    <row r="93" spans="1:22" s="297" customFormat="1">
      <c r="A93" s="380" t="str">
        <f>IF(T93=0,"",COUNT($A$72:A92)+1)</f>
        <v/>
      </c>
      <c r="B93" s="381"/>
      <c r="D93" s="382" t="s">
        <v>543</v>
      </c>
      <c r="E93" s="383"/>
      <c r="F93" s="385"/>
      <c r="G93" s="385"/>
      <c r="H93" s="238"/>
      <c r="I93" s="385"/>
      <c r="J93" s="238"/>
      <c r="K93" s="385"/>
      <c r="L93" s="386"/>
      <c r="M93" s="385"/>
      <c r="N93" s="238"/>
      <c r="O93" s="386"/>
      <c r="P93" s="385"/>
      <c r="Q93" s="385"/>
      <c r="R93" s="386"/>
      <c r="S93" s="385"/>
      <c r="T93" s="386"/>
      <c r="V93" s="278"/>
    </row>
    <row r="94" spans="1:22" s="297" customFormat="1">
      <c r="A94" s="380" t="str">
        <f>IF(T94=0,"",COUNT($A$72:A93)+1)</f>
        <v/>
      </c>
      <c r="B94" s="381"/>
      <c r="D94" s="382" t="s">
        <v>543</v>
      </c>
      <c r="E94" s="383"/>
      <c r="F94" s="385"/>
      <c r="G94" s="385"/>
      <c r="H94" s="238"/>
      <c r="I94" s="385"/>
      <c r="J94" s="238"/>
      <c r="K94" s="385"/>
      <c r="L94" s="386"/>
      <c r="M94" s="385"/>
      <c r="N94" s="238"/>
      <c r="O94" s="386"/>
      <c r="P94" s="385"/>
      <c r="Q94" s="385"/>
      <c r="R94" s="386"/>
      <c r="S94" s="385"/>
      <c r="T94" s="386"/>
      <c r="V94" s="278"/>
    </row>
    <row r="95" spans="1:22" s="297" customFormat="1">
      <c r="A95" s="380" t="str">
        <f>IF(T95=0,"",COUNT($A$72:A94)+1)</f>
        <v/>
      </c>
      <c r="B95" s="381"/>
      <c r="D95" s="382" t="s">
        <v>543</v>
      </c>
      <c r="E95" s="383"/>
      <c r="F95" s="385"/>
      <c r="G95" s="385"/>
      <c r="H95" s="238"/>
      <c r="I95" s="385"/>
      <c r="J95" s="238"/>
      <c r="K95" s="385"/>
      <c r="L95" s="386"/>
      <c r="M95" s="385"/>
      <c r="N95" s="238"/>
      <c r="O95" s="386"/>
      <c r="P95" s="385"/>
      <c r="Q95" s="385"/>
      <c r="R95" s="386"/>
      <c r="S95" s="385"/>
      <c r="T95" s="386"/>
      <c r="V95" s="278"/>
    </row>
    <row r="96" spans="1:22" s="297" customFormat="1">
      <c r="A96" s="380" t="str">
        <f>IF(T96=0,"",COUNT($A$72:A95)+1)</f>
        <v/>
      </c>
      <c r="B96" s="381"/>
      <c r="D96" s="382" t="s">
        <v>543</v>
      </c>
      <c r="E96" s="383"/>
      <c r="F96" s="385"/>
      <c r="G96" s="385"/>
      <c r="H96" s="238"/>
      <c r="I96" s="385"/>
      <c r="J96" s="238"/>
      <c r="K96" s="385"/>
      <c r="L96" s="386"/>
      <c r="M96" s="385"/>
      <c r="N96" s="238"/>
      <c r="O96" s="386"/>
      <c r="P96" s="385"/>
      <c r="Q96" s="385"/>
      <c r="R96" s="386"/>
      <c r="S96" s="385"/>
      <c r="T96" s="386"/>
      <c r="V96" s="278"/>
    </row>
    <row r="97" spans="2:27">
      <c r="B97" s="388"/>
      <c r="C97" s="389"/>
      <c r="D97" s="390"/>
      <c r="E97" s="390"/>
      <c r="F97" s="390"/>
      <c r="G97" s="390"/>
      <c r="H97" s="390"/>
      <c r="I97" s="390"/>
      <c r="J97" s="390"/>
      <c r="K97" s="390"/>
      <c r="L97" s="391"/>
      <c r="M97" s="390"/>
      <c r="N97" s="390"/>
      <c r="O97" s="391"/>
      <c r="P97" s="390"/>
      <c r="Q97" s="390"/>
      <c r="R97" s="391"/>
      <c r="S97" s="390"/>
      <c r="T97" s="391"/>
      <c r="U97" s="299"/>
      <c r="V97" s="299"/>
      <c r="W97" s="299"/>
      <c r="X97" s="299"/>
      <c r="Y97" s="299"/>
      <c r="Z97" s="299"/>
      <c r="AA97" s="299"/>
    </row>
    <row r="98" spans="2:27">
      <c r="B98" s="314" t="s">
        <v>458</v>
      </c>
      <c r="C98" s="351"/>
      <c r="D98" s="322" t="s">
        <v>532</v>
      </c>
      <c r="E98" s="322"/>
      <c r="F98" s="322"/>
      <c r="G98" s="322"/>
      <c r="H98" s="322"/>
      <c r="I98" s="345"/>
      <c r="J98" s="345"/>
      <c r="K98" s="311"/>
      <c r="L98" s="311"/>
      <c r="M98" s="311"/>
      <c r="N98" s="311"/>
      <c r="O98" s="311"/>
      <c r="P98" s="311"/>
      <c r="Q98" s="311">
        <f>SUM(Q73:Q97)</f>
        <v>2116906.1500000018</v>
      </c>
      <c r="R98" s="392">
        <f>SUM(R73:R97)</f>
        <v>4976053.0279627256</v>
      </c>
      <c r="S98" s="392">
        <f>SUM(S73:S97)</f>
        <v>0</v>
      </c>
      <c r="T98" s="392">
        <f>SUM(T73:T97)</f>
        <v>4976053.0279627256</v>
      </c>
      <c r="U98" s="299"/>
      <c r="V98" s="299"/>
      <c r="W98" s="299"/>
      <c r="X98" s="299"/>
      <c r="Y98" s="299"/>
      <c r="Z98" s="299"/>
      <c r="AA98" s="299"/>
    </row>
    <row r="99" spans="2:27">
      <c r="B99" s="393"/>
      <c r="C99" s="299"/>
      <c r="D99" s="299"/>
      <c r="E99" s="299"/>
      <c r="F99" s="299"/>
      <c r="G99" s="299"/>
      <c r="H99" s="299"/>
      <c r="I99" s="299"/>
      <c r="J99" s="299"/>
      <c r="K99" s="299"/>
      <c r="L99" s="299"/>
      <c r="M99" s="299"/>
      <c r="N99" s="299"/>
      <c r="O99" s="299"/>
      <c r="P99" s="299"/>
      <c r="Q99" s="299"/>
      <c r="R99" s="299"/>
      <c r="S99" s="299"/>
      <c r="T99" s="299"/>
      <c r="U99" s="299"/>
      <c r="V99" s="299"/>
      <c r="W99" s="299"/>
      <c r="X99" s="299"/>
      <c r="Y99" s="299"/>
      <c r="Z99" s="299"/>
      <c r="AA99" s="299"/>
    </row>
    <row r="100" spans="2:27">
      <c r="B100" s="292">
        <v>3</v>
      </c>
      <c r="C100" s="299"/>
      <c r="D100" s="356" t="s">
        <v>460</v>
      </c>
      <c r="E100" s="356"/>
      <c r="F100" s="356"/>
      <c r="G100" s="356"/>
      <c r="H100" s="299"/>
      <c r="I100" s="299"/>
      <c r="J100" s="299"/>
      <c r="K100" s="299"/>
      <c r="L100" s="299"/>
      <c r="M100" s="299"/>
      <c r="N100" s="299"/>
      <c r="O100" s="299"/>
      <c r="P100" s="299"/>
      <c r="Q100" s="299"/>
      <c r="R100" s="392">
        <f>R98</f>
        <v>4976053.0279627256</v>
      </c>
      <c r="S100" s="299"/>
      <c r="T100" s="299"/>
      <c r="U100" s="299"/>
      <c r="V100" s="299"/>
      <c r="W100" s="299"/>
      <c r="X100" s="299"/>
      <c r="Y100" s="299"/>
      <c r="Z100" s="299"/>
      <c r="AA100" s="299"/>
    </row>
    <row r="101" spans="2:27">
      <c r="B101" s="299"/>
      <c r="C101" s="299"/>
      <c r="D101" s="299"/>
      <c r="E101" s="299"/>
      <c r="F101" s="299"/>
      <c r="G101" s="299"/>
      <c r="H101" s="299"/>
      <c r="I101" s="299"/>
      <c r="J101" s="299"/>
      <c r="K101" s="299"/>
      <c r="L101" s="299"/>
      <c r="M101" s="299"/>
      <c r="N101" s="299"/>
      <c r="O101" s="299"/>
      <c r="P101" s="299"/>
      <c r="Q101" s="299"/>
      <c r="R101" s="299"/>
      <c r="S101" s="299"/>
      <c r="T101" s="299"/>
      <c r="U101" s="299"/>
      <c r="V101" s="299"/>
      <c r="W101" s="299"/>
      <c r="X101" s="299"/>
      <c r="Y101" s="299"/>
      <c r="Z101" s="299"/>
      <c r="AA101" s="299"/>
    </row>
    <row r="102" spans="2:27">
      <c r="B102" s="299"/>
      <c r="C102" s="299"/>
      <c r="D102" s="299"/>
      <c r="E102" s="299"/>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299"/>
    </row>
    <row r="103" spans="2:27">
      <c r="B103" s="356" t="s">
        <v>284</v>
      </c>
      <c r="C103" s="299"/>
      <c r="D103" s="299"/>
      <c r="E103" s="299"/>
      <c r="F103" s="299"/>
      <c r="G103" s="299"/>
      <c r="H103" s="299"/>
      <c r="I103" s="299"/>
      <c r="J103" s="299"/>
      <c r="K103" s="299"/>
      <c r="L103" s="299"/>
      <c r="M103" s="299"/>
      <c r="N103" s="299"/>
      <c r="O103" s="299"/>
      <c r="P103" s="299"/>
      <c r="Q103" s="299"/>
      <c r="R103" s="299"/>
      <c r="S103" s="299"/>
      <c r="T103" s="299"/>
      <c r="U103" s="299"/>
      <c r="V103" s="299"/>
      <c r="W103" s="299"/>
      <c r="X103" s="299"/>
      <c r="Y103" s="299"/>
      <c r="Z103" s="299"/>
      <c r="AA103" s="299"/>
    </row>
    <row r="104" spans="2:27" ht="15.75" thickBot="1">
      <c r="B104" s="394" t="s">
        <v>285</v>
      </c>
      <c r="C104" s="299"/>
      <c r="D104" s="299"/>
      <c r="E104" s="299"/>
      <c r="F104" s="299"/>
      <c r="G104" s="299"/>
      <c r="H104" s="299"/>
      <c r="I104" s="299"/>
      <c r="J104" s="299"/>
      <c r="K104" s="299"/>
      <c r="L104" s="299"/>
      <c r="M104" s="299"/>
      <c r="N104" s="299"/>
      <c r="O104" s="299"/>
      <c r="P104" s="299"/>
      <c r="Q104" s="299"/>
      <c r="R104" s="299"/>
      <c r="S104" s="299"/>
      <c r="T104" s="299"/>
      <c r="U104" s="299"/>
      <c r="V104" s="299"/>
      <c r="W104" s="299"/>
      <c r="X104" s="299"/>
      <c r="Y104" s="299"/>
      <c r="Z104" s="299"/>
      <c r="AA104" s="299"/>
    </row>
    <row r="105" spans="2:27" ht="17.100000000000001" customHeight="1">
      <c r="B105" s="296" t="s">
        <v>286</v>
      </c>
      <c r="C105" s="297"/>
      <c r="D105" s="734" t="s">
        <v>533</v>
      </c>
      <c r="E105" s="734"/>
      <c r="F105" s="734"/>
      <c r="G105" s="734"/>
      <c r="H105" s="734"/>
      <c r="I105" s="734"/>
      <c r="J105" s="734"/>
      <c r="K105" s="734"/>
      <c r="L105" s="734"/>
      <c r="M105" s="734"/>
      <c r="N105" s="734"/>
      <c r="O105" s="734"/>
      <c r="P105" s="734"/>
      <c r="Q105" s="734"/>
      <c r="R105" s="734"/>
      <c r="S105" s="734"/>
      <c r="T105" s="734"/>
      <c r="U105" s="299"/>
      <c r="V105" s="299"/>
      <c r="W105" s="299"/>
      <c r="X105" s="299"/>
      <c r="Y105" s="299"/>
      <c r="Z105" s="299"/>
      <c r="AA105" s="299"/>
    </row>
    <row r="106" spans="2:27" ht="17.100000000000001" customHeight="1">
      <c r="B106" s="296"/>
      <c r="C106" s="297"/>
      <c r="D106" s="395"/>
      <c r="E106" s="396"/>
      <c r="F106" s="396"/>
      <c r="G106" s="396"/>
      <c r="H106" s="397"/>
      <c r="I106" s="397"/>
      <c r="J106" s="397"/>
      <c r="K106" s="397"/>
      <c r="L106" s="397"/>
      <c r="M106" s="397"/>
      <c r="N106" s="397"/>
      <c r="O106" s="397"/>
      <c r="P106" s="397"/>
      <c r="Q106" s="397"/>
      <c r="R106" s="397"/>
      <c r="S106" s="397"/>
      <c r="T106" s="397"/>
      <c r="U106" s="299"/>
      <c r="V106" s="299"/>
      <c r="W106" s="299"/>
      <c r="X106" s="299"/>
      <c r="Y106" s="299"/>
      <c r="Z106" s="299"/>
      <c r="AA106" s="299"/>
    </row>
    <row r="107" spans="2:27" ht="17.100000000000001" customHeight="1">
      <c r="B107" s="296" t="s">
        <v>288</v>
      </c>
      <c r="C107" s="297"/>
      <c r="D107" s="734" t="s">
        <v>534</v>
      </c>
      <c r="E107" s="734"/>
      <c r="F107" s="734"/>
      <c r="G107" s="734"/>
      <c r="H107" s="734"/>
      <c r="I107" s="734"/>
      <c r="J107" s="734"/>
      <c r="K107" s="734"/>
      <c r="L107" s="734"/>
      <c r="M107" s="734"/>
      <c r="N107" s="734"/>
      <c r="O107" s="734"/>
      <c r="P107" s="734"/>
      <c r="Q107" s="734"/>
      <c r="R107" s="734"/>
      <c r="S107" s="734"/>
      <c r="T107" s="734"/>
      <c r="U107" s="299"/>
      <c r="V107" s="299"/>
      <c r="W107" s="299"/>
      <c r="X107" s="299"/>
      <c r="Y107" s="299"/>
      <c r="Z107" s="299"/>
      <c r="AA107" s="299"/>
    </row>
    <row r="108" spans="2:27" ht="17.100000000000001" customHeight="1">
      <c r="B108" s="296" t="s">
        <v>290</v>
      </c>
      <c r="C108" s="297"/>
      <c r="D108" s="739" t="s">
        <v>535</v>
      </c>
      <c r="E108" s="739"/>
      <c r="F108" s="739"/>
      <c r="G108" s="739"/>
      <c r="H108" s="739"/>
      <c r="I108" s="739"/>
      <c r="J108" s="739"/>
      <c r="K108" s="739"/>
      <c r="L108" s="739"/>
      <c r="M108" s="739"/>
      <c r="N108" s="739"/>
      <c r="O108" s="739"/>
      <c r="P108" s="739"/>
      <c r="Q108" s="739"/>
      <c r="R108" s="739"/>
      <c r="S108" s="739"/>
      <c r="T108" s="739"/>
      <c r="U108" s="299"/>
      <c r="V108" s="299"/>
      <c r="W108" s="299"/>
      <c r="X108" s="299"/>
      <c r="Y108" s="299"/>
      <c r="Z108" s="299"/>
      <c r="AA108" s="299"/>
    </row>
    <row r="109" spans="2:27" ht="17.100000000000001" customHeight="1">
      <c r="B109" s="296"/>
      <c r="C109" s="297"/>
      <c r="D109" s="398"/>
      <c r="E109" s="399"/>
      <c r="F109" s="399"/>
      <c r="G109" s="399"/>
      <c r="H109" s="399"/>
      <c r="I109" s="399"/>
      <c r="J109" s="399"/>
      <c r="K109" s="399"/>
      <c r="L109" s="399"/>
      <c r="M109" s="399"/>
      <c r="N109" s="399"/>
      <c r="O109" s="399"/>
      <c r="P109" s="399"/>
      <c r="Q109" s="399"/>
      <c r="R109" s="399"/>
      <c r="S109" s="399"/>
      <c r="T109" s="399"/>
      <c r="U109" s="299"/>
      <c r="V109" s="299"/>
      <c r="W109" s="299"/>
      <c r="X109" s="299"/>
      <c r="Y109" s="299"/>
      <c r="Z109" s="299"/>
      <c r="AA109" s="299"/>
    </row>
    <row r="110" spans="2:27" ht="17.100000000000001" customHeight="1">
      <c r="B110" s="296" t="s">
        <v>292</v>
      </c>
      <c r="C110" s="297"/>
      <c r="D110" s="739" t="s">
        <v>536</v>
      </c>
      <c r="E110" s="739"/>
      <c r="F110" s="739"/>
      <c r="G110" s="739"/>
      <c r="H110" s="739"/>
      <c r="I110" s="739"/>
      <c r="J110" s="739"/>
      <c r="K110" s="739"/>
      <c r="L110" s="739"/>
      <c r="M110" s="739"/>
      <c r="N110" s="739"/>
      <c r="O110" s="739"/>
      <c r="P110" s="739"/>
      <c r="Q110" s="739"/>
      <c r="R110" s="739"/>
      <c r="S110" s="739"/>
      <c r="T110" s="739"/>
      <c r="U110" s="299"/>
      <c r="V110" s="299"/>
      <c r="W110" s="299"/>
      <c r="X110" s="299"/>
      <c r="Y110" s="299"/>
      <c r="Z110" s="299"/>
      <c r="AA110" s="299"/>
    </row>
    <row r="111" spans="2:27" ht="17.100000000000001" customHeight="1">
      <c r="B111" s="400" t="s">
        <v>293</v>
      </c>
      <c r="C111" s="297"/>
      <c r="D111" s="737" t="s">
        <v>465</v>
      </c>
      <c r="E111" s="737"/>
      <c r="F111" s="737"/>
      <c r="G111" s="737"/>
      <c r="H111" s="737"/>
      <c r="I111" s="737"/>
      <c r="J111" s="737"/>
      <c r="K111" s="737"/>
      <c r="L111" s="737"/>
      <c r="M111" s="737"/>
      <c r="N111" s="737"/>
      <c r="O111" s="737"/>
      <c r="P111" s="737"/>
      <c r="Q111" s="737"/>
      <c r="R111" s="737"/>
      <c r="S111" s="737"/>
      <c r="T111" s="737"/>
      <c r="U111" s="299"/>
      <c r="V111" s="299"/>
      <c r="W111" s="299"/>
      <c r="X111" s="299"/>
      <c r="Y111" s="299"/>
      <c r="Z111" s="299"/>
      <c r="AA111" s="299"/>
    </row>
    <row r="112" spans="2:27" ht="17.100000000000001" customHeight="1">
      <c r="B112" s="400" t="s">
        <v>295</v>
      </c>
      <c r="C112" s="297"/>
      <c r="D112" s="737" t="s">
        <v>537</v>
      </c>
      <c r="E112" s="737"/>
      <c r="F112" s="737"/>
      <c r="G112" s="737"/>
      <c r="H112" s="737"/>
      <c r="I112" s="737"/>
      <c r="J112" s="737"/>
      <c r="K112" s="737"/>
      <c r="L112" s="737"/>
      <c r="M112" s="737"/>
      <c r="N112" s="737"/>
      <c r="O112" s="737"/>
      <c r="P112" s="737"/>
      <c r="Q112" s="737"/>
      <c r="R112" s="737"/>
      <c r="S112" s="737"/>
      <c r="T112" s="737"/>
      <c r="U112" s="299"/>
      <c r="V112" s="299"/>
      <c r="W112" s="299"/>
      <c r="X112" s="299"/>
      <c r="Y112" s="299"/>
      <c r="Z112" s="299"/>
      <c r="AA112" s="299"/>
    </row>
    <row r="113" spans="2:27" ht="17.100000000000001" customHeight="1">
      <c r="B113" s="400" t="s">
        <v>297</v>
      </c>
      <c r="C113" s="297"/>
      <c r="D113" s="740" t="s">
        <v>538</v>
      </c>
      <c r="E113" s="740"/>
      <c r="F113" s="740"/>
      <c r="G113" s="740"/>
      <c r="H113" s="737"/>
      <c r="I113" s="737"/>
      <c r="J113" s="737"/>
      <c r="K113" s="737"/>
      <c r="L113" s="737"/>
      <c r="M113" s="737"/>
      <c r="N113" s="737"/>
      <c r="O113" s="737"/>
      <c r="P113" s="737"/>
      <c r="Q113" s="737"/>
      <c r="R113" s="737"/>
      <c r="S113" s="737"/>
      <c r="T113" s="737"/>
      <c r="U113" s="299"/>
      <c r="V113" s="299"/>
      <c r="W113" s="299"/>
      <c r="X113" s="299"/>
      <c r="Y113" s="299"/>
      <c r="Z113" s="299"/>
      <c r="AA113" s="299"/>
    </row>
    <row r="114" spans="2:27" ht="17.100000000000001" customHeight="1">
      <c r="B114" s="400" t="s">
        <v>299</v>
      </c>
      <c r="C114" s="297"/>
      <c r="D114" s="737" t="s">
        <v>539</v>
      </c>
      <c r="E114" s="737"/>
      <c r="F114" s="737"/>
      <c r="G114" s="737"/>
      <c r="H114" s="737"/>
      <c r="I114" s="737"/>
      <c r="J114" s="737"/>
      <c r="K114" s="737"/>
      <c r="L114" s="737"/>
      <c r="M114" s="737"/>
      <c r="N114" s="737"/>
      <c r="O114" s="737"/>
      <c r="P114" s="737"/>
      <c r="Q114" s="737"/>
      <c r="R114" s="737"/>
      <c r="S114" s="737"/>
      <c r="T114" s="737"/>
      <c r="U114" s="299"/>
      <c r="V114" s="299"/>
      <c r="W114" s="299"/>
      <c r="X114" s="299"/>
      <c r="Y114" s="299"/>
      <c r="Z114" s="299"/>
      <c r="AA114" s="299"/>
    </row>
    <row r="115" spans="2:27" ht="17.100000000000001" customHeight="1">
      <c r="B115" s="401" t="s">
        <v>301</v>
      </c>
      <c r="C115" s="297"/>
      <c r="D115" s="737" t="s">
        <v>469</v>
      </c>
      <c r="E115" s="737"/>
      <c r="F115" s="737"/>
      <c r="G115" s="737"/>
      <c r="H115" s="737"/>
      <c r="I115" s="737"/>
      <c r="J115" s="737"/>
      <c r="K115" s="737"/>
      <c r="L115" s="737"/>
      <c r="M115" s="737"/>
      <c r="N115" s="737"/>
      <c r="O115" s="737"/>
      <c r="P115" s="737"/>
      <c r="Q115" s="737"/>
      <c r="R115" s="737"/>
      <c r="S115" s="737"/>
      <c r="T115" s="737"/>
      <c r="U115" s="299"/>
      <c r="V115" s="299"/>
      <c r="W115" s="299"/>
      <c r="X115" s="299"/>
      <c r="Y115" s="299"/>
      <c r="Z115" s="299"/>
      <c r="AA115" s="299"/>
    </row>
    <row r="116" spans="2:27" ht="17.100000000000001" customHeight="1">
      <c r="B116" s="400" t="s">
        <v>303</v>
      </c>
      <c r="C116" s="299"/>
      <c r="D116" s="737" t="s">
        <v>540</v>
      </c>
      <c r="E116" s="737"/>
      <c r="F116" s="737"/>
      <c r="G116" s="737"/>
      <c r="H116" s="737"/>
      <c r="I116" s="737"/>
      <c r="J116" s="737"/>
      <c r="K116" s="737"/>
      <c r="L116" s="737"/>
      <c r="M116" s="737"/>
      <c r="N116" s="737"/>
      <c r="O116" s="737"/>
      <c r="P116" s="737"/>
      <c r="Q116" s="737"/>
      <c r="R116" s="737"/>
      <c r="S116" s="737"/>
      <c r="T116" s="737"/>
      <c r="U116" s="299"/>
      <c r="V116" s="299"/>
      <c r="W116" s="299"/>
      <c r="X116" s="299"/>
      <c r="Y116" s="299"/>
      <c r="Z116" s="299"/>
      <c r="AA116" s="299"/>
    </row>
    <row r="117" spans="2:27" ht="17.100000000000001" customHeight="1">
      <c r="B117" s="400"/>
      <c r="C117" s="402"/>
      <c r="D117" s="737"/>
      <c r="E117" s="737"/>
      <c r="F117" s="737"/>
      <c r="G117" s="737"/>
      <c r="H117" s="737"/>
      <c r="I117" s="737"/>
      <c r="J117" s="737"/>
      <c r="K117" s="737"/>
      <c r="L117" s="737"/>
      <c r="M117" s="737"/>
      <c r="N117" s="737"/>
      <c r="O117" s="737"/>
      <c r="P117" s="737"/>
      <c r="Q117" s="737"/>
      <c r="R117" s="737"/>
      <c r="S117" s="737"/>
      <c r="T117" s="737"/>
      <c r="U117" s="299"/>
      <c r="V117" s="299"/>
      <c r="W117" s="299"/>
      <c r="X117" s="299"/>
      <c r="Y117" s="299"/>
      <c r="Z117" s="299"/>
      <c r="AA117" s="299"/>
    </row>
    <row r="118" spans="2:27" ht="15.75">
      <c r="B118" s="403"/>
      <c r="C118" s="402"/>
      <c r="D118" s="404"/>
      <c r="E118" s="404"/>
      <c r="F118" s="404"/>
      <c r="G118" s="404"/>
      <c r="H118" s="344"/>
      <c r="I118" s="345"/>
      <c r="J118" s="345"/>
      <c r="K118" s="311"/>
      <c r="L118" s="311"/>
      <c r="M118" s="356"/>
      <c r="N118" s="356"/>
      <c r="O118" s="340"/>
      <c r="P118" s="356"/>
      <c r="Q118" s="356"/>
      <c r="S118" s="311"/>
      <c r="T118" s="338"/>
      <c r="U118" s="299"/>
      <c r="V118" s="299"/>
      <c r="W118" s="299"/>
      <c r="X118" s="299"/>
      <c r="Y118" s="299"/>
      <c r="Z118" s="299"/>
      <c r="AA118" s="299"/>
    </row>
    <row r="119" spans="2:27">
      <c r="D119" s="299"/>
      <c r="E119" s="299"/>
      <c r="F119" s="299"/>
      <c r="G119" s="299"/>
      <c r="H119" s="299"/>
      <c r="I119" s="299"/>
      <c r="J119" s="299"/>
      <c r="K119" s="299"/>
      <c r="L119" s="299"/>
      <c r="M119" s="299"/>
      <c r="N119" s="299"/>
      <c r="O119" s="299"/>
      <c r="P119" s="299"/>
      <c r="Q119" s="299"/>
      <c r="R119" s="299"/>
      <c r="S119" s="299"/>
      <c r="T119" s="299"/>
      <c r="U119" s="299"/>
      <c r="V119" s="299"/>
      <c r="W119" s="299"/>
      <c r="X119" s="299"/>
      <c r="Y119" s="299"/>
      <c r="Z119" s="299"/>
      <c r="AA119" s="299"/>
    </row>
    <row r="120" spans="2:27">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299"/>
    </row>
    <row r="121" spans="2:27" s="587" customFormat="1" ht="39">
      <c r="B121" s="583" t="s">
        <v>673</v>
      </c>
      <c r="C121" s="583"/>
      <c r="D121" s="584" t="s">
        <v>674</v>
      </c>
      <c r="E121" s="584"/>
      <c r="F121" s="584"/>
      <c r="G121" s="585">
        <v>41274</v>
      </c>
      <c r="H121" s="585">
        <v>41305</v>
      </c>
      <c r="I121" s="585">
        <v>41333</v>
      </c>
      <c r="J121" s="585">
        <v>41364</v>
      </c>
      <c r="K121" s="585">
        <v>41394</v>
      </c>
      <c r="L121" s="585">
        <v>41425</v>
      </c>
      <c r="M121" s="585">
        <v>41455</v>
      </c>
      <c r="N121" s="585">
        <v>41486</v>
      </c>
      <c r="O121" s="585">
        <v>41517</v>
      </c>
      <c r="P121" s="585">
        <v>41547</v>
      </c>
      <c r="Q121" s="585">
        <v>41578</v>
      </c>
      <c r="R121" s="585">
        <v>41608</v>
      </c>
      <c r="S121" s="585">
        <v>41639</v>
      </c>
      <c r="T121" s="586" t="s">
        <v>577</v>
      </c>
      <c r="U121" s="585" t="s">
        <v>675</v>
      </c>
      <c r="V121" s="586" t="s">
        <v>676</v>
      </c>
    </row>
    <row r="122" spans="2:27" s="592" customFormat="1" ht="15.75">
      <c r="B122" s="588"/>
      <c r="C122" s="588"/>
      <c r="D122" s="589"/>
      <c r="E122" s="589"/>
      <c r="F122" s="589"/>
      <c r="G122" s="590"/>
      <c r="H122" s="590"/>
      <c r="I122" s="591"/>
      <c r="J122" s="591"/>
      <c r="K122" s="590"/>
      <c r="L122" s="590"/>
      <c r="M122" s="591"/>
      <c r="N122" s="591"/>
      <c r="O122" s="590"/>
      <c r="P122" s="591"/>
      <c r="Q122" s="591"/>
      <c r="R122" s="591"/>
      <c r="S122" s="591"/>
    </row>
    <row r="123" spans="2:27" s="612" customFormat="1" ht="39" customHeight="1">
      <c r="B123" s="588"/>
      <c r="C123" s="588"/>
      <c r="D123" s="589"/>
      <c r="E123" s="593" t="s">
        <v>720</v>
      </c>
      <c r="F123" s="558" t="s">
        <v>677</v>
      </c>
      <c r="G123" s="557"/>
      <c r="H123" s="552">
        <v>782.27</v>
      </c>
      <c r="I123" s="552">
        <v>0</v>
      </c>
      <c r="J123" s="552">
        <v>0</v>
      </c>
      <c r="K123" s="552">
        <v>0</v>
      </c>
      <c r="L123" s="552">
        <v>0</v>
      </c>
      <c r="M123" s="552">
        <v>0</v>
      </c>
      <c r="N123" s="552">
        <v>0</v>
      </c>
      <c r="O123" s="552">
        <v>0</v>
      </c>
      <c r="P123" s="552">
        <v>0</v>
      </c>
      <c r="Q123" s="552">
        <v>0</v>
      </c>
      <c r="R123" s="552">
        <v>0</v>
      </c>
      <c r="S123" s="551">
        <v>0</v>
      </c>
      <c r="T123" s="594"/>
      <c r="U123" s="541"/>
      <c r="V123" s="594">
        <f>SUM(H123:S123)</f>
        <v>782.27</v>
      </c>
    </row>
    <row r="124" spans="2:27" s="592" customFormat="1" ht="15.75">
      <c r="B124" s="588"/>
      <c r="C124" s="588"/>
      <c r="D124" s="731" t="s">
        <v>721</v>
      </c>
      <c r="E124" s="593" t="s">
        <v>722</v>
      </c>
      <c r="F124" s="589" t="s">
        <v>549</v>
      </c>
      <c r="G124" s="594">
        <v>10419533.23</v>
      </c>
      <c r="H124" s="594">
        <v>13034492.119999999</v>
      </c>
      <c r="I124" s="594">
        <v>14588263.780000001</v>
      </c>
      <c r="J124" s="594">
        <v>18646786.27</v>
      </c>
      <c r="K124" s="594">
        <v>21107947.329999998</v>
      </c>
      <c r="L124" s="594">
        <v>18528070.169999998</v>
      </c>
      <c r="M124" s="594">
        <v>19470594.939999998</v>
      </c>
      <c r="N124" s="594">
        <v>19873031.399999999</v>
      </c>
      <c r="O124" s="594">
        <v>20949268.579999998</v>
      </c>
      <c r="P124" s="594">
        <v>24232089.599999998</v>
      </c>
      <c r="Q124" s="594">
        <v>26918482.759999998</v>
      </c>
      <c r="R124" s="594">
        <v>27910871.119999997</v>
      </c>
      <c r="S124" s="594">
        <v>0</v>
      </c>
      <c r="T124" s="594">
        <v>18129187.023076922</v>
      </c>
      <c r="U124" s="595">
        <v>1</v>
      </c>
      <c r="V124" s="594">
        <f>T124*U124</f>
        <v>18129187.023076922</v>
      </c>
    </row>
    <row r="125" spans="2:27" s="592" customFormat="1" ht="15" customHeight="1">
      <c r="B125" s="588"/>
      <c r="C125" s="588"/>
      <c r="D125" s="731"/>
      <c r="E125" s="593" t="s">
        <v>722</v>
      </c>
      <c r="F125" s="589" t="s">
        <v>680</v>
      </c>
      <c r="G125" s="594">
        <v>0</v>
      </c>
      <c r="H125" s="594">
        <v>0</v>
      </c>
      <c r="I125" s="594">
        <v>0</v>
      </c>
      <c r="J125" s="594">
        <v>0</v>
      </c>
      <c r="K125" s="594">
        <v>264868.34000000003</v>
      </c>
      <c r="L125" s="594">
        <v>4354566.29</v>
      </c>
      <c r="M125" s="594">
        <v>4355255.05</v>
      </c>
      <c r="N125" s="594">
        <v>4355460.5200000005</v>
      </c>
      <c r="O125" s="594">
        <v>4355988.84</v>
      </c>
      <c r="P125" s="594">
        <v>4358835.82</v>
      </c>
      <c r="Q125" s="594">
        <v>4359946.28</v>
      </c>
      <c r="R125" s="594">
        <v>4357813.49</v>
      </c>
      <c r="S125" s="594">
        <v>32760890.759999994</v>
      </c>
      <c r="T125" s="594">
        <v>4886432.7223076923</v>
      </c>
      <c r="U125" s="595">
        <v>1</v>
      </c>
      <c r="V125" s="594">
        <f>T125*U125</f>
        <v>4886432.7223076923</v>
      </c>
    </row>
    <row r="126" spans="2:27" s="592" customFormat="1" ht="15.75">
      <c r="B126" s="588">
        <v>2844</v>
      </c>
      <c r="C126" s="588"/>
      <c r="D126" s="731"/>
      <c r="E126" s="593" t="s">
        <v>722</v>
      </c>
      <c r="F126" s="589" t="s">
        <v>681</v>
      </c>
      <c r="G126" s="596">
        <v>0</v>
      </c>
      <c r="H126" s="596">
        <v>0</v>
      </c>
      <c r="I126" s="596">
        <v>0</v>
      </c>
      <c r="J126" s="596">
        <v>0</v>
      </c>
      <c r="K126" s="596">
        <v>0</v>
      </c>
      <c r="L126" s="596">
        <v>0</v>
      </c>
      <c r="M126" s="596">
        <v>607.65</v>
      </c>
      <c r="N126" s="594">
        <v>5148.74</v>
      </c>
      <c r="O126" s="596">
        <v>11367.689999999999</v>
      </c>
      <c r="P126" s="594">
        <v>17586.919999999998</v>
      </c>
      <c r="Q126" s="594">
        <v>23806.879999999997</v>
      </c>
      <c r="R126" s="594">
        <v>30032.199999999997</v>
      </c>
      <c r="S126" s="594">
        <v>36259.519999999997</v>
      </c>
      <c r="T126" s="594"/>
      <c r="V126" s="594"/>
    </row>
    <row r="127" spans="2:27" s="592" customFormat="1" ht="15.75">
      <c r="B127" s="588"/>
      <c r="C127" s="588"/>
      <c r="D127" s="731"/>
      <c r="E127" s="593" t="s">
        <v>722</v>
      </c>
      <c r="F127" s="589" t="s">
        <v>682</v>
      </c>
      <c r="G127" s="597">
        <v>0</v>
      </c>
      <c r="H127" s="597">
        <v>0</v>
      </c>
      <c r="I127" s="597">
        <v>0</v>
      </c>
      <c r="J127" s="597">
        <v>0</v>
      </c>
      <c r="K127" s="597">
        <v>0</v>
      </c>
      <c r="L127" s="597">
        <v>607.65</v>
      </c>
      <c r="M127" s="597">
        <v>4541.09</v>
      </c>
      <c r="N127" s="597">
        <v>6218.95</v>
      </c>
      <c r="O127" s="597">
        <v>6219.23</v>
      </c>
      <c r="P127" s="597">
        <v>6219.96</v>
      </c>
      <c r="Q127" s="597">
        <v>6225.32</v>
      </c>
      <c r="R127" s="597">
        <v>6227.32</v>
      </c>
      <c r="S127" s="597">
        <v>6218.53</v>
      </c>
      <c r="T127" s="594"/>
      <c r="V127" s="594">
        <f>SUM(H127:S127)</f>
        <v>42478.049999999996</v>
      </c>
    </row>
    <row r="128" spans="2:27" s="592" customFormat="1" ht="15.75">
      <c r="B128" s="588"/>
      <c r="C128" s="588"/>
      <c r="D128" s="731"/>
      <c r="E128" s="593" t="s">
        <v>722</v>
      </c>
      <c r="F128" s="598" t="s">
        <v>683</v>
      </c>
      <c r="G128" s="599">
        <v>0</v>
      </c>
      <c r="H128" s="599">
        <v>0</v>
      </c>
      <c r="I128" s="599">
        <v>0</v>
      </c>
      <c r="J128" s="599">
        <v>0</v>
      </c>
      <c r="K128" s="599">
        <v>0</v>
      </c>
      <c r="L128" s="599">
        <v>0</v>
      </c>
      <c r="M128" s="599">
        <v>0</v>
      </c>
      <c r="N128" s="600">
        <v>0</v>
      </c>
      <c r="O128" s="599">
        <v>0</v>
      </c>
      <c r="P128" s="600">
        <v>0</v>
      </c>
      <c r="Q128" s="600">
        <v>0</v>
      </c>
      <c r="R128" s="600">
        <v>0</v>
      </c>
      <c r="S128" s="600">
        <v>0</v>
      </c>
      <c r="T128" s="594"/>
    </row>
    <row r="129" spans="2:26" s="592" customFormat="1" ht="15.75">
      <c r="B129" s="588"/>
      <c r="C129" s="588"/>
      <c r="D129" s="731"/>
      <c r="E129" s="593" t="s">
        <v>722</v>
      </c>
      <c r="F129" s="590" t="s">
        <v>684</v>
      </c>
      <c r="G129" s="601">
        <f>G125-(SUM(G126:G127,-G128))</f>
        <v>0</v>
      </c>
      <c r="H129" s="601">
        <f t="shared" ref="H129:S129" si="10">H125-(SUM(H126:H127,-H128))</f>
        <v>0</v>
      </c>
      <c r="I129" s="601">
        <f t="shared" si="10"/>
        <v>0</v>
      </c>
      <c r="J129" s="601">
        <f t="shared" si="10"/>
        <v>0</v>
      </c>
      <c r="K129" s="601">
        <f t="shared" si="10"/>
        <v>264868.34000000003</v>
      </c>
      <c r="L129" s="601">
        <f t="shared" si="10"/>
        <v>4353958.6399999997</v>
      </c>
      <c r="M129" s="601">
        <f t="shared" si="10"/>
        <v>4350106.3099999996</v>
      </c>
      <c r="N129" s="601">
        <f t="shared" si="10"/>
        <v>4344092.83</v>
      </c>
      <c r="O129" s="601">
        <f t="shared" si="10"/>
        <v>4338401.92</v>
      </c>
      <c r="P129" s="601">
        <f t="shared" si="10"/>
        <v>4335028.9400000004</v>
      </c>
      <c r="Q129" s="601">
        <f t="shared" si="10"/>
        <v>4329914.08</v>
      </c>
      <c r="R129" s="601">
        <f t="shared" si="10"/>
        <v>4321553.9700000007</v>
      </c>
      <c r="S129" s="601">
        <f t="shared" si="10"/>
        <v>32718412.709999993</v>
      </c>
      <c r="T129" s="594">
        <v>4873564.4415384615</v>
      </c>
      <c r="U129" s="595">
        <v>1</v>
      </c>
      <c r="V129" s="594">
        <f>T129*U129</f>
        <v>4873564.4415384615</v>
      </c>
    </row>
    <row r="130" spans="2:26" s="592" customFormat="1" ht="15.75">
      <c r="B130" s="588"/>
      <c r="C130" s="588"/>
      <c r="D130" s="603"/>
      <c r="E130" s="603"/>
      <c r="F130" s="604"/>
      <c r="G130" s="605"/>
      <c r="H130" s="605"/>
      <c r="I130" s="605"/>
      <c r="J130" s="605"/>
      <c r="K130" s="605"/>
      <c r="L130" s="605"/>
      <c r="M130" s="605"/>
      <c r="N130" s="605"/>
      <c r="O130" s="605"/>
      <c r="P130" s="605"/>
      <c r="Q130" s="605"/>
      <c r="R130" s="605"/>
      <c r="S130" s="605"/>
      <c r="T130" s="605"/>
      <c r="U130" s="605"/>
      <c r="V130" s="605"/>
    </row>
    <row r="131" spans="2:26" s="612" customFormat="1" ht="43.5" customHeight="1">
      <c r="B131" s="588"/>
      <c r="C131" s="588"/>
      <c r="D131" s="559"/>
      <c r="E131" s="555" t="s">
        <v>723</v>
      </c>
      <c r="F131" s="558" t="s">
        <v>677</v>
      </c>
      <c r="G131" s="557"/>
      <c r="H131" s="602">
        <v>374528.54000000004</v>
      </c>
      <c r="I131" s="602">
        <v>277913.75</v>
      </c>
      <c r="J131" s="602">
        <v>-610389.72999999812</v>
      </c>
      <c r="K131" s="602">
        <v>208048.81999999983</v>
      </c>
      <c r="L131" s="602">
        <v>239716.40000000084</v>
      </c>
      <c r="M131" s="602">
        <v>181959.37000000058</v>
      </c>
      <c r="N131" s="602">
        <v>266420.55000000028</v>
      </c>
      <c r="O131" s="602">
        <v>207884.39999999898</v>
      </c>
      <c r="P131" s="602">
        <v>886585.29999999981</v>
      </c>
      <c r="Q131" s="602">
        <v>-27181.099999999162</v>
      </c>
      <c r="R131" s="602">
        <v>99416.509999999776</v>
      </c>
      <c r="S131" s="602">
        <v>11221.069999998901</v>
      </c>
      <c r="T131" s="602"/>
      <c r="U131" s="541"/>
      <c r="V131" s="594">
        <f>SUM(H131:S131)</f>
        <v>2116123.8800000018</v>
      </c>
    </row>
    <row r="132" spans="2:26" s="592" customFormat="1" ht="15.75" customHeight="1">
      <c r="B132" s="588"/>
      <c r="C132" s="588"/>
      <c r="D132" s="731" t="s">
        <v>724</v>
      </c>
      <c r="E132" s="593" t="s">
        <v>725</v>
      </c>
      <c r="F132" s="589" t="s">
        <v>549</v>
      </c>
      <c r="G132" s="594">
        <v>0</v>
      </c>
      <c r="H132" s="594">
        <v>0</v>
      </c>
      <c r="I132" s="594">
        <v>0</v>
      </c>
      <c r="J132" s="594">
        <v>0</v>
      </c>
      <c r="K132" s="594">
        <v>0</v>
      </c>
      <c r="L132" s="594">
        <v>0</v>
      </c>
      <c r="M132" s="594">
        <v>0</v>
      </c>
      <c r="N132" s="594">
        <v>0</v>
      </c>
      <c r="O132" s="594">
        <v>0</v>
      </c>
      <c r="P132" s="594">
        <v>0</v>
      </c>
      <c r="Q132" s="594">
        <v>0</v>
      </c>
      <c r="R132" s="594">
        <v>0</v>
      </c>
      <c r="S132" s="594">
        <v>0</v>
      </c>
      <c r="T132" s="594">
        <v>0</v>
      </c>
      <c r="U132" s="595">
        <v>1</v>
      </c>
      <c r="V132" s="594">
        <f>T132*U132</f>
        <v>0</v>
      </c>
    </row>
    <row r="133" spans="2:26" s="592" customFormat="1" ht="15" customHeight="1">
      <c r="B133" s="588"/>
      <c r="C133" s="588"/>
      <c r="D133" s="731"/>
      <c r="E133" s="593" t="s">
        <v>725</v>
      </c>
      <c r="F133" s="589" t="s">
        <v>680</v>
      </c>
      <c r="G133" s="594">
        <v>0</v>
      </c>
      <c r="H133" s="594">
        <v>0</v>
      </c>
      <c r="I133" s="594">
        <v>0</v>
      </c>
      <c r="J133" s="594">
        <v>0</v>
      </c>
      <c r="K133" s="594">
        <v>0</v>
      </c>
      <c r="L133" s="594">
        <v>0</v>
      </c>
      <c r="M133" s="594">
        <v>0</v>
      </c>
      <c r="N133" s="594">
        <v>0</v>
      </c>
      <c r="O133" s="594">
        <v>0</v>
      </c>
      <c r="P133" s="594">
        <v>0</v>
      </c>
      <c r="Q133" s="594">
        <v>0</v>
      </c>
      <c r="R133" s="594">
        <v>0</v>
      </c>
      <c r="S133" s="594">
        <v>0</v>
      </c>
      <c r="T133" s="594">
        <v>0</v>
      </c>
      <c r="U133" s="595">
        <v>1</v>
      </c>
      <c r="V133" s="594">
        <f>T133*U133</f>
        <v>0</v>
      </c>
    </row>
    <row r="134" spans="2:26" s="592" customFormat="1" ht="15.75">
      <c r="B134" s="588">
        <v>3127</v>
      </c>
      <c r="C134" s="588"/>
      <c r="D134" s="731"/>
      <c r="E134" s="593" t="s">
        <v>725</v>
      </c>
      <c r="F134" s="589" t="s">
        <v>681</v>
      </c>
      <c r="G134" s="594">
        <v>0</v>
      </c>
      <c r="H134" s="594">
        <v>0</v>
      </c>
      <c r="I134" s="594">
        <v>0</v>
      </c>
      <c r="J134" s="594">
        <v>0</v>
      </c>
      <c r="K134" s="596">
        <v>0</v>
      </c>
      <c r="L134" s="596">
        <v>0</v>
      </c>
      <c r="M134" s="596">
        <v>0</v>
      </c>
      <c r="N134" s="596">
        <v>0</v>
      </c>
      <c r="O134" s="596">
        <v>0</v>
      </c>
      <c r="P134" s="596">
        <v>0</v>
      </c>
      <c r="Q134" s="596">
        <v>0</v>
      </c>
      <c r="R134" s="596">
        <v>0</v>
      </c>
      <c r="S134" s="596">
        <v>0</v>
      </c>
      <c r="T134" s="594"/>
      <c r="V134" s="594"/>
    </row>
    <row r="135" spans="2:26" s="592" customFormat="1" ht="15.75">
      <c r="B135" s="588"/>
      <c r="C135" s="588"/>
      <c r="D135" s="731"/>
      <c r="E135" s="593" t="s">
        <v>725</v>
      </c>
      <c r="F135" s="589" t="s">
        <v>682</v>
      </c>
      <c r="G135" s="597">
        <v>0</v>
      </c>
      <c r="H135" s="597">
        <v>0</v>
      </c>
      <c r="I135" s="597">
        <v>0</v>
      </c>
      <c r="J135" s="597">
        <v>0</v>
      </c>
      <c r="K135" s="597">
        <v>0</v>
      </c>
      <c r="L135" s="597">
        <v>0</v>
      </c>
      <c r="M135" s="597">
        <v>0</v>
      </c>
      <c r="N135" s="597">
        <v>0</v>
      </c>
      <c r="O135" s="597">
        <v>0</v>
      </c>
      <c r="P135" s="597">
        <v>0</v>
      </c>
      <c r="Q135" s="597">
        <v>0</v>
      </c>
      <c r="R135" s="597">
        <v>0</v>
      </c>
      <c r="S135" s="597">
        <v>0</v>
      </c>
      <c r="T135" s="594"/>
      <c r="V135" s="594">
        <f>SUM(H135:S135)</f>
        <v>0</v>
      </c>
    </row>
    <row r="136" spans="2:26" s="592" customFormat="1" ht="15.75">
      <c r="B136" s="588"/>
      <c r="C136" s="588"/>
      <c r="D136" s="731"/>
      <c r="E136" s="593" t="s">
        <v>725</v>
      </c>
      <c r="F136" s="598" t="s">
        <v>683</v>
      </c>
      <c r="G136" s="600">
        <v>0</v>
      </c>
      <c r="H136" s="600">
        <v>0</v>
      </c>
      <c r="I136" s="600">
        <v>0</v>
      </c>
      <c r="J136" s="600">
        <v>0</v>
      </c>
      <c r="K136" s="599">
        <v>0</v>
      </c>
      <c r="L136" s="599">
        <v>0</v>
      </c>
      <c r="M136" s="599">
        <v>0</v>
      </c>
      <c r="N136" s="599">
        <v>0</v>
      </c>
      <c r="O136" s="599">
        <v>0</v>
      </c>
      <c r="P136" s="599">
        <v>0</v>
      </c>
      <c r="Q136" s="599">
        <v>0</v>
      </c>
      <c r="R136" s="599">
        <v>0</v>
      </c>
      <c r="S136" s="599">
        <v>0</v>
      </c>
      <c r="T136" s="594"/>
    </row>
    <row r="137" spans="2:26" s="592" customFormat="1" ht="15.75">
      <c r="B137" s="588"/>
      <c r="C137" s="588"/>
      <c r="D137" s="731"/>
      <c r="E137" s="593" t="s">
        <v>725</v>
      </c>
      <c r="F137" s="590" t="s">
        <v>684</v>
      </c>
      <c r="G137" s="601">
        <f>G133-(SUM(G134:G135,-G136))</f>
        <v>0</v>
      </c>
      <c r="H137" s="601">
        <f t="shared" ref="H137:S137" si="11">H133-(SUM(H134:H135,-H136))</f>
        <v>0</v>
      </c>
      <c r="I137" s="601">
        <f t="shared" si="11"/>
        <v>0</v>
      </c>
      <c r="J137" s="601">
        <f t="shared" si="11"/>
        <v>0</v>
      </c>
      <c r="K137" s="601">
        <f t="shared" si="11"/>
        <v>0</v>
      </c>
      <c r="L137" s="601">
        <f t="shared" si="11"/>
        <v>0</v>
      </c>
      <c r="M137" s="601">
        <f t="shared" si="11"/>
        <v>0</v>
      </c>
      <c r="N137" s="601">
        <f t="shared" si="11"/>
        <v>0</v>
      </c>
      <c r="O137" s="601">
        <f t="shared" si="11"/>
        <v>0</v>
      </c>
      <c r="P137" s="601">
        <f t="shared" si="11"/>
        <v>0</v>
      </c>
      <c r="Q137" s="601">
        <f t="shared" si="11"/>
        <v>0</v>
      </c>
      <c r="R137" s="601">
        <f t="shared" si="11"/>
        <v>0</v>
      </c>
      <c r="S137" s="601">
        <f t="shared" si="11"/>
        <v>0</v>
      </c>
      <c r="T137" s="594">
        <v>0</v>
      </c>
      <c r="U137" s="595">
        <v>1</v>
      </c>
      <c r="V137" s="594">
        <f>T137*U137</f>
        <v>0</v>
      </c>
    </row>
    <row r="138" spans="2:26" s="592" customFormat="1" ht="15.75">
      <c r="B138" s="588"/>
      <c r="C138" s="588"/>
      <c r="D138" s="603"/>
      <c r="E138" s="603"/>
      <c r="F138" s="604"/>
      <c r="G138" s="605"/>
      <c r="H138" s="605"/>
      <c r="I138" s="605"/>
      <c r="J138" s="605"/>
      <c r="K138" s="605"/>
      <c r="L138" s="605"/>
      <c r="M138" s="605"/>
      <c r="N138" s="605"/>
      <c r="O138" s="605"/>
      <c r="P138" s="605"/>
      <c r="Q138" s="605"/>
      <c r="R138" s="605"/>
      <c r="S138" s="605"/>
      <c r="T138" s="605"/>
      <c r="U138" s="605"/>
      <c r="V138" s="605"/>
    </row>
    <row r="139" spans="2:26" s="612" customFormat="1" ht="42" customHeight="1">
      <c r="B139" s="588"/>
      <c r="C139" s="588"/>
      <c r="D139" s="559"/>
      <c r="E139" s="559"/>
      <c r="F139" s="558" t="s">
        <v>677</v>
      </c>
      <c r="G139" s="602">
        <f t="shared" ref="G139:S144" si="12">SUMIF($F$123:$F$138,$F139,G$123:G$138)</f>
        <v>0</v>
      </c>
      <c r="H139" s="602">
        <f t="shared" si="12"/>
        <v>375310.81000000006</v>
      </c>
      <c r="I139" s="602">
        <f t="shared" si="12"/>
        <v>277913.75</v>
      </c>
      <c r="J139" s="602">
        <f t="shared" si="12"/>
        <v>-610389.72999999812</v>
      </c>
      <c r="K139" s="602">
        <f t="shared" si="12"/>
        <v>208048.81999999983</v>
      </c>
      <c r="L139" s="602">
        <f t="shared" si="12"/>
        <v>239716.40000000084</v>
      </c>
      <c r="M139" s="602">
        <f t="shared" si="12"/>
        <v>181959.37000000058</v>
      </c>
      <c r="N139" s="602">
        <f t="shared" si="12"/>
        <v>266420.55000000028</v>
      </c>
      <c r="O139" s="602">
        <f t="shared" si="12"/>
        <v>207884.39999999898</v>
      </c>
      <c r="P139" s="602">
        <f t="shared" si="12"/>
        <v>886585.29999999981</v>
      </c>
      <c r="Q139" s="602">
        <f t="shared" si="12"/>
        <v>-27181.099999999162</v>
      </c>
      <c r="R139" s="602">
        <f t="shared" si="12"/>
        <v>99416.509999999776</v>
      </c>
      <c r="S139" s="602">
        <f t="shared" si="12"/>
        <v>11221.069999998901</v>
      </c>
      <c r="T139" s="602"/>
      <c r="U139" s="602"/>
      <c r="V139" s="602">
        <f>SUMIF($F$123:$F$138,$F139,V$123:V$138)</f>
        <v>2116906.1500000018</v>
      </c>
      <c r="W139" s="608" t="str">
        <f>IF(ROUND(V139,0)-ROUND(SUM(Q72:Q97),0)=0,"","*ERROR*")</f>
        <v/>
      </c>
    </row>
    <row r="140" spans="2:26" s="564" customFormat="1">
      <c r="D140" s="731" t="s">
        <v>719</v>
      </c>
      <c r="E140" s="593"/>
      <c r="F140" s="589" t="s">
        <v>549</v>
      </c>
      <c r="G140" s="602">
        <f t="shared" si="12"/>
        <v>10419533.23</v>
      </c>
      <c r="H140" s="602">
        <f t="shared" si="12"/>
        <v>13034492.119999999</v>
      </c>
      <c r="I140" s="602">
        <f t="shared" si="12"/>
        <v>14588263.780000001</v>
      </c>
      <c r="J140" s="602">
        <f t="shared" si="12"/>
        <v>18646786.27</v>
      </c>
      <c r="K140" s="602">
        <f t="shared" si="12"/>
        <v>21107947.329999998</v>
      </c>
      <c r="L140" s="602">
        <f t="shared" si="12"/>
        <v>18528070.169999998</v>
      </c>
      <c r="M140" s="602">
        <f t="shared" si="12"/>
        <v>19470594.939999998</v>
      </c>
      <c r="N140" s="602">
        <f t="shared" si="12"/>
        <v>19873031.399999999</v>
      </c>
      <c r="O140" s="602">
        <f t="shared" si="12"/>
        <v>20949268.579999998</v>
      </c>
      <c r="P140" s="602">
        <f t="shared" si="12"/>
        <v>24232089.599999998</v>
      </c>
      <c r="Q140" s="602">
        <f t="shared" si="12"/>
        <v>26918482.759999998</v>
      </c>
      <c r="R140" s="602">
        <f t="shared" si="12"/>
        <v>27910871.119999997</v>
      </c>
      <c r="S140" s="602">
        <f t="shared" si="12"/>
        <v>0</v>
      </c>
      <c r="T140" s="565"/>
      <c r="U140" s="565"/>
      <c r="V140" s="602">
        <f>SUMIF($F$123:$F$138,$F140,V$123:V$138)</f>
        <v>18129187.023076922</v>
      </c>
      <c r="W140" s="608" t="str">
        <f>IF(ROUND(SUM(V140,V141),0)-ROUND(SUM(F72:F97),0)=0,"","*ERROR*")</f>
        <v/>
      </c>
      <c r="X140" s="565"/>
      <c r="Y140" s="565"/>
      <c r="Z140" s="565"/>
    </row>
    <row r="141" spans="2:26" s="564" customFormat="1">
      <c r="D141" s="731"/>
      <c r="E141" s="593"/>
      <c r="F141" s="589" t="s">
        <v>680</v>
      </c>
      <c r="G141" s="602">
        <f t="shared" si="12"/>
        <v>0</v>
      </c>
      <c r="H141" s="602">
        <f t="shared" si="12"/>
        <v>0</v>
      </c>
      <c r="I141" s="602">
        <f t="shared" si="12"/>
        <v>0</v>
      </c>
      <c r="J141" s="602">
        <f t="shared" si="12"/>
        <v>0</v>
      </c>
      <c r="K141" s="602">
        <f t="shared" si="12"/>
        <v>264868.34000000003</v>
      </c>
      <c r="L141" s="602">
        <f t="shared" si="12"/>
        <v>4354566.29</v>
      </c>
      <c r="M141" s="602">
        <f t="shared" si="12"/>
        <v>4355255.05</v>
      </c>
      <c r="N141" s="602">
        <f t="shared" si="12"/>
        <v>4355460.5200000005</v>
      </c>
      <c r="O141" s="602">
        <f t="shared" si="12"/>
        <v>4355988.84</v>
      </c>
      <c r="P141" s="602">
        <f t="shared" si="12"/>
        <v>4358835.82</v>
      </c>
      <c r="Q141" s="602">
        <f t="shared" si="12"/>
        <v>4359946.28</v>
      </c>
      <c r="R141" s="602">
        <f t="shared" si="12"/>
        <v>4357813.49</v>
      </c>
      <c r="S141" s="602">
        <f t="shared" si="12"/>
        <v>32760890.759999994</v>
      </c>
      <c r="T141" s="565"/>
      <c r="U141" s="565"/>
      <c r="V141" s="602">
        <f>SUMIF($F$123:$F$138,$F141,V$123:V$138)</f>
        <v>4886432.7223076923</v>
      </c>
      <c r="W141" s="565"/>
      <c r="X141" s="565"/>
      <c r="Y141" s="565"/>
      <c r="Z141" s="565"/>
    </row>
    <row r="142" spans="2:26" s="564" customFormat="1">
      <c r="D142" s="731"/>
      <c r="E142" s="593"/>
      <c r="F142" s="589" t="s">
        <v>681</v>
      </c>
      <c r="G142" s="602">
        <f t="shared" si="12"/>
        <v>0</v>
      </c>
      <c r="H142" s="602">
        <f t="shared" si="12"/>
        <v>0</v>
      </c>
      <c r="I142" s="602">
        <f t="shared" si="12"/>
        <v>0</v>
      </c>
      <c r="J142" s="602">
        <f t="shared" si="12"/>
        <v>0</v>
      </c>
      <c r="K142" s="602">
        <f t="shared" si="12"/>
        <v>0</v>
      </c>
      <c r="L142" s="602">
        <f t="shared" si="12"/>
        <v>0</v>
      </c>
      <c r="M142" s="602">
        <f t="shared" si="12"/>
        <v>607.65</v>
      </c>
      <c r="N142" s="602">
        <f t="shared" si="12"/>
        <v>5148.74</v>
      </c>
      <c r="O142" s="602">
        <f t="shared" si="12"/>
        <v>11367.689999999999</v>
      </c>
      <c r="P142" s="602">
        <f t="shared" si="12"/>
        <v>17586.919999999998</v>
      </c>
      <c r="Q142" s="602">
        <f t="shared" si="12"/>
        <v>23806.879999999997</v>
      </c>
      <c r="R142" s="602">
        <f t="shared" si="12"/>
        <v>30032.199999999997</v>
      </c>
      <c r="S142" s="602">
        <f t="shared" si="12"/>
        <v>36259.519999999997</v>
      </c>
      <c r="T142" s="565"/>
      <c r="U142" s="565"/>
      <c r="V142" s="602"/>
      <c r="W142" s="565"/>
      <c r="X142" s="565"/>
      <c r="Y142" s="565"/>
      <c r="Z142" s="565"/>
    </row>
    <row r="143" spans="2:26" s="564" customFormat="1">
      <c r="D143" s="731"/>
      <c r="E143" s="593"/>
      <c r="F143" s="589" t="s">
        <v>682</v>
      </c>
      <c r="G143" s="602">
        <f t="shared" si="12"/>
        <v>0</v>
      </c>
      <c r="H143" s="602">
        <f t="shared" si="12"/>
        <v>0</v>
      </c>
      <c r="I143" s="602">
        <f t="shared" si="12"/>
        <v>0</v>
      </c>
      <c r="J143" s="602">
        <f t="shared" si="12"/>
        <v>0</v>
      </c>
      <c r="K143" s="602">
        <f t="shared" si="12"/>
        <v>0</v>
      </c>
      <c r="L143" s="602">
        <f t="shared" si="12"/>
        <v>607.65</v>
      </c>
      <c r="M143" s="602">
        <f t="shared" si="12"/>
        <v>4541.09</v>
      </c>
      <c r="N143" s="602">
        <f t="shared" si="12"/>
        <v>6218.95</v>
      </c>
      <c r="O143" s="602">
        <f t="shared" si="12"/>
        <v>6219.23</v>
      </c>
      <c r="P143" s="602">
        <f t="shared" si="12"/>
        <v>6219.96</v>
      </c>
      <c r="Q143" s="602">
        <f t="shared" si="12"/>
        <v>6225.32</v>
      </c>
      <c r="R143" s="602">
        <f t="shared" si="12"/>
        <v>6227.32</v>
      </c>
      <c r="S143" s="602">
        <f t="shared" si="12"/>
        <v>6218.53</v>
      </c>
      <c r="T143" s="565"/>
      <c r="U143" s="565"/>
      <c r="V143" s="602">
        <f>SUMIF($F$123:$F$138,$F143,V$123:V$138)</f>
        <v>42478.049999999996</v>
      </c>
      <c r="W143" s="608" t="str">
        <f>IF(ROUND(V143,0)-ROUND(SUM(P72:P97),0)=0,"","*ERROR*")</f>
        <v/>
      </c>
      <c r="X143" s="565"/>
      <c r="Y143" s="565"/>
      <c r="Z143" s="565"/>
    </row>
    <row r="144" spans="2:26" s="564" customFormat="1">
      <c r="D144" s="731"/>
      <c r="E144" s="609"/>
      <c r="F144" s="598" t="s">
        <v>683</v>
      </c>
      <c r="G144" s="554">
        <f t="shared" si="12"/>
        <v>0</v>
      </c>
      <c r="H144" s="554">
        <f t="shared" si="12"/>
        <v>0</v>
      </c>
      <c r="I144" s="554">
        <f t="shared" si="12"/>
        <v>0</v>
      </c>
      <c r="J144" s="554">
        <f t="shared" si="12"/>
        <v>0</v>
      </c>
      <c r="K144" s="554">
        <f t="shared" si="12"/>
        <v>0</v>
      </c>
      <c r="L144" s="554">
        <f t="shared" si="12"/>
        <v>0</v>
      </c>
      <c r="M144" s="554">
        <f t="shared" si="12"/>
        <v>0</v>
      </c>
      <c r="N144" s="554">
        <f t="shared" si="12"/>
        <v>0</v>
      </c>
      <c r="O144" s="554">
        <f t="shared" si="12"/>
        <v>0</v>
      </c>
      <c r="P144" s="554">
        <f t="shared" si="12"/>
        <v>0</v>
      </c>
      <c r="Q144" s="554">
        <f t="shared" si="12"/>
        <v>0</v>
      </c>
      <c r="R144" s="554">
        <f t="shared" si="12"/>
        <v>0</v>
      </c>
      <c r="S144" s="554">
        <f t="shared" si="12"/>
        <v>0</v>
      </c>
      <c r="T144" s="565"/>
      <c r="U144" s="565"/>
      <c r="V144" s="611"/>
      <c r="W144" s="565"/>
      <c r="X144" s="565"/>
      <c r="Y144" s="565"/>
      <c r="Z144" s="565"/>
    </row>
    <row r="145" spans="1:28" s="564" customFormat="1">
      <c r="D145" s="731"/>
      <c r="E145" s="609"/>
      <c r="F145" s="590" t="s">
        <v>684</v>
      </c>
      <c r="G145" s="601">
        <f>G141-(SUM(G142:G143,-G144))</f>
        <v>0</v>
      </c>
      <c r="H145" s="601">
        <f t="shared" ref="H145:S145" si="13">H141-(SUM(H142:H143,-H144))</f>
        <v>0</v>
      </c>
      <c r="I145" s="601">
        <f t="shared" si="13"/>
        <v>0</v>
      </c>
      <c r="J145" s="601">
        <f t="shared" si="13"/>
        <v>0</v>
      </c>
      <c r="K145" s="601">
        <f t="shared" si="13"/>
        <v>264868.34000000003</v>
      </c>
      <c r="L145" s="601">
        <f t="shared" si="13"/>
        <v>4353958.6399999997</v>
      </c>
      <c r="M145" s="601">
        <f t="shared" si="13"/>
        <v>4350106.3099999996</v>
      </c>
      <c r="N145" s="601">
        <f t="shared" si="13"/>
        <v>4344092.83</v>
      </c>
      <c r="O145" s="601">
        <f t="shared" si="13"/>
        <v>4338401.92</v>
      </c>
      <c r="P145" s="601">
        <f t="shared" si="13"/>
        <v>4335028.9400000004</v>
      </c>
      <c r="Q145" s="601">
        <f t="shared" si="13"/>
        <v>4329914.08</v>
      </c>
      <c r="R145" s="601">
        <f t="shared" si="13"/>
        <v>4321553.9700000007</v>
      </c>
      <c r="S145" s="601">
        <f t="shared" si="13"/>
        <v>32718412.709999993</v>
      </c>
      <c r="T145" s="565"/>
      <c r="U145" s="565"/>
      <c r="V145" s="602">
        <f>SUMIF($F$123:$F$138,$F145,V$123:V$138)</f>
        <v>4873564.4415384615</v>
      </c>
      <c r="W145" s="608" t="str">
        <f>IF(ROUND(SUM(V140,V145),2)-ROUND(SUM(M72:M97),2)=0,"","*ERROR*")</f>
        <v/>
      </c>
      <c r="X145" s="565"/>
      <c r="Y145" s="565"/>
      <c r="Z145" s="565"/>
    </row>
    <row r="146" spans="1:28" s="564" customFormat="1">
      <c r="D146" s="565"/>
      <c r="E146" s="565"/>
      <c r="F146" s="565"/>
      <c r="G146" s="565"/>
      <c r="H146" s="565"/>
      <c r="I146" s="565"/>
      <c r="J146" s="565"/>
      <c r="K146" s="565"/>
      <c r="L146" s="565"/>
      <c r="M146" s="565"/>
      <c r="N146" s="565"/>
      <c r="O146" s="565"/>
      <c r="P146" s="565"/>
      <c r="Q146" s="565"/>
      <c r="R146" s="565"/>
      <c r="S146" s="565"/>
      <c r="T146" s="565"/>
      <c r="U146" s="565"/>
      <c r="V146" s="565"/>
      <c r="W146" s="565"/>
      <c r="X146" s="565"/>
      <c r="Y146" s="565"/>
      <c r="Z146" s="565"/>
    </row>
    <row r="147" spans="1:28">
      <c r="A147" s="564"/>
      <c r="E147" s="299"/>
      <c r="F147" s="299"/>
      <c r="G147" s="299"/>
      <c r="H147" s="299"/>
      <c r="I147" s="299"/>
      <c r="J147" s="299"/>
      <c r="K147" s="299"/>
      <c r="L147" s="299"/>
      <c r="M147" s="299"/>
      <c r="N147" s="299"/>
      <c r="O147" s="299"/>
      <c r="P147" s="299"/>
      <c r="Q147" s="299"/>
      <c r="R147" s="299"/>
      <c r="S147" s="299"/>
      <c r="T147" s="299"/>
      <c r="U147" s="299"/>
      <c r="V147" s="299"/>
      <c r="W147" s="299"/>
      <c r="X147" s="299"/>
      <c r="Y147" s="299"/>
      <c r="Z147" s="299"/>
      <c r="AA147" s="299"/>
      <c r="AB147" s="299"/>
    </row>
    <row r="148" spans="1:28">
      <c r="D148" s="299"/>
      <c r="E148" s="299"/>
      <c r="F148" s="299"/>
      <c r="G148" s="299"/>
      <c r="H148" s="299"/>
      <c r="I148" s="299"/>
      <c r="J148" s="299"/>
      <c r="K148" s="299"/>
      <c r="L148" s="299"/>
      <c r="M148" s="299"/>
      <c r="N148" s="299"/>
      <c r="O148" s="299"/>
      <c r="P148" s="299"/>
      <c r="Q148" s="299"/>
      <c r="R148" s="299"/>
      <c r="S148" s="299"/>
      <c r="T148" s="299"/>
      <c r="U148" s="299"/>
      <c r="V148" s="299"/>
      <c r="W148" s="299"/>
      <c r="X148" s="299"/>
      <c r="Y148" s="299"/>
      <c r="Z148" s="299"/>
      <c r="AA148" s="299"/>
    </row>
    <row r="149" spans="1:28">
      <c r="D149" s="299"/>
      <c r="E149" s="299"/>
      <c r="F149" s="299"/>
      <c r="G149" s="299"/>
      <c r="H149" s="299"/>
      <c r="I149" s="299"/>
      <c r="J149" s="299"/>
      <c r="K149" s="299"/>
      <c r="L149" s="299"/>
      <c r="M149" s="299"/>
      <c r="N149" s="299"/>
      <c r="O149" s="299"/>
      <c r="P149" s="299"/>
      <c r="Q149" s="299"/>
      <c r="R149" s="299"/>
      <c r="S149" s="299"/>
      <c r="T149" s="299"/>
      <c r="U149" s="299"/>
      <c r="V149" s="299"/>
      <c r="W149" s="299"/>
      <c r="X149" s="299"/>
      <c r="Y149" s="299"/>
      <c r="Z149" s="299"/>
      <c r="AA149" s="299"/>
    </row>
    <row r="150" spans="1:28">
      <c r="D150" s="299"/>
      <c r="E150" s="299"/>
      <c r="F150" s="299"/>
      <c r="G150" s="299"/>
      <c r="H150" s="299"/>
      <c r="I150" s="299"/>
      <c r="J150" s="299"/>
      <c r="K150" s="299"/>
      <c r="L150" s="299"/>
      <c r="M150" s="299"/>
      <c r="N150" s="299"/>
      <c r="O150" s="299"/>
      <c r="P150" s="299"/>
      <c r="Q150" s="299"/>
      <c r="R150" s="299"/>
      <c r="S150" s="299"/>
      <c r="T150" s="299"/>
      <c r="U150" s="299"/>
      <c r="V150" s="299"/>
      <c r="W150" s="299"/>
      <c r="X150" s="299"/>
      <c r="Y150" s="299"/>
      <c r="Z150" s="299"/>
      <c r="AA150" s="299"/>
    </row>
    <row r="151" spans="1:28">
      <c r="D151" s="299"/>
      <c r="E151" s="299"/>
      <c r="F151" s="299"/>
      <c r="G151" s="299"/>
      <c r="H151" s="299"/>
      <c r="I151" s="299"/>
      <c r="J151" s="299"/>
      <c r="K151" s="299"/>
      <c r="L151" s="299"/>
      <c r="M151" s="299"/>
      <c r="N151" s="299"/>
      <c r="O151" s="299"/>
      <c r="P151" s="299"/>
      <c r="Q151" s="299"/>
      <c r="R151" s="299"/>
      <c r="S151" s="299"/>
      <c r="T151" s="299"/>
      <c r="U151" s="299"/>
      <c r="V151" s="299"/>
      <c r="W151" s="299"/>
      <c r="X151" s="299"/>
      <c r="Y151" s="299"/>
      <c r="Z151" s="299"/>
      <c r="AA151" s="299"/>
    </row>
    <row r="152" spans="1:28">
      <c r="D152" s="299"/>
      <c r="E152" s="299"/>
      <c r="F152" s="299"/>
      <c r="G152" s="299"/>
      <c r="H152" s="299"/>
      <c r="I152" s="299"/>
      <c r="J152" s="299"/>
      <c r="K152" s="299"/>
      <c r="L152" s="299"/>
      <c r="M152" s="299"/>
      <c r="N152" s="299"/>
      <c r="O152" s="299"/>
      <c r="P152" s="299"/>
      <c r="Q152" s="299"/>
      <c r="R152" s="299"/>
      <c r="S152" s="299"/>
      <c r="T152" s="299"/>
      <c r="U152" s="299"/>
      <c r="V152" s="299"/>
      <c r="W152" s="299"/>
      <c r="X152" s="299"/>
      <c r="Y152" s="299"/>
      <c r="Z152" s="299"/>
      <c r="AA152" s="299"/>
    </row>
    <row r="153" spans="1:28">
      <c r="D153" s="299"/>
      <c r="E153" s="299"/>
      <c r="F153" s="299"/>
      <c r="G153" s="299"/>
      <c r="H153" s="299"/>
      <c r="I153" s="299"/>
      <c r="J153" s="299"/>
      <c r="K153" s="299"/>
      <c r="L153" s="299"/>
      <c r="M153" s="299"/>
      <c r="N153" s="299"/>
      <c r="O153" s="299"/>
      <c r="P153" s="299"/>
      <c r="Q153" s="299"/>
      <c r="R153" s="299"/>
      <c r="S153" s="299"/>
      <c r="T153" s="299"/>
      <c r="U153" s="299"/>
      <c r="V153" s="299"/>
      <c r="W153" s="299"/>
      <c r="X153" s="299"/>
      <c r="Y153" s="299"/>
      <c r="Z153" s="299"/>
      <c r="AA153" s="299"/>
    </row>
    <row r="154" spans="1:28">
      <c r="D154" s="299"/>
      <c r="E154" s="299"/>
      <c r="F154" s="299"/>
      <c r="G154" s="299"/>
      <c r="H154" s="299"/>
      <c r="I154" s="299"/>
      <c r="J154" s="299"/>
      <c r="K154" s="299"/>
      <c r="L154" s="299"/>
      <c r="M154" s="299"/>
      <c r="N154" s="299"/>
      <c r="O154" s="299"/>
      <c r="P154" s="299"/>
      <c r="Q154" s="299"/>
      <c r="R154" s="299"/>
      <c r="S154" s="299"/>
      <c r="T154" s="299"/>
      <c r="U154" s="299"/>
      <c r="V154" s="299"/>
      <c r="W154" s="299"/>
      <c r="X154" s="299"/>
      <c r="Y154" s="299"/>
      <c r="Z154" s="299"/>
      <c r="AA154" s="299"/>
    </row>
    <row r="155" spans="1:28">
      <c r="D155" s="299"/>
      <c r="E155" s="299"/>
      <c r="F155" s="299"/>
      <c r="G155" s="299"/>
      <c r="H155" s="299"/>
      <c r="I155" s="299"/>
      <c r="J155" s="299"/>
      <c r="K155" s="299"/>
      <c r="L155" s="299"/>
      <c r="M155" s="299"/>
      <c r="N155" s="299"/>
      <c r="O155" s="299"/>
      <c r="P155" s="299"/>
      <c r="Q155" s="299"/>
      <c r="R155" s="299"/>
      <c r="S155" s="299"/>
      <c r="T155" s="299"/>
      <c r="U155" s="299"/>
      <c r="V155" s="299"/>
      <c r="W155" s="299"/>
      <c r="X155" s="299"/>
      <c r="Y155" s="299"/>
      <c r="Z155" s="299"/>
      <c r="AA155" s="299"/>
    </row>
    <row r="156" spans="1:28">
      <c r="D156" s="299"/>
      <c r="E156" s="299"/>
      <c r="F156" s="299"/>
      <c r="G156" s="299"/>
      <c r="H156" s="299"/>
      <c r="I156" s="299"/>
      <c r="J156" s="299"/>
      <c r="K156" s="299"/>
      <c r="L156" s="299"/>
      <c r="M156" s="299"/>
      <c r="N156" s="299"/>
      <c r="O156" s="299"/>
      <c r="P156" s="299"/>
      <c r="Q156" s="299"/>
      <c r="R156" s="299"/>
      <c r="S156" s="299"/>
      <c r="T156" s="299"/>
      <c r="U156" s="299"/>
      <c r="V156" s="299"/>
      <c r="W156" s="299"/>
      <c r="X156" s="299"/>
      <c r="Y156" s="299"/>
      <c r="Z156" s="299"/>
      <c r="AA156" s="299"/>
    </row>
    <row r="157" spans="1:28">
      <c r="D157" s="299"/>
      <c r="E157" s="299"/>
      <c r="F157" s="299"/>
      <c r="G157" s="299"/>
      <c r="H157" s="299"/>
      <c r="I157" s="299"/>
      <c r="J157" s="299"/>
      <c r="K157" s="299"/>
      <c r="L157" s="299"/>
      <c r="M157" s="299"/>
      <c r="N157" s="299"/>
      <c r="O157" s="299"/>
      <c r="P157" s="299"/>
      <c r="Q157" s="299"/>
      <c r="R157" s="299"/>
      <c r="S157" s="299"/>
      <c r="T157" s="299"/>
      <c r="U157" s="299"/>
      <c r="V157" s="299"/>
      <c r="W157" s="299"/>
      <c r="X157" s="299"/>
      <c r="Y157" s="299"/>
      <c r="Z157" s="299"/>
      <c r="AA157" s="299"/>
    </row>
    <row r="158" spans="1:28">
      <c r="D158" s="299"/>
      <c r="E158" s="299"/>
      <c r="F158" s="299"/>
      <c r="G158" s="299"/>
      <c r="H158" s="299"/>
      <c r="I158" s="299"/>
      <c r="J158" s="299"/>
      <c r="K158" s="299"/>
      <c r="L158" s="299"/>
      <c r="M158" s="299"/>
      <c r="N158" s="299"/>
      <c r="O158" s="299"/>
      <c r="P158" s="299"/>
      <c r="Q158" s="299"/>
      <c r="R158" s="299"/>
      <c r="S158" s="299"/>
      <c r="T158" s="299"/>
      <c r="U158" s="299"/>
      <c r="V158" s="299"/>
      <c r="W158" s="299"/>
      <c r="X158" s="299"/>
      <c r="Y158" s="299"/>
      <c r="Z158" s="299"/>
      <c r="AA158" s="299"/>
    </row>
    <row r="159" spans="1:28">
      <c r="D159" s="299"/>
      <c r="E159" s="299"/>
      <c r="F159" s="299"/>
      <c r="G159" s="299"/>
      <c r="H159" s="299"/>
      <c r="I159" s="299"/>
      <c r="J159" s="299"/>
      <c r="K159" s="299"/>
      <c r="L159" s="299"/>
      <c r="M159" s="299"/>
      <c r="N159" s="299"/>
      <c r="O159" s="299"/>
      <c r="P159" s="299"/>
      <c r="Q159" s="299"/>
      <c r="R159" s="299"/>
      <c r="S159" s="299"/>
      <c r="T159" s="299"/>
      <c r="U159" s="299"/>
      <c r="V159" s="299"/>
      <c r="W159" s="299"/>
      <c r="X159" s="299"/>
      <c r="Y159" s="299"/>
      <c r="Z159" s="299"/>
      <c r="AA159" s="299"/>
    </row>
    <row r="160" spans="1:28">
      <c r="D160" s="299"/>
      <c r="E160" s="299"/>
      <c r="F160" s="299"/>
      <c r="G160" s="299"/>
      <c r="H160" s="299"/>
      <c r="I160" s="299"/>
      <c r="J160" s="299"/>
      <c r="K160" s="299"/>
      <c r="L160" s="299"/>
      <c r="M160" s="299"/>
      <c r="N160" s="299"/>
      <c r="O160" s="299"/>
      <c r="P160" s="299"/>
      <c r="Q160" s="299"/>
      <c r="R160" s="299"/>
      <c r="S160" s="299"/>
      <c r="T160" s="299"/>
      <c r="U160" s="299"/>
      <c r="V160" s="299"/>
      <c r="W160" s="299"/>
      <c r="X160" s="299"/>
      <c r="Y160" s="299"/>
      <c r="Z160" s="299"/>
      <c r="AA160" s="299"/>
    </row>
    <row r="161" spans="4:27">
      <c r="D161" s="299"/>
      <c r="E161" s="299"/>
      <c r="F161" s="299"/>
      <c r="G161" s="299"/>
      <c r="H161" s="299"/>
      <c r="I161" s="299"/>
      <c r="J161" s="299"/>
      <c r="K161" s="299"/>
      <c r="L161" s="299"/>
      <c r="M161" s="299"/>
      <c r="N161" s="299"/>
      <c r="O161" s="299"/>
      <c r="P161" s="299"/>
      <c r="Q161" s="299"/>
      <c r="R161" s="299"/>
      <c r="S161" s="299"/>
      <c r="T161" s="299"/>
      <c r="U161" s="299"/>
      <c r="V161" s="299"/>
      <c r="W161" s="299"/>
      <c r="X161" s="299"/>
      <c r="Y161" s="299"/>
      <c r="Z161" s="299"/>
      <c r="AA161" s="299"/>
    </row>
    <row r="162" spans="4:27">
      <c r="D162" s="299"/>
      <c r="E162" s="299"/>
      <c r="F162" s="299"/>
      <c r="G162" s="299"/>
      <c r="H162" s="299"/>
      <c r="I162" s="299"/>
      <c r="J162" s="299"/>
      <c r="K162" s="299"/>
      <c r="L162" s="299"/>
      <c r="M162" s="299"/>
      <c r="N162" s="299"/>
      <c r="O162" s="299"/>
      <c r="P162" s="299"/>
      <c r="Q162" s="299"/>
      <c r="R162" s="299"/>
      <c r="S162" s="299"/>
      <c r="T162" s="299"/>
      <c r="U162" s="299"/>
      <c r="V162" s="299"/>
      <c r="W162" s="299"/>
      <c r="X162" s="299"/>
      <c r="Y162" s="299"/>
      <c r="Z162" s="299"/>
      <c r="AA162" s="299"/>
    </row>
    <row r="163" spans="4:27">
      <c r="D163" s="299"/>
      <c r="E163" s="299"/>
      <c r="F163" s="299"/>
      <c r="G163" s="299"/>
      <c r="H163" s="299"/>
      <c r="I163" s="299"/>
      <c r="J163" s="299"/>
      <c r="K163" s="299"/>
      <c r="L163" s="299"/>
      <c r="M163" s="299"/>
      <c r="N163" s="299"/>
      <c r="O163" s="299"/>
      <c r="P163" s="299"/>
      <c r="Q163" s="299"/>
      <c r="R163" s="299"/>
      <c r="S163" s="299"/>
      <c r="T163" s="299"/>
      <c r="U163" s="299"/>
      <c r="V163" s="299"/>
      <c r="W163" s="299"/>
      <c r="X163" s="299"/>
      <c r="Y163" s="299"/>
      <c r="Z163" s="299"/>
      <c r="AA163" s="299"/>
    </row>
    <row r="164" spans="4:27">
      <c r="D164" s="299"/>
      <c r="E164" s="299"/>
      <c r="F164" s="299"/>
      <c r="G164" s="299"/>
      <c r="H164" s="299"/>
      <c r="I164" s="299"/>
      <c r="J164" s="299"/>
      <c r="K164" s="299"/>
      <c r="L164" s="299"/>
      <c r="M164" s="299"/>
      <c r="N164" s="299"/>
      <c r="O164" s="299"/>
      <c r="P164" s="299"/>
      <c r="Q164" s="299"/>
      <c r="R164" s="299"/>
      <c r="S164" s="299"/>
      <c r="T164" s="299"/>
      <c r="U164" s="299"/>
      <c r="V164" s="299"/>
      <c r="W164" s="299"/>
      <c r="X164" s="299"/>
      <c r="Y164" s="299"/>
      <c r="Z164" s="299"/>
      <c r="AA164" s="299"/>
    </row>
    <row r="165" spans="4:27">
      <c r="D165" s="299"/>
      <c r="E165" s="299"/>
      <c r="F165" s="299"/>
      <c r="G165" s="299"/>
      <c r="H165" s="299"/>
      <c r="I165" s="299"/>
      <c r="J165" s="299"/>
      <c r="K165" s="299"/>
      <c r="L165" s="299"/>
      <c r="M165" s="299"/>
      <c r="N165" s="299"/>
      <c r="O165" s="299"/>
      <c r="P165" s="299"/>
      <c r="Q165" s="299"/>
      <c r="R165" s="299"/>
      <c r="S165" s="299"/>
      <c r="T165" s="299"/>
      <c r="U165" s="299"/>
      <c r="V165" s="299"/>
      <c r="W165" s="299"/>
      <c r="X165" s="299"/>
      <c r="Y165" s="299"/>
      <c r="Z165" s="299"/>
      <c r="AA165" s="299"/>
    </row>
    <row r="166" spans="4:27">
      <c r="D166" s="299"/>
      <c r="E166" s="299"/>
      <c r="F166" s="299"/>
      <c r="G166" s="299"/>
      <c r="H166" s="299"/>
      <c r="I166" s="299"/>
      <c r="J166" s="299"/>
      <c r="K166" s="299"/>
      <c r="L166" s="299"/>
      <c r="M166" s="299"/>
      <c r="N166" s="299"/>
      <c r="O166" s="299"/>
      <c r="P166" s="299"/>
      <c r="Q166" s="299"/>
      <c r="R166" s="299"/>
      <c r="S166" s="299"/>
      <c r="T166" s="299"/>
      <c r="U166" s="299"/>
      <c r="V166" s="299"/>
      <c r="W166" s="299"/>
      <c r="X166" s="299"/>
      <c r="Y166" s="299"/>
      <c r="Z166" s="299"/>
      <c r="AA166" s="299"/>
    </row>
    <row r="167" spans="4:27">
      <c r="D167" s="299"/>
      <c r="E167" s="299"/>
      <c r="F167" s="299"/>
      <c r="G167" s="299"/>
      <c r="H167" s="299"/>
      <c r="I167" s="299"/>
      <c r="J167" s="299"/>
      <c r="K167" s="299"/>
      <c r="L167" s="299"/>
      <c r="M167" s="299"/>
      <c r="N167" s="299"/>
      <c r="O167" s="299"/>
      <c r="P167" s="299"/>
      <c r="Q167" s="299"/>
      <c r="R167" s="299"/>
      <c r="S167" s="299"/>
      <c r="T167" s="299"/>
      <c r="U167" s="299"/>
      <c r="V167" s="299"/>
      <c r="W167" s="299"/>
      <c r="X167" s="299"/>
      <c r="Y167" s="299"/>
      <c r="Z167" s="299"/>
      <c r="AA167" s="299"/>
    </row>
    <row r="168" spans="4:27">
      <c r="D168" s="299"/>
      <c r="E168" s="299"/>
      <c r="F168" s="299"/>
      <c r="G168" s="299"/>
      <c r="H168" s="299"/>
      <c r="I168" s="299"/>
      <c r="J168" s="299"/>
      <c r="K168" s="299"/>
      <c r="L168" s="299"/>
      <c r="M168" s="299"/>
      <c r="N168" s="299"/>
      <c r="O168" s="299"/>
      <c r="P168" s="299"/>
      <c r="Q168" s="299"/>
      <c r="R168" s="299"/>
      <c r="S168" s="299"/>
      <c r="T168" s="299"/>
      <c r="U168" s="299"/>
      <c r="V168" s="299"/>
      <c r="W168" s="299"/>
      <c r="X168" s="299"/>
      <c r="Y168" s="299"/>
      <c r="Z168" s="299"/>
      <c r="AA168" s="299"/>
    </row>
    <row r="169" spans="4:27">
      <c r="D169" s="299"/>
      <c r="E169" s="299"/>
      <c r="F169" s="299"/>
      <c r="G169" s="299"/>
      <c r="H169" s="299"/>
      <c r="I169" s="299"/>
      <c r="J169" s="299"/>
      <c r="K169" s="299"/>
      <c r="L169" s="299"/>
      <c r="M169" s="299"/>
      <c r="N169" s="299"/>
      <c r="O169" s="299"/>
      <c r="P169" s="299"/>
      <c r="Q169" s="299"/>
      <c r="R169" s="299"/>
      <c r="S169" s="299"/>
      <c r="T169" s="299"/>
      <c r="U169" s="299"/>
      <c r="V169" s="299"/>
      <c r="W169" s="299"/>
      <c r="X169" s="299"/>
      <c r="Y169" s="299"/>
      <c r="Z169" s="299"/>
      <c r="AA169" s="299"/>
    </row>
    <row r="170" spans="4:27">
      <c r="D170" s="299"/>
      <c r="E170" s="299"/>
      <c r="F170" s="299"/>
      <c r="G170" s="299"/>
      <c r="H170" s="299"/>
      <c r="I170" s="299"/>
      <c r="J170" s="299"/>
      <c r="K170" s="299"/>
      <c r="L170" s="299"/>
      <c r="M170" s="299"/>
      <c r="N170" s="299"/>
      <c r="O170" s="299"/>
      <c r="P170" s="299"/>
      <c r="Q170" s="299"/>
      <c r="R170" s="299"/>
      <c r="S170" s="299"/>
      <c r="T170" s="299"/>
      <c r="U170" s="299"/>
      <c r="V170" s="299"/>
      <c r="W170" s="299"/>
      <c r="X170" s="299"/>
      <c r="Y170" s="299"/>
      <c r="Z170" s="299"/>
      <c r="AA170" s="299"/>
    </row>
    <row r="171" spans="4:27">
      <c r="D171" s="299"/>
      <c r="E171" s="299"/>
      <c r="F171" s="299"/>
      <c r="G171" s="299"/>
      <c r="H171" s="299"/>
      <c r="I171" s="299"/>
      <c r="J171" s="299"/>
      <c r="K171" s="299"/>
      <c r="L171" s="299"/>
      <c r="M171" s="299"/>
      <c r="N171" s="299"/>
      <c r="O171" s="299"/>
      <c r="P171" s="299"/>
      <c r="Q171" s="299"/>
      <c r="R171" s="299"/>
      <c r="S171" s="299"/>
      <c r="T171" s="299"/>
      <c r="U171" s="299"/>
      <c r="V171" s="299"/>
      <c r="W171" s="299"/>
      <c r="X171" s="299"/>
      <c r="Y171" s="299"/>
      <c r="Z171" s="299"/>
      <c r="AA171" s="299"/>
    </row>
    <row r="172" spans="4:27">
      <c r="D172" s="299"/>
      <c r="E172" s="299"/>
      <c r="F172" s="299"/>
      <c r="G172" s="299"/>
      <c r="H172" s="299"/>
      <c r="I172" s="299"/>
      <c r="J172" s="299"/>
      <c r="K172" s="299"/>
      <c r="L172" s="299"/>
      <c r="M172" s="299"/>
      <c r="N172" s="299"/>
      <c r="O172" s="299"/>
      <c r="P172" s="299"/>
      <c r="Q172" s="299"/>
      <c r="R172" s="299"/>
      <c r="S172" s="299"/>
      <c r="T172" s="299"/>
      <c r="U172" s="299"/>
      <c r="V172" s="299"/>
      <c r="W172" s="299"/>
      <c r="X172" s="299"/>
      <c r="Y172" s="299"/>
      <c r="Z172" s="299"/>
      <c r="AA172" s="299"/>
    </row>
    <row r="173" spans="4:27">
      <c r="D173" s="299"/>
      <c r="E173" s="299"/>
      <c r="F173" s="299"/>
      <c r="G173" s="299"/>
      <c r="H173" s="299"/>
      <c r="I173" s="299"/>
      <c r="J173" s="299"/>
      <c r="K173" s="299"/>
      <c r="L173" s="299"/>
      <c r="M173" s="299"/>
      <c r="N173" s="299"/>
      <c r="O173" s="299"/>
      <c r="P173" s="299"/>
      <c r="Q173" s="299"/>
      <c r="R173" s="299"/>
      <c r="S173" s="299"/>
      <c r="T173" s="299"/>
      <c r="U173" s="299"/>
      <c r="V173" s="299"/>
      <c r="W173" s="299"/>
      <c r="X173" s="299"/>
      <c r="Y173" s="299"/>
      <c r="Z173" s="299"/>
      <c r="AA173" s="299"/>
    </row>
    <row r="174" spans="4:27">
      <c r="D174" s="299"/>
      <c r="E174" s="299"/>
      <c r="F174" s="299"/>
      <c r="G174" s="299"/>
      <c r="H174" s="299"/>
      <c r="I174" s="299"/>
      <c r="J174" s="299"/>
      <c r="K174" s="299"/>
      <c r="L174" s="299"/>
      <c r="M174" s="299"/>
      <c r="N174" s="299"/>
      <c r="O174" s="299"/>
      <c r="P174" s="299"/>
      <c r="Q174" s="299"/>
      <c r="R174" s="299"/>
      <c r="S174" s="299"/>
      <c r="T174" s="299"/>
      <c r="U174" s="299"/>
      <c r="V174" s="299"/>
      <c r="W174" s="299"/>
      <c r="X174" s="299"/>
      <c r="Y174" s="299"/>
      <c r="Z174" s="299"/>
      <c r="AA174" s="299"/>
    </row>
    <row r="175" spans="4:27">
      <c r="D175" s="299"/>
      <c r="E175" s="299"/>
      <c r="F175" s="299"/>
      <c r="G175" s="299"/>
      <c r="H175" s="299"/>
      <c r="I175" s="299"/>
      <c r="J175" s="299"/>
      <c r="K175" s="299"/>
      <c r="L175" s="299"/>
      <c r="M175" s="299"/>
      <c r="N175" s="299"/>
      <c r="O175" s="299"/>
      <c r="P175" s="299"/>
      <c r="Q175" s="299"/>
      <c r="R175" s="299"/>
      <c r="S175" s="299"/>
      <c r="T175" s="299"/>
      <c r="U175" s="299"/>
      <c r="V175" s="299"/>
      <c r="W175" s="299"/>
      <c r="X175" s="299"/>
      <c r="Y175" s="299"/>
      <c r="Z175" s="299"/>
      <c r="AA175" s="299"/>
    </row>
    <row r="176" spans="4:27">
      <c r="D176" s="299"/>
      <c r="E176" s="299"/>
      <c r="F176" s="299"/>
      <c r="G176" s="299"/>
      <c r="H176" s="299"/>
      <c r="I176" s="299"/>
      <c r="J176" s="299"/>
      <c r="K176" s="299"/>
      <c r="L176" s="299"/>
      <c r="M176" s="299"/>
      <c r="N176" s="299"/>
      <c r="O176" s="299"/>
      <c r="P176" s="299"/>
      <c r="Q176" s="299"/>
      <c r="R176" s="299"/>
      <c r="S176" s="299"/>
      <c r="T176" s="299"/>
      <c r="U176" s="299"/>
      <c r="V176" s="299"/>
      <c r="W176" s="299"/>
      <c r="X176" s="299"/>
      <c r="Y176" s="299"/>
      <c r="Z176" s="299"/>
      <c r="AA176" s="299"/>
    </row>
    <row r="177" spans="4:27">
      <c r="D177" s="299"/>
      <c r="E177" s="299"/>
      <c r="F177" s="299"/>
      <c r="G177" s="299"/>
      <c r="H177" s="299"/>
      <c r="I177" s="299"/>
      <c r="J177" s="299"/>
      <c r="K177" s="299"/>
      <c r="L177" s="299"/>
      <c r="M177" s="299"/>
      <c r="N177" s="299"/>
      <c r="O177" s="299"/>
      <c r="P177" s="299"/>
      <c r="Q177" s="299"/>
      <c r="R177" s="299"/>
      <c r="S177" s="299"/>
      <c r="T177" s="299"/>
      <c r="U177" s="299"/>
      <c r="V177" s="299"/>
      <c r="W177" s="299"/>
      <c r="X177" s="299"/>
      <c r="Y177" s="299"/>
      <c r="Z177" s="299"/>
      <c r="AA177" s="299"/>
    </row>
    <row r="178" spans="4:27">
      <c r="D178" s="299"/>
      <c r="E178" s="299"/>
      <c r="F178" s="299"/>
      <c r="G178" s="299"/>
      <c r="H178" s="299"/>
      <c r="I178" s="299"/>
      <c r="J178" s="299"/>
      <c r="K178" s="299"/>
      <c r="L178" s="299"/>
      <c r="M178" s="299"/>
      <c r="N178" s="299"/>
      <c r="O178" s="299"/>
      <c r="P178" s="299"/>
      <c r="Q178" s="299"/>
      <c r="R178" s="299"/>
      <c r="S178" s="299"/>
      <c r="T178" s="299"/>
      <c r="U178" s="299"/>
      <c r="V178" s="299"/>
      <c r="W178" s="299"/>
      <c r="X178" s="299"/>
      <c r="Y178" s="299"/>
      <c r="Z178" s="299"/>
      <c r="AA178" s="299"/>
    </row>
    <row r="179" spans="4:27">
      <c r="D179" s="299"/>
      <c r="E179" s="299"/>
      <c r="F179" s="299"/>
      <c r="G179" s="299"/>
      <c r="H179" s="299"/>
      <c r="I179" s="299"/>
      <c r="J179" s="299"/>
      <c r="K179" s="299"/>
      <c r="L179" s="299"/>
      <c r="M179" s="299"/>
      <c r="N179" s="299"/>
      <c r="O179" s="299"/>
      <c r="P179" s="299"/>
      <c r="Q179" s="299"/>
      <c r="R179" s="299"/>
      <c r="S179" s="299"/>
      <c r="T179" s="299"/>
      <c r="U179" s="299"/>
      <c r="V179" s="299"/>
      <c r="W179" s="299"/>
      <c r="X179" s="299"/>
      <c r="Y179" s="299"/>
      <c r="Z179" s="299"/>
      <c r="AA179" s="299"/>
    </row>
    <row r="180" spans="4:27">
      <c r="D180" s="299"/>
      <c r="E180" s="299"/>
      <c r="F180" s="299"/>
      <c r="G180" s="299"/>
      <c r="H180" s="299"/>
      <c r="I180" s="299"/>
      <c r="J180" s="299"/>
      <c r="K180" s="299"/>
      <c r="L180" s="299"/>
      <c r="M180" s="299"/>
      <c r="N180" s="299"/>
      <c r="O180" s="299"/>
      <c r="P180" s="299"/>
      <c r="Q180" s="299"/>
      <c r="R180" s="299"/>
      <c r="S180" s="299"/>
      <c r="T180" s="299"/>
      <c r="U180" s="299"/>
      <c r="V180" s="299"/>
      <c r="W180" s="299"/>
      <c r="X180" s="299"/>
      <c r="Y180" s="299"/>
      <c r="Z180" s="299"/>
      <c r="AA180" s="299"/>
    </row>
    <row r="181" spans="4:27">
      <c r="D181" s="299"/>
      <c r="E181" s="299"/>
      <c r="F181" s="299"/>
      <c r="G181" s="299"/>
      <c r="H181" s="299"/>
      <c r="I181" s="299"/>
      <c r="J181" s="299"/>
      <c r="K181" s="299"/>
      <c r="L181" s="299"/>
      <c r="M181" s="299"/>
      <c r="N181" s="299"/>
      <c r="O181" s="299"/>
      <c r="P181" s="299"/>
      <c r="Q181" s="299"/>
      <c r="R181" s="299"/>
      <c r="S181" s="299"/>
      <c r="T181" s="299"/>
      <c r="U181" s="299"/>
      <c r="V181" s="299"/>
      <c r="W181" s="299"/>
      <c r="X181" s="299"/>
      <c r="Y181" s="299"/>
      <c r="Z181" s="299"/>
      <c r="AA181" s="299"/>
    </row>
    <row r="182" spans="4:27">
      <c r="D182" s="299"/>
      <c r="E182" s="299"/>
      <c r="F182" s="299"/>
      <c r="G182" s="299"/>
      <c r="H182" s="299"/>
      <c r="I182" s="299"/>
      <c r="J182" s="299"/>
      <c r="K182" s="299"/>
      <c r="L182" s="299"/>
      <c r="M182" s="299"/>
      <c r="N182" s="299"/>
      <c r="O182" s="299"/>
      <c r="P182" s="299"/>
      <c r="Q182" s="299"/>
      <c r="R182" s="299"/>
      <c r="S182" s="299"/>
      <c r="T182" s="299"/>
      <c r="U182" s="299"/>
      <c r="V182" s="299"/>
      <c r="W182" s="299"/>
      <c r="X182" s="299"/>
      <c r="Y182" s="299"/>
      <c r="Z182" s="299"/>
      <c r="AA182" s="299"/>
    </row>
    <row r="183" spans="4:27">
      <c r="D183" s="299"/>
      <c r="E183" s="299"/>
      <c r="F183" s="299"/>
      <c r="G183" s="299"/>
      <c r="H183" s="299"/>
      <c r="I183" s="299"/>
      <c r="J183" s="299"/>
      <c r="K183" s="299"/>
      <c r="L183" s="299"/>
      <c r="M183" s="299"/>
      <c r="N183" s="299"/>
      <c r="O183" s="299"/>
      <c r="P183" s="299"/>
      <c r="Q183" s="299"/>
      <c r="R183" s="299"/>
      <c r="S183" s="299"/>
      <c r="T183" s="299"/>
      <c r="U183" s="299"/>
      <c r="V183" s="299"/>
      <c r="W183" s="299"/>
      <c r="X183" s="299"/>
      <c r="Y183" s="299"/>
      <c r="Z183" s="299"/>
      <c r="AA183" s="299"/>
    </row>
    <row r="184" spans="4:27">
      <c r="D184" s="299"/>
      <c r="E184" s="299"/>
      <c r="F184" s="299"/>
      <c r="G184" s="299"/>
      <c r="H184" s="299"/>
      <c r="I184" s="299"/>
      <c r="J184" s="299"/>
      <c r="K184" s="299"/>
      <c r="L184" s="299"/>
      <c r="M184" s="299"/>
      <c r="N184" s="299"/>
      <c r="O184" s="299"/>
      <c r="P184" s="299"/>
      <c r="Q184" s="299"/>
      <c r="R184" s="299"/>
      <c r="S184" s="299"/>
      <c r="T184" s="299"/>
      <c r="U184" s="299"/>
      <c r="V184" s="299"/>
      <c r="W184" s="299"/>
      <c r="X184" s="299"/>
      <c r="Y184" s="299"/>
      <c r="Z184" s="299"/>
      <c r="AA184" s="299"/>
    </row>
    <row r="185" spans="4:27">
      <c r="D185" s="299"/>
      <c r="E185" s="299"/>
      <c r="F185" s="299"/>
      <c r="G185" s="299"/>
      <c r="H185" s="299"/>
      <c r="I185" s="299"/>
      <c r="J185" s="299"/>
      <c r="K185" s="299"/>
      <c r="L185" s="299"/>
      <c r="M185" s="299"/>
      <c r="N185" s="299"/>
      <c r="O185" s="299"/>
      <c r="P185" s="299"/>
      <c r="Q185" s="299"/>
      <c r="R185" s="299"/>
      <c r="S185" s="299"/>
      <c r="T185" s="299"/>
      <c r="U185" s="299"/>
      <c r="V185" s="299"/>
      <c r="W185" s="299"/>
      <c r="X185" s="299"/>
      <c r="Y185" s="299"/>
      <c r="Z185" s="299"/>
      <c r="AA185" s="299"/>
    </row>
    <row r="186" spans="4:27">
      <c r="D186" s="299"/>
      <c r="E186" s="299"/>
      <c r="F186" s="299"/>
      <c r="G186" s="299"/>
      <c r="H186" s="299"/>
      <c r="I186" s="299"/>
      <c r="J186" s="299"/>
      <c r="K186" s="299"/>
      <c r="L186" s="299"/>
      <c r="M186" s="299"/>
      <c r="N186" s="299"/>
      <c r="O186" s="299"/>
      <c r="P186" s="299"/>
      <c r="Q186" s="299"/>
      <c r="R186" s="299"/>
      <c r="S186" s="299"/>
      <c r="T186" s="299"/>
      <c r="U186" s="299"/>
      <c r="V186" s="299"/>
      <c r="W186" s="299"/>
      <c r="X186" s="299"/>
      <c r="Y186" s="299"/>
      <c r="Z186" s="299"/>
      <c r="AA186" s="299"/>
    </row>
    <row r="187" spans="4:27">
      <c r="D187" s="299"/>
      <c r="E187" s="299"/>
      <c r="F187" s="299"/>
      <c r="G187" s="299"/>
      <c r="H187" s="299"/>
      <c r="I187" s="299"/>
      <c r="J187" s="299"/>
      <c r="K187" s="299"/>
      <c r="L187" s="299"/>
      <c r="M187" s="299"/>
      <c r="N187" s="299"/>
      <c r="O187" s="299"/>
      <c r="P187" s="299"/>
      <c r="Q187" s="299"/>
      <c r="R187" s="299"/>
      <c r="S187" s="299"/>
      <c r="T187" s="299"/>
      <c r="U187" s="299"/>
      <c r="V187" s="299"/>
      <c r="W187" s="299"/>
      <c r="X187" s="299"/>
      <c r="Y187" s="299"/>
      <c r="Z187" s="299"/>
      <c r="AA187" s="299"/>
    </row>
    <row r="188" spans="4:27">
      <c r="D188" s="299"/>
      <c r="E188" s="299"/>
      <c r="F188" s="299"/>
      <c r="G188" s="299"/>
      <c r="H188" s="299"/>
      <c r="I188" s="299"/>
      <c r="J188" s="299"/>
      <c r="K188" s="299"/>
      <c r="L188" s="299"/>
      <c r="M188" s="299"/>
      <c r="N188" s="299"/>
      <c r="O188" s="299"/>
      <c r="P188" s="299"/>
      <c r="Q188" s="299"/>
      <c r="R188" s="299"/>
      <c r="S188" s="299"/>
      <c r="T188" s="299"/>
      <c r="U188" s="299"/>
      <c r="V188" s="299"/>
      <c r="W188" s="299"/>
      <c r="X188" s="299"/>
      <c r="Y188" s="299"/>
      <c r="Z188" s="299"/>
      <c r="AA188" s="299"/>
    </row>
    <row r="189" spans="4:27">
      <c r="D189" s="299"/>
      <c r="E189" s="299"/>
      <c r="F189" s="299"/>
      <c r="G189" s="299"/>
      <c r="H189" s="299"/>
      <c r="I189" s="299"/>
      <c r="J189" s="299"/>
      <c r="K189" s="299"/>
      <c r="L189" s="299"/>
      <c r="M189" s="299"/>
      <c r="N189" s="299"/>
      <c r="O189" s="299"/>
      <c r="P189" s="299"/>
      <c r="Q189" s="299"/>
      <c r="R189" s="299"/>
      <c r="S189" s="299"/>
      <c r="T189" s="299"/>
      <c r="U189" s="299"/>
      <c r="V189" s="299"/>
      <c r="W189" s="299"/>
      <c r="X189" s="299"/>
      <c r="Y189" s="299"/>
      <c r="Z189" s="299"/>
      <c r="AA189" s="299"/>
    </row>
    <row r="190" spans="4:27">
      <c r="D190" s="299"/>
      <c r="E190" s="299"/>
      <c r="F190" s="299"/>
      <c r="G190" s="299"/>
      <c r="H190" s="299"/>
      <c r="I190" s="299"/>
      <c r="J190" s="299"/>
      <c r="K190" s="299"/>
      <c r="L190" s="299"/>
      <c r="M190" s="299"/>
      <c r="N190" s="299"/>
      <c r="O190" s="299"/>
      <c r="P190" s="299"/>
      <c r="Q190" s="299"/>
      <c r="R190" s="299"/>
      <c r="S190" s="299"/>
      <c r="T190" s="299"/>
      <c r="U190" s="299"/>
      <c r="V190" s="299"/>
      <c r="W190" s="299"/>
      <c r="X190" s="299"/>
      <c r="Y190" s="299"/>
      <c r="Z190" s="299"/>
      <c r="AA190" s="299"/>
    </row>
    <row r="191" spans="4:27">
      <c r="D191" s="299"/>
      <c r="E191" s="299"/>
      <c r="F191" s="299"/>
      <c r="G191" s="299"/>
      <c r="H191" s="299"/>
      <c r="I191" s="299"/>
      <c r="J191" s="299"/>
      <c r="K191" s="299"/>
      <c r="L191" s="299"/>
      <c r="M191" s="299"/>
      <c r="N191" s="299"/>
      <c r="O191" s="299"/>
      <c r="P191" s="299"/>
      <c r="Q191" s="299"/>
      <c r="R191" s="299"/>
      <c r="S191" s="299"/>
      <c r="T191" s="299"/>
      <c r="U191" s="299"/>
      <c r="V191" s="299"/>
      <c r="W191" s="299"/>
      <c r="X191" s="299"/>
      <c r="Y191" s="299"/>
      <c r="Z191" s="299"/>
      <c r="AA191" s="299"/>
    </row>
    <row r="192" spans="4:27">
      <c r="D192" s="299"/>
      <c r="E192" s="299"/>
      <c r="F192" s="299"/>
      <c r="G192" s="299"/>
      <c r="H192" s="299"/>
      <c r="I192" s="299"/>
      <c r="J192" s="299"/>
      <c r="K192" s="299"/>
      <c r="L192" s="299"/>
      <c r="M192" s="299"/>
      <c r="N192" s="299"/>
      <c r="O192" s="299"/>
      <c r="P192" s="299"/>
      <c r="Q192" s="299"/>
      <c r="R192" s="299"/>
      <c r="S192" s="299"/>
      <c r="T192" s="299"/>
      <c r="U192" s="299"/>
      <c r="V192" s="299"/>
      <c r="W192" s="299"/>
      <c r="X192" s="299"/>
      <c r="Y192" s="299"/>
      <c r="Z192" s="299"/>
      <c r="AA192" s="299"/>
    </row>
    <row r="193" spans="4:27">
      <c r="D193" s="299"/>
      <c r="E193" s="299"/>
      <c r="F193" s="299"/>
      <c r="G193" s="299"/>
      <c r="H193" s="299"/>
      <c r="I193" s="299"/>
      <c r="J193" s="299"/>
      <c r="K193" s="299"/>
      <c r="L193" s="299"/>
      <c r="M193" s="299"/>
      <c r="N193" s="299"/>
      <c r="O193" s="299"/>
      <c r="P193" s="299"/>
      <c r="Q193" s="299"/>
      <c r="R193" s="299"/>
      <c r="S193" s="299"/>
      <c r="T193" s="299"/>
      <c r="U193" s="299"/>
      <c r="V193" s="299"/>
      <c r="W193" s="299"/>
      <c r="X193" s="299"/>
      <c r="Y193" s="299"/>
      <c r="Z193" s="299"/>
      <c r="AA193" s="299"/>
    </row>
    <row r="194" spans="4:27">
      <c r="D194" s="299"/>
      <c r="E194" s="299"/>
      <c r="F194" s="299"/>
      <c r="G194" s="299"/>
      <c r="H194" s="299"/>
      <c r="I194" s="299"/>
      <c r="J194" s="299"/>
      <c r="K194" s="299"/>
      <c r="L194" s="299"/>
      <c r="M194" s="299"/>
      <c r="N194" s="299"/>
      <c r="O194" s="299"/>
      <c r="P194" s="299"/>
      <c r="Q194" s="299"/>
      <c r="R194" s="299"/>
      <c r="S194" s="299"/>
      <c r="T194" s="299"/>
      <c r="U194" s="299"/>
      <c r="V194" s="299"/>
      <c r="W194" s="299"/>
      <c r="X194" s="299"/>
      <c r="Y194" s="299"/>
      <c r="Z194" s="299"/>
      <c r="AA194" s="299"/>
    </row>
    <row r="195" spans="4:27">
      <c r="D195" s="299"/>
      <c r="E195" s="299"/>
      <c r="F195" s="299"/>
      <c r="G195" s="299"/>
      <c r="H195" s="299"/>
      <c r="I195" s="299"/>
      <c r="J195" s="299"/>
      <c r="K195" s="299"/>
      <c r="L195" s="299"/>
      <c r="M195" s="299"/>
      <c r="N195" s="299"/>
      <c r="O195" s="299"/>
      <c r="P195" s="299"/>
      <c r="Q195" s="299"/>
      <c r="R195" s="299"/>
      <c r="S195" s="299"/>
      <c r="T195" s="299"/>
      <c r="U195" s="299"/>
      <c r="V195" s="299"/>
      <c r="W195" s="299"/>
      <c r="X195" s="299"/>
      <c r="Y195" s="299"/>
      <c r="Z195" s="299"/>
      <c r="AA195" s="299"/>
    </row>
    <row r="196" spans="4:27">
      <c r="D196" s="299"/>
      <c r="E196" s="299"/>
      <c r="F196" s="299"/>
      <c r="G196" s="299"/>
      <c r="H196" s="299"/>
      <c r="I196" s="299"/>
      <c r="J196" s="299"/>
      <c r="K196" s="299"/>
      <c r="L196" s="299"/>
      <c r="M196" s="299"/>
      <c r="N196" s="299"/>
      <c r="O196" s="299"/>
      <c r="P196" s="299"/>
      <c r="Q196" s="299"/>
      <c r="R196" s="299"/>
      <c r="S196" s="299"/>
      <c r="T196" s="299"/>
      <c r="U196" s="299"/>
      <c r="V196" s="299"/>
      <c r="W196" s="299"/>
      <c r="X196" s="299"/>
      <c r="Y196" s="299"/>
      <c r="Z196" s="299"/>
      <c r="AA196" s="299"/>
    </row>
    <row r="197" spans="4:27">
      <c r="D197" s="299"/>
      <c r="E197" s="299"/>
      <c r="F197" s="299"/>
      <c r="G197" s="299"/>
      <c r="H197" s="299"/>
      <c r="I197" s="299"/>
      <c r="J197" s="299"/>
      <c r="K197" s="299"/>
      <c r="L197" s="299"/>
      <c r="M197" s="299"/>
      <c r="N197" s="299"/>
      <c r="O197" s="299"/>
      <c r="P197" s="299"/>
      <c r="Q197" s="299"/>
      <c r="R197" s="299"/>
      <c r="S197" s="299"/>
      <c r="T197" s="299"/>
      <c r="U197" s="299"/>
      <c r="V197" s="299"/>
      <c r="W197" s="299"/>
      <c r="X197" s="299"/>
      <c r="Y197" s="299"/>
      <c r="Z197" s="299"/>
      <c r="AA197" s="299"/>
    </row>
    <row r="198" spans="4:27">
      <c r="D198" s="299"/>
      <c r="E198" s="299"/>
      <c r="F198" s="299"/>
      <c r="G198" s="299"/>
      <c r="H198" s="299"/>
      <c r="I198" s="299"/>
      <c r="J198" s="299"/>
      <c r="K198" s="299"/>
      <c r="L198" s="299"/>
      <c r="M198" s="299"/>
      <c r="N198" s="299"/>
      <c r="O198" s="299"/>
      <c r="P198" s="299"/>
      <c r="Q198" s="299"/>
      <c r="R198" s="299"/>
      <c r="S198" s="299"/>
      <c r="T198" s="299"/>
      <c r="U198" s="299"/>
      <c r="V198" s="299"/>
      <c r="W198" s="299"/>
      <c r="X198" s="299"/>
      <c r="Y198" s="299"/>
      <c r="Z198" s="299"/>
      <c r="AA198" s="299"/>
    </row>
    <row r="199" spans="4:27">
      <c r="D199" s="299"/>
      <c r="E199" s="299"/>
      <c r="F199" s="299"/>
      <c r="G199" s="299"/>
      <c r="H199" s="299"/>
      <c r="I199" s="299"/>
      <c r="J199" s="299"/>
      <c r="K199" s="299"/>
      <c r="L199" s="299"/>
      <c r="M199" s="299"/>
      <c r="N199" s="299"/>
      <c r="O199" s="299"/>
      <c r="P199" s="299"/>
      <c r="Q199" s="299"/>
      <c r="R199" s="299"/>
      <c r="S199" s="299"/>
      <c r="T199" s="299"/>
      <c r="U199" s="299"/>
      <c r="V199" s="299"/>
      <c r="W199" s="299"/>
      <c r="X199" s="299"/>
      <c r="Y199" s="299"/>
      <c r="Z199" s="299"/>
      <c r="AA199" s="299"/>
    </row>
    <row r="200" spans="4:27">
      <c r="D200" s="299"/>
      <c r="E200" s="299"/>
      <c r="F200" s="299"/>
      <c r="G200" s="299"/>
      <c r="H200" s="299"/>
      <c r="I200" s="299"/>
      <c r="J200" s="299"/>
      <c r="K200" s="299"/>
      <c r="L200" s="299"/>
      <c r="M200" s="299"/>
      <c r="N200" s="299"/>
      <c r="O200" s="299"/>
      <c r="P200" s="299"/>
      <c r="Q200" s="299"/>
      <c r="R200" s="299"/>
      <c r="S200" s="299"/>
      <c r="T200" s="299"/>
      <c r="U200" s="299"/>
      <c r="V200" s="299"/>
      <c r="W200" s="299"/>
      <c r="X200" s="299"/>
      <c r="Y200" s="299"/>
      <c r="Z200" s="299"/>
      <c r="AA200" s="299"/>
    </row>
    <row r="201" spans="4:27">
      <c r="D201" s="299"/>
      <c r="E201" s="299"/>
      <c r="F201" s="299"/>
      <c r="G201" s="299"/>
      <c r="H201" s="299"/>
      <c r="I201" s="299"/>
      <c r="J201" s="299"/>
      <c r="K201" s="299"/>
      <c r="L201" s="299"/>
      <c r="M201" s="299"/>
      <c r="N201" s="299"/>
      <c r="O201" s="299"/>
      <c r="P201" s="299"/>
      <c r="Q201" s="299"/>
      <c r="R201" s="299"/>
      <c r="S201" s="299"/>
      <c r="T201" s="299"/>
      <c r="U201" s="299"/>
      <c r="V201" s="299"/>
      <c r="W201" s="299"/>
      <c r="X201" s="299"/>
      <c r="Y201" s="299"/>
      <c r="Z201" s="299"/>
      <c r="AA201" s="299"/>
    </row>
    <row r="202" spans="4:27">
      <c r="D202" s="299"/>
      <c r="E202" s="299"/>
      <c r="F202" s="299"/>
      <c r="G202" s="299"/>
      <c r="H202" s="299"/>
      <c r="I202" s="299"/>
      <c r="J202" s="299"/>
      <c r="K202" s="299"/>
      <c r="L202" s="299"/>
      <c r="M202" s="299"/>
      <c r="N202" s="299"/>
      <c r="O202" s="299"/>
      <c r="P202" s="299"/>
      <c r="Q202" s="299"/>
      <c r="R202" s="299"/>
      <c r="S202" s="299"/>
      <c r="T202" s="299"/>
      <c r="U202" s="299"/>
      <c r="V202" s="299"/>
      <c r="W202" s="299"/>
      <c r="X202" s="299"/>
      <c r="Y202" s="299"/>
      <c r="Z202" s="299"/>
      <c r="AA202" s="299"/>
    </row>
    <row r="203" spans="4:27">
      <c r="D203" s="299"/>
      <c r="E203" s="299"/>
      <c r="F203" s="299"/>
      <c r="G203" s="299"/>
      <c r="H203" s="299"/>
      <c r="I203" s="299"/>
      <c r="J203" s="299"/>
      <c r="K203" s="299"/>
      <c r="L203" s="299"/>
      <c r="M203" s="299"/>
      <c r="N203" s="299"/>
      <c r="O203" s="299"/>
      <c r="P203" s="299"/>
      <c r="Q203" s="299"/>
      <c r="R203" s="299"/>
      <c r="S203" s="299"/>
      <c r="T203" s="299"/>
      <c r="U203" s="299"/>
      <c r="V203" s="299"/>
      <c r="W203" s="299"/>
      <c r="X203" s="299"/>
      <c r="Y203" s="299"/>
      <c r="Z203" s="299"/>
      <c r="AA203" s="299"/>
    </row>
    <row r="204" spans="4:27">
      <c r="D204" s="299"/>
      <c r="E204" s="299"/>
      <c r="F204" s="299"/>
      <c r="G204" s="299"/>
      <c r="H204" s="299"/>
      <c r="I204" s="299"/>
      <c r="J204" s="299"/>
      <c r="K204" s="299"/>
      <c r="L204" s="299"/>
      <c r="M204" s="299"/>
      <c r="N204" s="299"/>
      <c r="O204" s="299"/>
      <c r="P204" s="299"/>
      <c r="Q204" s="299"/>
      <c r="R204" s="299"/>
      <c r="S204" s="299"/>
      <c r="T204" s="299"/>
      <c r="U204" s="299"/>
      <c r="V204" s="299"/>
      <c r="W204" s="299"/>
      <c r="X204" s="299"/>
      <c r="Y204" s="299"/>
      <c r="Z204" s="299"/>
      <c r="AA204" s="299"/>
    </row>
    <row r="205" spans="4:27">
      <c r="D205" s="299"/>
      <c r="E205" s="299"/>
      <c r="F205" s="299"/>
      <c r="G205" s="299"/>
      <c r="H205" s="299"/>
      <c r="I205" s="299"/>
      <c r="J205" s="299"/>
      <c r="K205" s="299"/>
      <c r="L205" s="299"/>
      <c r="M205" s="299"/>
      <c r="N205" s="299"/>
      <c r="O205" s="299"/>
      <c r="P205" s="299"/>
      <c r="Q205" s="299"/>
      <c r="R205" s="299"/>
      <c r="S205" s="299"/>
      <c r="T205" s="299"/>
      <c r="U205" s="299"/>
      <c r="V205" s="299"/>
      <c r="W205" s="299"/>
      <c r="X205" s="299"/>
      <c r="Y205" s="299"/>
      <c r="Z205" s="299"/>
      <c r="AA205" s="299"/>
    </row>
    <row r="206" spans="4:27">
      <c r="D206" s="299"/>
      <c r="E206" s="299"/>
      <c r="F206" s="299"/>
      <c r="G206" s="299"/>
      <c r="H206" s="299"/>
      <c r="I206" s="299"/>
      <c r="J206" s="299"/>
      <c r="K206" s="299"/>
      <c r="L206" s="299"/>
      <c r="M206" s="299"/>
      <c r="N206" s="299"/>
      <c r="O206" s="299"/>
      <c r="P206" s="299"/>
      <c r="Q206" s="299"/>
      <c r="R206" s="299"/>
      <c r="S206" s="299"/>
      <c r="T206" s="299"/>
      <c r="U206" s="299"/>
      <c r="V206" s="299"/>
      <c r="W206" s="299"/>
      <c r="X206" s="299"/>
      <c r="Y206" s="299"/>
      <c r="Z206" s="299"/>
      <c r="AA206" s="299"/>
    </row>
    <row r="207" spans="4:27">
      <c r="D207" s="299"/>
      <c r="E207" s="299"/>
      <c r="F207" s="299"/>
      <c r="G207" s="299"/>
      <c r="H207" s="299"/>
      <c r="I207" s="299"/>
      <c r="J207" s="299"/>
      <c r="K207" s="299"/>
      <c r="L207" s="299"/>
      <c r="M207" s="299"/>
      <c r="N207" s="299"/>
      <c r="O207" s="299"/>
      <c r="P207" s="299"/>
      <c r="Q207" s="299"/>
      <c r="R207" s="299"/>
      <c r="S207" s="299"/>
      <c r="T207" s="299"/>
      <c r="U207" s="299"/>
      <c r="V207" s="299"/>
      <c r="W207" s="299"/>
      <c r="X207" s="299"/>
      <c r="Y207" s="299"/>
      <c r="Z207" s="299"/>
      <c r="AA207" s="299"/>
    </row>
    <row r="208" spans="4:27">
      <c r="D208" s="299"/>
      <c r="E208" s="299"/>
      <c r="F208" s="299"/>
      <c r="G208" s="299"/>
      <c r="H208" s="299"/>
      <c r="I208" s="299"/>
      <c r="J208" s="299"/>
      <c r="K208" s="299"/>
      <c r="L208" s="299"/>
      <c r="M208" s="299"/>
      <c r="N208" s="299"/>
      <c r="O208" s="299"/>
      <c r="P208" s="299"/>
      <c r="Q208" s="299"/>
      <c r="R208" s="299"/>
      <c r="S208" s="299"/>
      <c r="T208" s="299"/>
      <c r="U208" s="299"/>
      <c r="V208" s="299"/>
      <c r="W208" s="299"/>
      <c r="X208" s="299"/>
      <c r="Y208" s="299"/>
      <c r="Z208" s="299"/>
      <c r="AA208" s="299"/>
    </row>
    <row r="209" spans="4:27">
      <c r="D209" s="299"/>
      <c r="E209" s="299"/>
      <c r="F209" s="299"/>
      <c r="G209" s="299"/>
      <c r="H209" s="299"/>
      <c r="I209" s="299"/>
      <c r="J209" s="299"/>
      <c r="K209" s="299"/>
      <c r="L209" s="299"/>
      <c r="M209" s="299"/>
      <c r="N209" s="299"/>
      <c r="O209" s="299"/>
      <c r="P209" s="299"/>
      <c r="Q209" s="299"/>
      <c r="R209" s="299"/>
      <c r="S209" s="299"/>
      <c r="T209" s="299"/>
      <c r="U209" s="299"/>
      <c r="V209" s="299"/>
      <c r="W209" s="299"/>
      <c r="X209" s="299"/>
      <c r="Y209" s="299"/>
      <c r="Z209" s="299"/>
      <c r="AA209" s="299"/>
    </row>
    <row r="210" spans="4:27">
      <c r="D210" s="299"/>
      <c r="E210" s="299"/>
      <c r="F210" s="299"/>
      <c r="G210" s="299"/>
      <c r="H210" s="299"/>
      <c r="I210" s="299"/>
      <c r="J210" s="299"/>
      <c r="K210" s="299"/>
      <c r="L210" s="299"/>
      <c r="M210" s="299"/>
      <c r="N210" s="299"/>
      <c r="O210" s="299"/>
      <c r="P210" s="299"/>
      <c r="Q210" s="299"/>
      <c r="R210" s="299"/>
      <c r="S210" s="299"/>
      <c r="T210" s="299"/>
      <c r="U210" s="299"/>
      <c r="V210" s="299"/>
      <c r="W210" s="299"/>
      <c r="X210" s="299"/>
      <c r="Y210" s="299"/>
      <c r="Z210" s="299"/>
      <c r="AA210" s="299"/>
    </row>
    <row r="211" spans="4:27">
      <c r="D211" s="299"/>
      <c r="E211" s="299"/>
      <c r="F211" s="299"/>
      <c r="G211" s="299"/>
      <c r="H211" s="299"/>
      <c r="I211" s="299"/>
      <c r="J211" s="299"/>
      <c r="K211" s="299"/>
      <c r="L211" s="299"/>
      <c r="M211" s="299"/>
      <c r="N211" s="299"/>
      <c r="O211" s="299"/>
      <c r="P211" s="299"/>
      <c r="Q211" s="299"/>
      <c r="R211" s="299"/>
      <c r="S211" s="299"/>
      <c r="T211" s="299"/>
      <c r="U211" s="299"/>
      <c r="V211" s="299"/>
      <c r="W211" s="299"/>
      <c r="X211" s="299"/>
      <c r="Y211" s="299"/>
      <c r="Z211" s="299"/>
      <c r="AA211" s="299"/>
    </row>
    <row r="212" spans="4:27">
      <c r="D212" s="299"/>
      <c r="E212" s="299"/>
      <c r="F212" s="299"/>
      <c r="G212" s="299"/>
      <c r="H212" s="299"/>
      <c r="I212" s="299"/>
      <c r="J212" s="299"/>
      <c r="K212" s="299"/>
      <c r="L212" s="299"/>
      <c r="M212" s="299"/>
      <c r="N212" s="299"/>
      <c r="O212" s="299"/>
      <c r="P212" s="299"/>
      <c r="Q212" s="299"/>
      <c r="R212" s="299"/>
      <c r="S212" s="299"/>
      <c r="T212" s="299"/>
      <c r="U212" s="299"/>
      <c r="V212" s="299"/>
      <c r="W212" s="299"/>
      <c r="X212" s="299"/>
      <c r="Y212" s="299"/>
      <c r="Z212" s="299"/>
      <c r="AA212" s="299"/>
    </row>
    <row r="213" spans="4:27">
      <c r="D213" s="299"/>
      <c r="E213" s="299"/>
      <c r="F213" s="299"/>
      <c r="G213" s="299"/>
      <c r="H213" s="299"/>
      <c r="I213" s="299"/>
      <c r="J213" s="299"/>
      <c r="K213" s="299"/>
      <c r="L213" s="299"/>
      <c r="M213" s="299"/>
      <c r="N213" s="299"/>
      <c r="O213" s="299"/>
      <c r="P213" s="299"/>
      <c r="Q213" s="299"/>
      <c r="R213" s="299"/>
      <c r="S213" s="299"/>
      <c r="T213" s="299"/>
      <c r="U213" s="299"/>
      <c r="V213" s="299"/>
      <c r="W213" s="299"/>
      <c r="X213" s="299"/>
      <c r="Y213" s="299"/>
      <c r="Z213" s="299"/>
      <c r="AA213" s="299"/>
    </row>
    <row r="214" spans="4:27">
      <c r="D214" s="299"/>
      <c r="E214" s="299"/>
      <c r="F214" s="299"/>
      <c r="G214" s="299"/>
      <c r="H214" s="299"/>
      <c r="I214" s="299"/>
      <c r="J214" s="299"/>
      <c r="K214" s="299"/>
      <c r="L214" s="299"/>
      <c r="M214" s="299"/>
      <c r="N214" s="299"/>
      <c r="O214" s="299"/>
      <c r="P214" s="299"/>
      <c r="Q214" s="299"/>
      <c r="R214" s="299"/>
      <c r="S214" s="299"/>
      <c r="T214" s="299"/>
      <c r="U214" s="299"/>
      <c r="V214" s="299"/>
      <c r="W214" s="299"/>
      <c r="X214" s="299"/>
      <c r="Y214" s="299"/>
      <c r="Z214" s="299"/>
      <c r="AA214" s="299"/>
    </row>
    <row r="215" spans="4:27">
      <c r="D215" s="299"/>
      <c r="E215" s="299"/>
      <c r="F215" s="299"/>
      <c r="G215" s="299"/>
      <c r="H215" s="299"/>
      <c r="I215" s="299"/>
      <c r="J215" s="299"/>
      <c r="K215" s="299"/>
      <c r="L215" s="299"/>
      <c r="M215" s="299"/>
      <c r="N215" s="299"/>
      <c r="O215" s="299"/>
      <c r="P215" s="299"/>
      <c r="Q215" s="299"/>
      <c r="R215" s="299"/>
      <c r="S215" s="299"/>
      <c r="T215" s="299"/>
      <c r="U215" s="299"/>
      <c r="V215" s="299"/>
      <c r="W215" s="299"/>
      <c r="X215" s="299"/>
      <c r="Y215" s="299"/>
      <c r="Z215" s="299"/>
      <c r="AA215" s="299"/>
    </row>
    <row r="216" spans="4:27">
      <c r="D216" s="299"/>
      <c r="E216" s="299"/>
      <c r="F216" s="299"/>
      <c r="G216" s="299"/>
      <c r="H216" s="299"/>
      <c r="I216" s="299"/>
      <c r="J216" s="299"/>
      <c r="K216" s="299"/>
      <c r="L216" s="299"/>
      <c r="M216" s="299"/>
      <c r="N216" s="299"/>
      <c r="O216" s="299"/>
      <c r="P216" s="299"/>
      <c r="Q216" s="299"/>
      <c r="R216" s="299"/>
      <c r="S216" s="299"/>
      <c r="T216" s="299"/>
      <c r="U216" s="299"/>
      <c r="V216" s="299"/>
      <c r="W216" s="299"/>
      <c r="X216" s="299"/>
      <c r="Y216" s="299"/>
      <c r="Z216" s="299"/>
      <c r="AA216" s="299"/>
    </row>
    <row r="217" spans="4:27">
      <c r="D217" s="299"/>
      <c r="E217" s="299"/>
      <c r="F217" s="299"/>
      <c r="G217" s="299"/>
      <c r="H217" s="299"/>
      <c r="I217" s="299"/>
      <c r="J217" s="299"/>
      <c r="K217" s="299"/>
      <c r="L217" s="299"/>
      <c r="M217" s="299"/>
      <c r="N217" s="299"/>
      <c r="O217" s="299"/>
      <c r="P217" s="299"/>
      <c r="Q217" s="299"/>
      <c r="R217" s="299"/>
      <c r="S217" s="299"/>
      <c r="T217" s="299"/>
      <c r="U217" s="299"/>
      <c r="V217" s="299"/>
      <c r="W217" s="299"/>
      <c r="X217" s="299"/>
      <c r="Y217" s="299"/>
      <c r="Z217" s="299"/>
      <c r="AA217" s="299"/>
    </row>
    <row r="218" spans="4:27">
      <c r="D218" s="299"/>
      <c r="E218" s="299"/>
      <c r="F218" s="299"/>
      <c r="G218" s="299"/>
      <c r="H218" s="299"/>
      <c r="I218" s="299"/>
      <c r="J218" s="299"/>
      <c r="K218" s="299"/>
      <c r="L218" s="299"/>
      <c r="M218" s="299"/>
      <c r="N218" s="299"/>
      <c r="O218" s="299"/>
      <c r="P218" s="299"/>
      <c r="Q218" s="299"/>
      <c r="R218" s="299"/>
      <c r="S218" s="299"/>
      <c r="T218" s="299"/>
      <c r="U218" s="299"/>
      <c r="V218" s="299"/>
      <c r="W218" s="299"/>
      <c r="X218" s="299"/>
      <c r="Y218" s="299"/>
      <c r="Z218" s="299"/>
      <c r="AA218" s="299"/>
    </row>
    <row r="219" spans="4:27">
      <c r="D219" s="299"/>
      <c r="E219" s="299"/>
      <c r="F219" s="299"/>
      <c r="G219" s="299"/>
      <c r="H219" s="299"/>
      <c r="I219" s="299"/>
      <c r="J219" s="299"/>
      <c r="K219" s="299"/>
      <c r="L219" s="299"/>
      <c r="M219" s="299"/>
      <c r="N219" s="299"/>
      <c r="O219" s="299"/>
      <c r="P219" s="299"/>
      <c r="Q219" s="299"/>
      <c r="R219" s="299"/>
      <c r="S219" s="299"/>
      <c r="T219" s="299"/>
      <c r="U219" s="299"/>
      <c r="V219" s="299"/>
      <c r="W219" s="299"/>
      <c r="X219" s="299"/>
      <c r="Y219" s="299"/>
      <c r="Z219" s="299"/>
      <c r="AA219" s="299"/>
    </row>
    <row r="220" spans="4:27">
      <c r="D220" s="299"/>
      <c r="E220" s="299"/>
      <c r="F220" s="299"/>
      <c r="G220" s="299"/>
      <c r="H220" s="299"/>
      <c r="I220" s="299"/>
      <c r="J220" s="299"/>
      <c r="K220" s="299"/>
      <c r="L220" s="299"/>
      <c r="M220" s="299"/>
      <c r="N220" s="299"/>
      <c r="O220" s="299"/>
      <c r="P220" s="299"/>
      <c r="Q220" s="299"/>
      <c r="R220" s="299"/>
      <c r="S220" s="299"/>
      <c r="T220" s="299"/>
      <c r="U220" s="299"/>
      <c r="V220" s="299"/>
      <c r="W220" s="299"/>
      <c r="X220" s="299"/>
      <c r="Y220" s="299"/>
      <c r="Z220" s="299"/>
      <c r="AA220" s="299"/>
    </row>
    <row r="221" spans="4:27">
      <c r="D221" s="299"/>
      <c r="E221" s="299"/>
      <c r="F221" s="299"/>
      <c r="G221" s="299"/>
      <c r="H221" s="299"/>
      <c r="I221" s="299"/>
      <c r="J221" s="299"/>
      <c r="K221" s="299"/>
      <c r="L221" s="299"/>
      <c r="M221" s="299"/>
      <c r="N221" s="299"/>
      <c r="O221" s="299"/>
      <c r="P221" s="299"/>
      <c r="Q221" s="299"/>
      <c r="R221" s="299"/>
      <c r="S221" s="299"/>
      <c r="T221" s="299"/>
      <c r="U221" s="299"/>
      <c r="V221" s="299"/>
      <c r="W221" s="299"/>
      <c r="X221" s="299"/>
      <c r="Y221" s="299"/>
      <c r="Z221" s="299"/>
      <c r="AA221" s="299"/>
    </row>
    <row r="222" spans="4:27">
      <c r="D222" s="299"/>
      <c r="E222" s="299"/>
      <c r="F222" s="299"/>
      <c r="G222" s="299"/>
      <c r="H222" s="299"/>
      <c r="I222" s="299"/>
      <c r="J222" s="299"/>
      <c r="K222" s="299"/>
      <c r="L222" s="299"/>
      <c r="M222" s="299"/>
      <c r="N222" s="299"/>
      <c r="O222" s="299"/>
      <c r="P222" s="299"/>
      <c r="Q222" s="299"/>
      <c r="R222" s="299"/>
      <c r="S222" s="299"/>
      <c r="T222" s="299"/>
      <c r="U222" s="299"/>
      <c r="V222" s="299"/>
      <c r="W222" s="299"/>
      <c r="X222" s="299"/>
      <c r="Y222" s="299"/>
      <c r="Z222" s="299"/>
      <c r="AA222" s="299"/>
    </row>
    <row r="223" spans="4:27">
      <c r="D223" s="299"/>
      <c r="E223" s="299"/>
      <c r="F223" s="299"/>
      <c r="G223" s="299"/>
      <c r="H223" s="299"/>
      <c r="I223" s="299"/>
      <c r="J223" s="299"/>
      <c r="K223" s="299"/>
      <c r="L223" s="299"/>
      <c r="M223" s="299"/>
      <c r="N223" s="299"/>
      <c r="O223" s="299"/>
      <c r="P223" s="299"/>
      <c r="Q223" s="299"/>
      <c r="R223" s="299"/>
      <c r="S223" s="299"/>
      <c r="T223" s="299"/>
      <c r="U223" s="299"/>
      <c r="V223" s="299"/>
      <c r="W223" s="299"/>
      <c r="X223" s="299"/>
      <c r="Y223" s="299"/>
      <c r="Z223" s="299"/>
      <c r="AA223" s="299"/>
    </row>
    <row r="224" spans="4:27">
      <c r="D224" s="299"/>
      <c r="E224" s="299"/>
      <c r="F224" s="299"/>
      <c r="G224" s="299"/>
      <c r="H224" s="299"/>
      <c r="I224" s="299"/>
      <c r="J224" s="299"/>
      <c r="K224" s="299"/>
      <c r="L224" s="299"/>
      <c r="M224" s="299"/>
      <c r="N224" s="299"/>
      <c r="O224" s="299"/>
      <c r="P224" s="299"/>
      <c r="Q224" s="299"/>
      <c r="R224" s="299"/>
      <c r="S224" s="299"/>
      <c r="T224" s="299"/>
      <c r="U224" s="299"/>
      <c r="V224" s="299"/>
      <c r="W224" s="299"/>
      <c r="X224" s="299"/>
      <c r="Y224" s="299"/>
      <c r="Z224" s="299"/>
      <c r="AA224" s="299"/>
    </row>
    <row r="225" spans="4:27">
      <c r="D225" s="299"/>
      <c r="E225" s="299"/>
      <c r="F225" s="299"/>
      <c r="G225" s="299"/>
      <c r="H225" s="299"/>
      <c r="I225" s="299"/>
      <c r="J225" s="299"/>
      <c r="K225" s="299"/>
      <c r="L225" s="299"/>
      <c r="M225" s="299"/>
      <c r="N225" s="299"/>
      <c r="O225" s="299"/>
      <c r="P225" s="299"/>
      <c r="Q225" s="299"/>
      <c r="R225" s="299"/>
      <c r="S225" s="299"/>
      <c r="T225" s="299"/>
      <c r="U225" s="299"/>
      <c r="V225" s="299"/>
      <c r="W225" s="299"/>
      <c r="X225" s="299"/>
      <c r="Y225" s="299"/>
      <c r="Z225" s="299"/>
      <c r="AA225" s="299"/>
    </row>
    <row r="226" spans="4:27">
      <c r="D226" s="299"/>
      <c r="E226" s="299"/>
      <c r="F226" s="299"/>
      <c r="G226" s="299"/>
      <c r="H226" s="299"/>
      <c r="I226" s="299"/>
      <c r="J226" s="299"/>
      <c r="K226" s="299"/>
      <c r="L226" s="299"/>
      <c r="M226" s="299"/>
      <c r="N226" s="299"/>
      <c r="O226" s="299"/>
      <c r="P226" s="299"/>
      <c r="Q226" s="299"/>
      <c r="R226" s="299"/>
      <c r="S226" s="299"/>
      <c r="T226" s="299"/>
      <c r="U226" s="299"/>
      <c r="V226" s="299"/>
      <c r="W226" s="299"/>
      <c r="X226" s="299"/>
      <c r="Y226" s="299"/>
      <c r="Z226" s="299"/>
      <c r="AA226" s="299"/>
    </row>
    <row r="227" spans="4:27">
      <c r="D227" s="299"/>
      <c r="E227" s="299"/>
      <c r="F227" s="299"/>
      <c r="G227" s="299"/>
      <c r="H227" s="299"/>
      <c r="I227" s="299"/>
      <c r="J227" s="299"/>
      <c r="K227" s="299"/>
      <c r="L227" s="299"/>
      <c r="M227" s="299"/>
      <c r="N227" s="299"/>
      <c r="O227" s="299"/>
      <c r="P227" s="299"/>
      <c r="Q227" s="299"/>
      <c r="R227" s="299"/>
      <c r="S227" s="299"/>
      <c r="T227" s="299"/>
      <c r="U227" s="299"/>
      <c r="V227" s="299"/>
      <c r="W227" s="299"/>
      <c r="X227" s="299"/>
      <c r="Y227" s="299"/>
      <c r="Z227" s="299"/>
      <c r="AA227" s="299"/>
    </row>
    <row r="228" spans="4:27">
      <c r="D228" s="299"/>
      <c r="E228" s="299"/>
      <c r="F228" s="299"/>
      <c r="G228" s="299"/>
      <c r="H228" s="299"/>
      <c r="I228" s="299"/>
      <c r="J228" s="299"/>
      <c r="K228" s="299"/>
      <c r="L228" s="299"/>
      <c r="M228" s="299"/>
      <c r="N228" s="299"/>
      <c r="O228" s="299"/>
      <c r="P228" s="299"/>
      <c r="Q228" s="299"/>
      <c r="R228" s="299"/>
      <c r="S228" s="299"/>
      <c r="T228" s="299"/>
      <c r="U228" s="299"/>
      <c r="V228" s="299"/>
      <c r="W228" s="299"/>
      <c r="X228" s="299"/>
      <c r="Y228" s="299"/>
      <c r="Z228" s="299"/>
      <c r="AA228" s="299"/>
    </row>
    <row r="229" spans="4:27">
      <c r="D229" s="299"/>
      <c r="E229" s="299"/>
      <c r="F229" s="299"/>
      <c r="G229" s="299"/>
      <c r="H229" s="299"/>
      <c r="I229" s="299"/>
      <c r="J229" s="299"/>
      <c r="K229" s="299"/>
      <c r="L229" s="299"/>
      <c r="M229" s="299"/>
      <c r="N229" s="299"/>
      <c r="O229" s="299"/>
      <c r="P229" s="299"/>
      <c r="Q229" s="299"/>
      <c r="R229" s="299"/>
      <c r="S229" s="299"/>
      <c r="T229" s="299"/>
      <c r="U229" s="299"/>
      <c r="V229" s="299"/>
      <c r="W229" s="299"/>
      <c r="X229" s="299"/>
      <c r="Y229" s="299"/>
      <c r="Z229" s="299"/>
      <c r="AA229" s="299"/>
    </row>
    <row r="230" spans="4:27">
      <c r="D230" s="299"/>
      <c r="E230" s="299"/>
      <c r="F230" s="299"/>
      <c r="G230" s="299"/>
      <c r="H230" s="299"/>
      <c r="I230" s="299"/>
      <c r="J230" s="299"/>
      <c r="K230" s="299"/>
      <c r="L230" s="299"/>
      <c r="M230" s="299"/>
      <c r="N230" s="299"/>
      <c r="O230" s="299"/>
      <c r="P230" s="299"/>
      <c r="Q230" s="299"/>
      <c r="R230" s="299"/>
      <c r="S230" s="299"/>
      <c r="T230" s="299"/>
      <c r="U230" s="299"/>
      <c r="V230" s="299"/>
      <c r="W230" s="299"/>
      <c r="X230" s="299"/>
      <c r="Y230" s="299"/>
      <c r="Z230" s="299"/>
      <c r="AA230" s="299"/>
    </row>
    <row r="231" spans="4:27">
      <c r="D231" s="299"/>
      <c r="E231" s="299"/>
      <c r="F231" s="299"/>
      <c r="G231" s="299"/>
      <c r="H231" s="299"/>
      <c r="I231" s="299"/>
      <c r="J231" s="299"/>
      <c r="K231" s="299"/>
      <c r="L231" s="299"/>
      <c r="M231" s="299"/>
      <c r="N231" s="299"/>
      <c r="O231" s="299"/>
      <c r="P231" s="299"/>
      <c r="Q231" s="299"/>
      <c r="R231" s="299"/>
      <c r="S231" s="299"/>
      <c r="T231" s="299"/>
      <c r="U231" s="299"/>
      <c r="V231" s="299"/>
      <c r="W231" s="299"/>
      <c r="X231" s="299"/>
      <c r="Y231" s="299"/>
      <c r="Z231" s="299"/>
      <c r="AA231" s="299"/>
    </row>
    <row r="232" spans="4:27">
      <c r="D232" s="299"/>
      <c r="E232" s="299"/>
      <c r="F232" s="299"/>
      <c r="G232" s="299"/>
      <c r="H232" s="299"/>
      <c r="I232" s="299"/>
      <c r="J232" s="299"/>
      <c r="K232" s="299"/>
      <c r="L232" s="299"/>
      <c r="M232" s="299"/>
      <c r="N232" s="299"/>
      <c r="O232" s="299"/>
      <c r="P232" s="299"/>
      <c r="Q232" s="299"/>
      <c r="R232" s="299"/>
      <c r="S232" s="299"/>
      <c r="T232" s="299"/>
      <c r="U232" s="299"/>
      <c r="V232" s="299"/>
      <c r="W232" s="299"/>
      <c r="X232" s="299"/>
      <c r="Y232" s="299"/>
      <c r="Z232" s="299"/>
      <c r="AA232" s="299"/>
    </row>
    <row r="233" spans="4:27">
      <c r="D233" s="299"/>
      <c r="E233" s="299"/>
      <c r="F233" s="299"/>
      <c r="G233" s="299"/>
      <c r="H233" s="299"/>
      <c r="I233" s="299"/>
      <c r="J233" s="299"/>
      <c r="K233" s="299"/>
      <c r="L233" s="299"/>
      <c r="M233" s="299"/>
      <c r="N233" s="299"/>
      <c r="O233" s="299"/>
      <c r="P233" s="299"/>
      <c r="Q233" s="299"/>
      <c r="R233" s="299"/>
      <c r="S233" s="299"/>
      <c r="T233" s="299"/>
      <c r="U233" s="299"/>
      <c r="V233" s="299"/>
      <c r="W233" s="299"/>
      <c r="X233" s="299"/>
      <c r="Y233" s="299"/>
      <c r="Z233" s="299"/>
      <c r="AA233" s="299"/>
    </row>
    <row r="234" spans="4:27">
      <c r="D234" s="299"/>
      <c r="E234" s="299"/>
      <c r="F234" s="299"/>
      <c r="G234" s="299"/>
      <c r="H234" s="299"/>
      <c r="I234" s="299"/>
      <c r="J234" s="299"/>
      <c r="K234" s="299"/>
      <c r="L234" s="299"/>
      <c r="M234" s="299"/>
      <c r="N234" s="299"/>
      <c r="O234" s="299"/>
      <c r="P234" s="299"/>
      <c r="Q234" s="299"/>
      <c r="R234" s="299"/>
      <c r="S234" s="299"/>
      <c r="T234" s="299"/>
      <c r="U234" s="299"/>
      <c r="V234" s="299"/>
      <c r="W234" s="299"/>
      <c r="X234" s="299"/>
      <c r="Y234" s="299"/>
      <c r="Z234" s="299"/>
      <c r="AA234" s="299"/>
    </row>
    <row r="235" spans="4:27">
      <c r="D235" s="299"/>
      <c r="E235" s="299"/>
      <c r="F235" s="299"/>
      <c r="G235" s="299"/>
      <c r="H235" s="299"/>
      <c r="I235" s="299"/>
      <c r="J235" s="299"/>
      <c r="K235" s="299"/>
      <c r="L235" s="299"/>
      <c r="M235" s="299"/>
      <c r="N235" s="299"/>
      <c r="O235" s="299"/>
      <c r="P235" s="299"/>
      <c r="Q235" s="299"/>
      <c r="R235" s="299"/>
      <c r="S235" s="299"/>
      <c r="T235" s="299"/>
      <c r="U235" s="299"/>
      <c r="V235" s="299"/>
      <c r="W235" s="299"/>
      <c r="X235" s="299"/>
      <c r="Y235" s="299"/>
      <c r="Z235" s="299"/>
      <c r="AA235" s="299"/>
    </row>
    <row r="236" spans="4:27">
      <c r="D236" s="299"/>
      <c r="E236" s="299"/>
      <c r="F236" s="299"/>
      <c r="G236" s="299"/>
      <c r="H236" s="299"/>
      <c r="I236" s="299"/>
      <c r="J236" s="299"/>
      <c r="K236" s="299"/>
      <c r="L236" s="299"/>
      <c r="M236" s="299"/>
      <c r="N236" s="299"/>
      <c r="O236" s="299"/>
      <c r="P236" s="299"/>
      <c r="Q236" s="299"/>
      <c r="R236" s="299"/>
      <c r="S236" s="299"/>
      <c r="T236" s="299"/>
      <c r="U236" s="299"/>
      <c r="V236" s="299"/>
      <c r="W236" s="299"/>
      <c r="X236" s="299"/>
      <c r="Y236" s="299"/>
      <c r="Z236" s="299"/>
      <c r="AA236" s="299"/>
    </row>
    <row r="237" spans="4:27">
      <c r="D237" s="299"/>
      <c r="E237" s="299"/>
      <c r="F237" s="299"/>
      <c r="G237" s="299"/>
      <c r="H237" s="299"/>
      <c r="I237" s="299"/>
      <c r="J237" s="299"/>
      <c r="K237" s="299"/>
      <c r="L237" s="299"/>
      <c r="M237" s="299"/>
      <c r="N237" s="299"/>
      <c r="O237" s="299"/>
      <c r="P237" s="299"/>
      <c r="Q237" s="299"/>
      <c r="R237" s="299"/>
      <c r="S237" s="299"/>
      <c r="T237" s="299"/>
      <c r="U237" s="299"/>
      <c r="V237" s="299"/>
      <c r="W237" s="299"/>
      <c r="X237" s="299"/>
      <c r="Y237" s="299"/>
      <c r="Z237" s="299"/>
      <c r="AA237" s="299"/>
    </row>
    <row r="238" spans="4:27">
      <c r="D238" s="299"/>
      <c r="E238" s="299"/>
      <c r="F238" s="299"/>
      <c r="G238" s="299"/>
      <c r="H238" s="299"/>
      <c r="I238" s="299"/>
      <c r="J238" s="299"/>
      <c r="K238" s="299"/>
      <c r="L238" s="299"/>
      <c r="M238" s="299"/>
      <c r="N238" s="299"/>
      <c r="O238" s="299"/>
      <c r="P238" s="299"/>
      <c r="Q238" s="299"/>
      <c r="R238" s="299"/>
      <c r="S238" s="299"/>
      <c r="T238" s="299"/>
      <c r="U238" s="299"/>
      <c r="V238" s="299"/>
      <c r="W238" s="299"/>
      <c r="X238" s="299"/>
      <c r="Y238" s="299"/>
      <c r="Z238" s="299"/>
      <c r="AA238" s="299"/>
    </row>
    <row r="239" spans="4:27">
      <c r="D239" s="299"/>
      <c r="E239" s="299"/>
      <c r="F239" s="299"/>
      <c r="G239" s="299"/>
      <c r="H239" s="299"/>
      <c r="I239" s="299"/>
      <c r="J239" s="299"/>
      <c r="K239" s="299"/>
      <c r="L239" s="299"/>
      <c r="M239" s="299"/>
      <c r="N239" s="299"/>
      <c r="O239" s="299"/>
      <c r="P239" s="299"/>
      <c r="Q239" s="299"/>
      <c r="R239" s="299"/>
      <c r="S239" s="299"/>
      <c r="T239" s="299"/>
      <c r="U239" s="299"/>
      <c r="V239" s="299"/>
      <c r="W239" s="299"/>
      <c r="X239" s="299"/>
      <c r="Y239" s="299"/>
      <c r="Z239" s="299"/>
      <c r="AA239" s="299"/>
    </row>
    <row r="240" spans="4:27">
      <c r="D240" s="299"/>
      <c r="E240" s="299"/>
      <c r="F240" s="299"/>
      <c r="G240" s="299"/>
      <c r="H240" s="299"/>
      <c r="I240" s="299"/>
      <c r="J240" s="299"/>
      <c r="K240" s="299"/>
      <c r="L240" s="299"/>
      <c r="M240" s="299"/>
      <c r="N240" s="299"/>
      <c r="O240" s="299"/>
      <c r="P240" s="299"/>
      <c r="Q240" s="299"/>
      <c r="R240" s="299"/>
      <c r="S240" s="299"/>
      <c r="T240" s="299"/>
      <c r="U240" s="299"/>
      <c r="V240" s="299"/>
      <c r="W240" s="299"/>
      <c r="X240" s="299"/>
      <c r="Y240" s="299"/>
      <c r="Z240" s="299"/>
      <c r="AA240" s="299"/>
    </row>
    <row r="241" spans="4:27">
      <c r="D241" s="299"/>
      <c r="E241" s="299"/>
      <c r="F241" s="299"/>
      <c r="G241" s="299"/>
      <c r="H241" s="299"/>
      <c r="I241" s="299"/>
      <c r="J241" s="299"/>
      <c r="K241" s="299"/>
      <c r="L241" s="299"/>
      <c r="M241" s="299"/>
      <c r="N241" s="299"/>
      <c r="O241" s="299"/>
      <c r="P241" s="299"/>
      <c r="Q241" s="299"/>
      <c r="R241" s="299"/>
      <c r="S241" s="299"/>
      <c r="T241" s="299"/>
      <c r="U241" s="299"/>
      <c r="V241" s="299"/>
      <c r="W241" s="299"/>
      <c r="X241" s="299"/>
      <c r="Y241" s="299"/>
      <c r="Z241" s="299"/>
      <c r="AA241" s="299"/>
    </row>
    <row r="242" spans="4:27">
      <c r="D242" s="299"/>
      <c r="E242" s="299"/>
      <c r="F242" s="299"/>
      <c r="G242" s="299"/>
      <c r="H242" s="299"/>
      <c r="I242" s="299"/>
      <c r="J242" s="299"/>
      <c r="K242" s="299"/>
      <c r="L242" s="299"/>
      <c r="M242" s="299"/>
      <c r="N242" s="299"/>
      <c r="O242" s="299"/>
      <c r="P242" s="299"/>
      <c r="Q242" s="299"/>
      <c r="R242" s="299"/>
      <c r="S242" s="299"/>
      <c r="T242" s="299"/>
      <c r="U242" s="299"/>
      <c r="V242" s="299"/>
      <c r="W242" s="299"/>
      <c r="X242" s="299"/>
      <c r="Y242" s="299"/>
      <c r="Z242" s="299"/>
      <c r="AA242" s="299"/>
    </row>
    <row r="243" spans="4:27">
      <c r="D243" s="299"/>
      <c r="E243" s="299"/>
      <c r="F243" s="299"/>
      <c r="G243" s="299"/>
      <c r="H243" s="299"/>
      <c r="I243" s="299"/>
      <c r="J243" s="299"/>
      <c r="K243" s="299"/>
      <c r="L243" s="299"/>
      <c r="M243" s="299"/>
      <c r="N243" s="299"/>
      <c r="O243" s="299"/>
      <c r="P243" s="299"/>
      <c r="Q243" s="299"/>
      <c r="R243" s="299"/>
      <c r="S243" s="299"/>
      <c r="T243" s="299"/>
      <c r="U243" s="299"/>
      <c r="V243" s="299"/>
      <c r="W243" s="299"/>
      <c r="X243" s="299"/>
      <c r="Y243" s="299"/>
      <c r="Z243" s="299"/>
      <c r="AA243" s="299"/>
    </row>
    <row r="244" spans="4:27">
      <c r="D244" s="299"/>
      <c r="E244" s="299"/>
      <c r="F244" s="299"/>
      <c r="G244" s="299"/>
      <c r="H244" s="299"/>
      <c r="I244" s="299"/>
      <c r="J244" s="299"/>
      <c r="K244" s="299"/>
      <c r="L244" s="299"/>
      <c r="M244" s="299"/>
      <c r="N244" s="299"/>
      <c r="O244" s="299"/>
      <c r="P244" s="299"/>
      <c r="Q244" s="299"/>
      <c r="R244" s="299"/>
      <c r="S244" s="299"/>
      <c r="T244" s="299"/>
      <c r="U244" s="299"/>
      <c r="V244" s="299"/>
      <c r="W244" s="299"/>
      <c r="X244" s="299"/>
      <c r="Y244" s="299"/>
      <c r="Z244" s="299"/>
      <c r="AA244" s="299"/>
    </row>
    <row r="245" spans="4:27">
      <c r="D245" s="299"/>
      <c r="E245" s="299"/>
      <c r="F245" s="299"/>
      <c r="G245" s="299"/>
      <c r="H245" s="299"/>
      <c r="I245" s="299"/>
      <c r="J245" s="299"/>
      <c r="K245" s="299"/>
      <c r="L245" s="299"/>
      <c r="M245" s="299"/>
      <c r="N245" s="299"/>
      <c r="O245" s="299"/>
      <c r="P245" s="299"/>
      <c r="Q245" s="299"/>
      <c r="R245" s="299"/>
      <c r="S245" s="299"/>
      <c r="T245" s="299"/>
      <c r="U245" s="299"/>
      <c r="V245" s="299"/>
      <c r="W245" s="299"/>
      <c r="X245" s="299"/>
      <c r="Y245" s="299"/>
      <c r="Z245" s="299"/>
      <c r="AA245" s="299"/>
    </row>
    <row r="246" spans="4:27">
      <c r="D246" s="299"/>
      <c r="E246" s="299"/>
      <c r="F246" s="299"/>
      <c r="G246" s="299"/>
      <c r="H246" s="299"/>
      <c r="I246" s="299"/>
      <c r="J246" s="299"/>
      <c r="K246" s="299"/>
      <c r="L246" s="299"/>
      <c r="M246" s="299"/>
      <c r="N246" s="299"/>
      <c r="O246" s="299"/>
      <c r="P246" s="299"/>
      <c r="Q246" s="299"/>
      <c r="R246" s="299"/>
      <c r="S246" s="299"/>
      <c r="T246" s="299"/>
      <c r="U246" s="299"/>
      <c r="V246" s="299"/>
      <c r="W246" s="299"/>
      <c r="X246" s="299"/>
      <c r="Y246" s="299"/>
      <c r="Z246" s="299"/>
      <c r="AA246" s="299"/>
    </row>
    <row r="247" spans="4:27">
      <c r="D247" s="299"/>
      <c r="E247" s="299"/>
      <c r="F247" s="299"/>
      <c r="G247" s="299"/>
      <c r="H247" s="299"/>
      <c r="I247" s="299"/>
      <c r="J247" s="299"/>
      <c r="K247" s="299"/>
      <c r="L247" s="299"/>
      <c r="M247" s="299"/>
      <c r="N247" s="299"/>
      <c r="O247" s="299"/>
      <c r="P247" s="299"/>
      <c r="Q247" s="299"/>
      <c r="R247" s="299"/>
      <c r="S247" s="299"/>
      <c r="T247" s="299"/>
      <c r="U247" s="299"/>
      <c r="V247" s="299"/>
      <c r="W247" s="299"/>
      <c r="X247" s="299"/>
      <c r="Y247" s="299"/>
      <c r="Z247" s="299"/>
      <c r="AA247" s="299"/>
    </row>
    <row r="248" spans="4:27">
      <c r="D248" s="299"/>
      <c r="E248" s="299"/>
      <c r="F248" s="299"/>
      <c r="G248" s="299"/>
      <c r="H248" s="299"/>
      <c r="I248" s="299"/>
      <c r="J248" s="299"/>
      <c r="K248" s="299"/>
      <c r="L248" s="299"/>
      <c r="M248" s="299"/>
      <c r="N248" s="299"/>
      <c r="O248" s="299"/>
      <c r="P248" s="299"/>
      <c r="Q248" s="299"/>
      <c r="R248" s="299"/>
      <c r="S248" s="299"/>
      <c r="T248" s="299"/>
      <c r="U248" s="299"/>
      <c r="V248" s="299"/>
      <c r="W248" s="299"/>
      <c r="X248" s="299"/>
      <c r="Y248" s="299"/>
      <c r="Z248" s="299"/>
      <c r="AA248" s="299"/>
    </row>
    <row r="249" spans="4:27">
      <c r="D249" s="299"/>
      <c r="E249" s="299"/>
      <c r="F249" s="299"/>
      <c r="G249" s="299"/>
      <c r="H249" s="299"/>
      <c r="I249" s="299"/>
      <c r="J249" s="299"/>
      <c r="K249" s="299"/>
      <c r="L249" s="299"/>
      <c r="M249" s="299"/>
      <c r="N249" s="299"/>
      <c r="O249" s="299"/>
      <c r="P249" s="299"/>
      <c r="Q249" s="299"/>
      <c r="R249" s="299"/>
      <c r="S249" s="299"/>
      <c r="T249" s="299"/>
      <c r="U249" s="299"/>
      <c r="V249" s="299"/>
      <c r="W249" s="299"/>
      <c r="X249" s="299"/>
      <c r="Y249" s="299"/>
      <c r="Z249" s="299"/>
      <c r="AA249" s="299"/>
    </row>
    <row r="250" spans="4:27">
      <c r="D250" s="299"/>
      <c r="E250" s="299"/>
      <c r="F250" s="299"/>
      <c r="G250" s="299"/>
      <c r="H250" s="299"/>
      <c r="I250" s="299"/>
      <c r="J250" s="299"/>
      <c r="K250" s="299"/>
      <c r="L250" s="299"/>
      <c r="M250" s="299"/>
      <c r="N250" s="299"/>
      <c r="O250" s="299"/>
      <c r="P250" s="299"/>
      <c r="Q250" s="299"/>
      <c r="R250" s="299"/>
      <c r="S250" s="299"/>
      <c r="T250" s="299"/>
      <c r="U250" s="299"/>
      <c r="V250" s="299"/>
      <c r="W250" s="299"/>
      <c r="X250" s="299"/>
      <c r="Y250" s="299"/>
      <c r="Z250" s="299"/>
      <c r="AA250" s="299"/>
    </row>
    <row r="251" spans="4:27">
      <c r="D251" s="299"/>
      <c r="E251" s="299"/>
      <c r="F251" s="299"/>
      <c r="G251" s="299"/>
      <c r="H251" s="299"/>
      <c r="I251" s="299"/>
      <c r="J251" s="299"/>
      <c r="K251" s="299"/>
      <c r="L251" s="299"/>
      <c r="M251" s="299"/>
      <c r="N251" s="299"/>
      <c r="O251" s="299"/>
      <c r="P251" s="299"/>
      <c r="Q251" s="299"/>
      <c r="R251" s="299"/>
      <c r="S251" s="299"/>
      <c r="T251" s="299"/>
      <c r="U251" s="299"/>
      <c r="V251" s="299"/>
      <c r="W251" s="299"/>
      <c r="X251" s="299"/>
      <c r="Y251" s="299"/>
      <c r="Z251" s="299"/>
      <c r="AA251" s="299"/>
    </row>
    <row r="252" spans="4:27">
      <c r="D252" s="299"/>
      <c r="E252" s="299"/>
      <c r="F252" s="299"/>
      <c r="G252" s="299"/>
      <c r="H252" s="299"/>
      <c r="I252" s="299"/>
      <c r="J252" s="299"/>
      <c r="K252" s="299"/>
      <c r="L252" s="299"/>
      <c r="M252" s="299"/>
      <c r="N252" s="299"/>
      <c r="O252" s="299"/>
      <c r="P252" s="299"/>
      <c r="Q252" s="299"/>
      <c r="R252" s="299"/>
      <c r="S252" s="299"/>
      <c r="T252" s="299"/>
      <c r="U252" s="299"/>
      <c r="V252" s="299"/>
      <c r="W252" s="299"/>
      <c r="X252" s="299"/>
      <c r="Y252" s="299"/>
      <c r="Z252" s="299"/>
      <c r="AA252" s="299"/>
    </row>
    <row r="253" spans="4:27">
      <c r="D253" s="299"/>
      <c r="E253" s="299"/>
      <c r="F253" s="299"/>
      <c r="G253" s="299"/>
      <c r="H253" s="299"/>
      <c r="I253" s="299"/>
      <c r="J253" s="299"/>
      <c r="K253" s="299"/>
      <c r="L253" s="299"/>
      <c r="M253" s="299"/>
      <c r="N253" s="299"/>
      <c r="O253" s="299"/>
      <c r="P253" s="299"/>
      <c r="Q253" s="299"/>
      <c r="R253" s="299"/>
      <c r="S253" s="299"/>
      <c r="T253" s="299"/>
      <c r="U253" s="299"/>
      <c r="V253" s="299"/>
      <c r="W253" s="299"/>
      <c r="X253" s="299"/>
      <c r="Y253" s="299"/>
      <c r="Z253" s="299"/>
      <c r="AA253" s="299"/>
    </row>
    <row r="254" spans="4:27">
      <c r="D254" s="299"/>
      <c r="E254" s="299"/>
      <c r="F254" s="299"/>
      <c r="G254" s="299"/>
      <c r="H254" s="299"/>
      <c r="I254" s="299"/>
      <c r="J254" s="299"/>
      <c r="K254" s="299"/>
      <c r="L254" s="299"/>
      <c r="M254" s="299"/>
      <c r="N254" s="299"/>
      <c r="O254" s="299"/>
      <c r="P254" s="299"/>
      <c r="Q254" s="299"/>
      <c r="R254" s="299"/>
      <c r="S254" s="299"/>
      <c r="T254" s="299"/>
      <c r="U254" s="299"/>
      <c r="V254" s="299"/>
      <c r="W254" s="299"/>
      <c r="X254" s="299"/>
      <c r="Y254" s="299"/>
      <c r="Z254" s="299"/>
      <c r="AA254" s="299"/>
    </row>
    <row r="255" spans="4:27">
      <c r="D255" s="299"/>
      <c r="E255" s="299"/>
      <c r="F255" s="299"/>
      <c r="G255" s="299"/>
      <c r="H255" s="299"/>
      <c r="I255" s="299"/>
      <c r="J255" s="299"/>
      <c r="K255" s="299"/>
      <c r="L255" s="299"/>
      <c r="M255" s="299"/>
      <c r="N255" s="299"/>
      <c r="O255" s="299"/>
      <c r="P255" s="299"/>
      <c r="Q255" s="299"/>
      <c r="R255" s="299"/>
      <c r="S255" s="299"/>
      <c r="T255" s="299"/>
      <c r="U255" s="299"/>
      <c r="V255" s="299"/>
      <c r="W255" s="299"/>
      <c r="X255" s="299"/>
      <c r="Y255" s="299"/>
      <c r="Z255" s="299"/>
      <c r="AA255" s="299"/>
    </row>
    <row r="256" spans="4:27">
      <c r="D256" s="299"/>
      <c r="E256" s="299"/>
      <c r="F256" s="299"/>
      <c r="G256" s="299"/>
      <c r="H256" s="299"/>
      <c r="I256" s="299"/>
      <c r="J256" s="299"/>
      <c r="K256" s="299"/>
      <c r="L256" s="299"/>
      <c r="M256" s="299"/>
      <c r="N256" s="299"/>
      <c r="O256" s="299"/>
      <c r="P256" s="299"/>
      <c r="Q256" s="299"/>
      <c r="R256" s="299"/>
      <c r="S256" s="299"/>
      <c r="T256" s="299"/>
      <c r="U256" s="299"/>
      <c r="V256" s="299"/>
      <c r="W256" s="299"/>
      <c r="X256" s="299"/>
      <c r="Y256" s="299"/>
      <c r="Z256" s="299"/>
      <c r="AA256" s="299"/>
    </row>
    <row r="257" spans="4:27">
      <c r="D257" s="299"/>
      <c r="E257" s="299"/>
      <c r="F257" s="299"/>
      <c r="G257" s="299"/>
      <c r="H257" s="299"/>
      <c r="I257" s="299"/>
      <c r="J257" s="299"/>
      <c r="K257" s="299"/>
      <c r="L257" s="299"/>
      <c r="M257" s="299"/>
      <c r="N257" s="299"/>
      <c r="O257" s="299"/>
      <c r="P257" s="299"/>
      <c r="Q257" s="299"/>
      <c r="R257" s="299"/>
      <c r="S257" s="299"/>
      <c r="T257" s="299"/>
      <c r="U257" s="299"/>
      <c r="V257" s="299"/>
      <c r="W257" s="299"/>
      <c r="X257" s="299"/>
      <c r="Y257" s="299"/>
      <c r="Z257" s="299"/>
      <c r="AA257" s="299"/>
    </row>
    <row r="258" spans="4:27">
      <c r="D258" s="299"/>
      <c r="E258" s="299"/>
      <c r="F258" s="299"/>
      <c r="G258" s="299"/>
      <c r="H258" s="299"/>
      <c r="I258" s="299"/>
      <c r="J258" s="299"/>
      <c r="K258" s="299"/>
      <c r="L258" s="299"/>
      <c r="M258" s="299"/>
      <c r="N258" s="299"/>
      <c r="O258" s="299"/>
      <c r="P258" s="299"/>
      <c r="Q258" s="299"/>
      <c r="R258" s="299"/>
      <c r="S258" s="299"/>
      <c r="T258" s="299"/>
      <c r="U258" s="299"/>
      <c r="V258" s="299"/>
      <c r="W258" s="299"/>
      <c r="X258" s="299"/>
      <c r="Y258" s="299"/>
      <c r="Z258" s="299"/>
      <c r="AA258" s="299"/>
    </row>
    <row r="259" spans="4:27">
      <c r="D259" s="299"/>
      <c r="E259" s="299"/>
      <c r="F259" s="299"/>
      <c r="G259" s="299"/>
      <c r="H259" s="299"/>
      <c r="I259" s="299"/>
      <c r="J259" s="299"/>
      <c r="K259" s="299"/>
      <c r="L259" s="299"/>
      <c r="M259" s="299"/>
      <c r="N259" s="299"/>
      <c r="O259" s="299"/>
      <c r="P259" s="299"/>
      <c r="Q259" s="299"/>
      <c r="R259" s="299"/>
      <c r="S259" s="299"/>
      <c r="T259" s="299"/>
    </row>
    <row r="260" spans="4:27">
      <c r="D260" s="299"/>
      <c r="E260" s="299"/>
      <c r="F260" s="299"/>
      <c r="G260" s="299"/>
      <c r="H260" s="299"/>
      <c r="I260" s="299"/>
      <c r="J260" s="299"/>
      <c r="K260" s="299"/>
      <c r="L260" s="299"/>
      <c r="M260" s="299"/>
      <c r="N260" s="299"/>
      <c r="O260" s="299"/>
      <c r="P260" s="299"/>
      <c r="Q260" s="299"/>
      <c r="R260" s="299"/>
      <c r="S260" s="299"/>
      <c r="T260" s="299"/>
    </row>
    <row r="261" spans="4:27">
      <c r="D261" s="299"/>
      <c r="E261" s="299"/>
      <c r="F261" s="299"/>
      <c r="G261" s="299"/>
      <c r="H261" s="299"/>
      <c r="I261" s="299"/>
      <c r="J261" s="299"/>
      <c r="K261" s="299"/>
      <c r="L261" s="299"/>
      <c r="M261" s="299"/>
      <c r="N261" s="299"/>
      <c r="O261" s="299"/>
      <c r="P261" s="299"/>
      <c r="Q261" s="299"/>
      <c r="R261" s="299"/>
      <c r="S261" s="299"/>
      <c r="T261" s="299"/>
    </row>
    <row r="262" spans="4:27">
      <c r="D262" s="299"/>
      <c r="E262" s="299"/>
      <c r="F262" s="299"/>
      <c r="G262" s="299"/>
      <c r="H262" s="299"/>
      <c r="I262" s="299"/>
      <c r="J262" s="299"/>
      <c r="K262" s="299"/>
      <c r="L262" s="299"/>
      <c r="M262" s="299"/>
      <c r="N262" s="299"/>
      <c r="O262" s="299"/>
      <c r="P262" s="299"/>
      <c r="Q262" s="299"/>
      <c r="R262" s="299"/>
      <c r="S262" s="299"/>
      <c r="T262" s="299"/>
    </row>
    <row r="263" spans="4:27">
      <c r="D263" s="299"/>
      <c r="E263" s="299"/>
      <c r="F263" s="299"/>
      <c r="G263" s="299"/>
      <c r="H263" s="299"/>
      <c r="I263" s="299"/>
      <c r="J263" s="299"/>
      <c r="K263" s="299"/>
      <c r="L263" s="299"/>
      <c r="M263" s="299"/>
      <c r="N263" s="299"/>
      <c r="O263" s="299"/>
      <c r="P263" s="299"/>
      <c r="Q263" s="299"/>
      <c r="R263" s="299"/>
      <c r="S263" s="299"/>
      <c r="T263" s="299"/>
    </row>
    <row r="264" spans="4:27">
      <c r="D264" s="299"/>
      <c r="E264" s="299"/>
      <c r="F264" s="299"/>
      <c r="G264" s="299"/>
      <c r="H264" s="299"/>
      <c r="I264" s="299"/>
      <c r="J264" s="299"/>
      <c r="K264" s="299"/>
      <c r="L264" s="299"/>
      <c r="M264" s="299"/>
      <c r="N264" s="299"/>
      <c r="O264" s="299"/>
      <c r="P264" s="299"/>
      <c r="Q264" s="299"/>
      <c r="R264" s="299"/>
      <c r="S264" s="299"/>
      <c r="T264" s="299"/>
    </row>
    <row r="265" spans="4:27">
      <c r="D265" s="299"/>
      <c r="E265" s="299"/>
      <c r="F265" s="299"/>
      <c r="G265" s="299"/>
      <c r="H265" s="299"/>
      <c r="I265" s="299"/>
      <c r="J265" s="299"/>
      <c r="K265" s="299"/>
      <c r="L265" s="299"/>
      <c r="M265" s="299"/>
      <c r="N265" s="299"/>
      <c r="O265" s="299"/>
      <c r="P265" s="299"/>
      <c r="Q265" s="299"/>
      <c r="R265" s="299"/>
      <c r="S265" s="299"/>
      <c r="T265" s="299"/>
    </row>
    <row r="266" spans="4:27">
      <c r="D266" s="299"/>
      <c r="E266" s="299"/>
      <c r="F266" s="299"/>
      <c r="G266" s="299"/>
      <c r="H266" s="299"/>
      <c r="I266" s="299"/>
      <c r="J266" s="299"/>
      <c r="K266" s="299"/>
      <c r="L266" s="299"/>
      <c r="M266" s="299"/>
      <c r="N266" s="299"/>
      <c r="O266" s="299"/>
      <c r="P266" s="299"/>
      <c r="Q266" s="299"/>
      <c r="R266" s="299"/>
      <c r="S266" s="299"/>
      <c r="T266" s="299"/>
    </row>
  </sheetData>
  <mergeCells count="15">
    <mergeCell ref="D124:D129"/>
    <mergeCell ref="D132:D137"/>
    <mergeCell ref="D140:D145"/>
    <mergeCell ref="D117:T117"/>
    <mergeCell ref="H25:J25"/>
    <mergeCell ref="D105:T105"/>
    <mergeCell ref="D107:T107"/>
    <mergeCell ref="D108:T108"/>
    <mergeCell ref="D110:T110"/>
    <mergeCell ref="D111:T111"/>
    <mergeCell ref="D112:T112"/>
    <mergeCell ref="D113:T113"/>
    <mergeCell ref="D114:T114"/>
    <mergeCell ref="D115:T115"/>
    <mergeCell ref="D116:T116"/>
  </mergeCells>
  <conditionalFormatting sqref="W139:W140">
    <cfRule type="cellIs" dxfId="2" priority="3" stopIfTrue="1" operator="equal">
      <formula>"*ERROR*"</formula>
    </cfRule>
  </conditionalFormatting>
  <conditionalFormatting sqref="W143">
    <cfRule type="cellIs" dxfId="1" priority="2" stopIfTrue="1" operator="equal">
      <formula>"*ERROR*"</formula>
    </cfRule>
  </conditionalFormatting>
  <conditionalFormatting sqref="W145">
    <cfRule type="cellIs" dxfId="0" priority="1" stopIfTrue="1" operator="equal">
      <formula>"*ERROR*"</formula>
    </cfRule>
  </conditionalFormatting>
  <pageMargins left="0.7" right="0.7" top="0.75" bottom="0.75" header="0.3" footer="0.3"/>
  <pageSetup scale="30" fitToHeight="2" orientation="landscape" r:id="rId1"/>
  <rowBreaks count="1" manualBreakCount="1">
    <brk id="60" max="21"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0"/>
  <sheetViews>
    <sheetView zoomScaleNormal="100" workbookViewId="0">
      <selection activeCell="B30" sqref="B30:G30"/>
    </sheetView>
  </sheetViews>
  <sheetFormatPr defaultRowHeight="15"/>
  <cols>
    <col min="1" max="1" width="5.5703125" style="619" customWidth="1"/>
    <col min="2" max="2" width="19.140625" style="617" customWidth="1"/>
    <col min="3" max="3" width="20.28515625" style="617" customWidth="1"/>
    <col min="4" max="4" width="15.28515625" style="617" customWidth="1"/>
    <col min="5" max="5" width="37.42578125" style="617" bestFit="1" customWidth="1"/>
    <col min="6" max="6" width="4" style="617" customWidth="1"/>
    <col min="7" max="7" width="12.7109375" style="617" customWidth="1"/>
    <col min="8" max="8" width="9.140625" style="618"/>
    <col min="9" max="16384" width="9.140625" style="617"/>
  </cols>
  <sheetData>
    <row r="2" spans="1:7" ht="18.75">
      <c r="B2" s="631" t="s">
        <v>732</v>
      </c>
    </row>
    <row r="4" spans="1:7">
      <c r="B4" s="617" t="s">
        <v>731</v>
      </c>
      <c r="C4" s="710" t="s">
        <v>5</v>
      </c>
      <c r="D4" s="630"/>
    </row>
    <row r="6" spans="1:7">
      <c r="B6" s="617" t="s">
        <v>735</v>
      </c>
      <c r="C6" s="629">
        <v>2013</v>
      </c>
    </row>
    <row r="9" spans="1:7">
      <c r="B9" s="634" t="s">
        <v>62</v>
      </c>
      <c r="E9" s="634" t="s">
        <v>63</v>
      </c>
      <c r="G9" s="634" t="s">
        <v>64</v>
      </c>
    </row>
    <row r="10" spans="1:7">
      <c r="E10" s="628" t="s">
        <v>67</v>
      </c>
      <c r="G10" s="628" t="s">
        <v>734</v>
      </c>
    </row>
    <row r="11" spans="1:7">
      <c r="A11" s="619" t="s">
        <v>8</v>
      </c>
      <c r="E11" s="628" t="s">
        <v>69</v>
      </c>
      <c r="G11" s="628" t="s">
        <v>15</v>
      </c>
    </row>
    <row r="12" spans="1:7">
      <c r="A12" s="621" t="s">
        <v>10</v>
      </c>
    </row>
    <row r="13" spans="1:7">
      <c r="A13" s="619">
        <v>1</v>
      </c>
      <c r="B13" s="617" t="s">
        <v>744</v>
      </c>
      <c r="E13" s="617" t="s">
        <v>733</v>
      </c>
      <c r="G13" s="625">
        <v>2194458.96</v>
      </c>
    </row>
    <row r="14" spans="1:7">
      <c r="A14" s="619">
        <f>+A13+1</f>
        <v>2</v>
      </c>
      <c r="B14" s="617" t="s">
        <v>730</v>
      </c>
      <c r="E14" s="617" t="s">
        <v>729</v>
      </c>
      <c r="G14" s="625">
        <v>9401042.4900000002</v>
      </c>
    </row>
    <row r="15" spans="1:7">
      <c r="A15" s="619">
        <f>+A14+1</f>
        <v>3</v>
      </c>
      <c r="B15" s="617" t="s">
        <v>728</v>
      </c>
      <c r="E15" s="617" t="s">
        <v>727</v>
      </c>
      <c r="G15" s="625">
        <v>0</v>
      </c>
    </row>
    <row r="16" spans="1:7">
      <c r="A16" s="619">
        <f>+A15+1</f>
        <v>4</v>
      </c>
      <c r="B16" s="617" t="s">
        <v>743</v>
      </c>
      <c r="G16" s="627">
        <f>SUM(G13:G15)</f>
        <v>11595501.449999999</v>
      </c>
    </row>
    <row r="18" spans="1:8">
      <c r="A18" s="619">
        <f>+A16+1</f>
        <v>5</v>
      </c>
      <c r="B18" s="617" t="s">
        <v>742</v>
      </c>
      <c r="E18" s="617" t="s">
        <v>726</v>
      </c>
      <c r="G18" s="625">
        <v>0</v>
      </c>
    </row>
    <row r="19" spans="1:8">
      <c r="H19" s="617"/>
    </row>
    <row r="20" spans="1:8">
      <c r="A20" s="619">
        <f>+A18+1</f>
        <v>6</v>
      </c>
      <c r="B20" s="626" t="s">
        <v>741</v>
      </c>
      <c r="C20" s="626"/>
      <c r="D20" s="626"/>
      <c r="E20" s="617" t="str">
        <f>"(Line "&amp;A16&amp;" - Line "&amp;A18&amp;")"</f>
        <v>(Line 4 - Line 5)</v>
      </c>
      <c r="G20" s="624">
        <f>+G16-G18</f>
        <v>11595501.449999999</v>
      </c>
    </row>
    <row r="21" spans="1:8">
      <c r="B21" s="619"/>
      <c r="C21" s="619"/>
      <c r="D21" s="619"/>
      <c r="G21" s="633"/>
    </row>
    <row r="22" spans="1:8">
      <c r="A22" s="619">
        <f>+A20+1</f>
        <v>7</v>
      </c>
      <c r="B22" s="617" t="s">
        <v>740</v>
      </c>
      <c r="E22" s="617" t="s">
        <v>739</v>
      </c>
      <c r="G22" s="625">
        <v>11717656.57</v>
      </c>
    </row>
    <row r="24" spans="1:8">
      <c r="A24" s="619">
        <f>A22+1</f>
        <v>8</v>
      </c>
      <c r="B24" s="617" t="s">
        <v>738</v>
      </c>
      <c r="E24" s="617" t="str">
        <f>"(Line "&amp;A20&amp;" - Line "&amp;A22&amp;")"</f>
        <v>(Line 6 - Line 7)</v>
      </c>
      <c r="G24" s="623">
        <f>+G20-G22</f>
        <v>-122155.12000000104</v>
      </c>
    </row>
    <row r="27" spans="1:8">
      <c r="A27" s="622"/>
      <c r="B27" s="632"/>
      <c r="C27" s="632"/>
      <c r="D27" s="632"/>
      <c r="E27" s="632"/>
      <c r="F27" s="632"/>
      <c r="G27" s="632"/>
    </row>
    <row r="28" spans="1:8">
      <c r="A28" s="619" t="s">
        <v>285</v>
      </c>
    </row>
    <row r="29" spans="1:8">
      <c r="A29" s="621" t="s">
        <v>284</v>
      </c>
    </row>
    <row r="30" spans="1:8">
      <c r="A30" s="620" t="s">
        <v>286</v>
      </c>
      <c r="B30" s="742" t="s">
        <v>818</v>
      </c>
      <c r="C30" s="741"/>
      <c r="D30" s="741"/>
      <c r="E30" s="741"/>
      <c r="F30" s="741"/>
      <c r="G30" s="741"/>
    </row>
    <row r="31" spans="1:8">
      <c r="A31" s="620" t="s">
        <v>288</v>
      </c>
      <c r="B31" s="742" t="s">
        <v>816</v>
      </c>
      <c r="C31" s="741"/>
      <c r="D31" s="741"/>
      <c r="E31" s="741"/>
      <c r="F31" s="741"/>
      <c r="G31" s="741"/>
    </row>
    <row r="32" spans="1:8">
      <c r="A32" s="620"/>
      <c r="B32" s="742" t="s">
        <v>817</v>
      </c>
      <c r="C32" s="741"/>
      <c r="D32" s="741"/>
      <c r="E32" s="741"/>
      <c r="F32" s="741"/>
      <c r="G32" s="741"/>
    </row>
    <row r="33" spans="1:8">
      <c r="A33" s="620" t="s">
        <v>290</v>
      </c>
      <c r="B33" s="741" t="s">
        <v>737</v>
      </c>
      <c r="C33" s="741"/>
      <c r="D33" s="741"/>
      <c r="E33" s="741"/>
      <c r="F33" s="741"/>
      <c r="G33" s="741"/>
    </row>
    <row r="34" spans="1:8" ht="15" customHeight="1">
      <c r="A34" s="620" t="s">
        <v>292</v>
      </c>
      <c r="B34" s="741" t="s">
        <v>736</v>
      </c>
      <c r="C34" s="741"/>
      <c r="D34" s="741"/>
      <c r="E34" s="741"/>
      <c r="F34" s="741"/>
      <c r="G34" s="741"/>
      <c r="H34" s="617"/>
    </row>
    <row r="35" spans="1:8" ht="30" customHeight="1">
      <c r="A35" s="620" t="s">
        <v>293</v>
      </c>
      <c r="B35" s="742" t="s">
        <v>815</v>
      </c>
      <c r="C35" s="741"/>
      <c r="D35" s="741"/>
      <c r="E35" s="741"/>
      <c r="F35" s="741"/>
      <c r="G35" s="741"/>
      <c r="H35" s="617"/>
    </row>
    <row r="36" spans="1:8" ht="15" customHeight="1">
      <c r="A36" s="620"/>
      <c r="B36" s="741"/>
      <c r="C36" s="741"/>
      <c r="D36" s="741"/>
      <c r="E36" s="741"/>
      <c r="F36" s="741"/>
      <c r="G36" s="741"/>
      <c r="H36" s="617"/>
    </row>
    <row r="37" spans="1:8">
      <c r="A37" s="620"/>
      <c r="B37" s="741"/>
      <c r="C37" s="741"/>
      <c r="D37" s="741"/>
      <c r="E37" s="741"/>
      <c r="F37" s="741"/>
      <c r="G37" s="741"/>
      <c r="H37" s="617"/>
    </row>
    <row r="40" spans="1:8">
      <c r="B40" s="619"/>
      <c r="H40" s="617"/>
    </row>
  </sheetData>
  <mergeCells count="8">
    <mergeCell ref="B37:G37"/>
    <mergeCell ref="B30:G30"/>
    <mergeCell ref="B31:G31"/>
    <mergeCell ref="B33:G33"/>
    <mergeCell ref="B34:G34"/>
    <mergeCell ref="B35:G35"/>
    <mergeCell ref="B36:G36"/>
    <mergeCell ref="B32:G32"/>
  </mergeCells>
  <pageMargins left="0.25" right="0.19" top="1.05" bottom="0.75" header="0.3" footer="0.3"/>
  <pageSetup scale="88" orientation="portrait" r:id="rId1"/>
  <headerFooter>
    <oddHeader xml:space="preserve">&amp;RPage &amp;P of &amp;N
</oddHeader>
  </headerFooter>
  <rowBreaks count="1" manualBreakCount="1">
    <brk id="7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1"/>
  <sheetViews>
    <sheetView zoomScale="75" zoomScaleNormal="75" workbookViewId="0"/>
  </sheetViews>
  <sheetFormatPr defaultColWidth="9.140625" defaultRowHeight="12.75"/>
  <cols>
    <col min="1" max="1" width="13" style="469" customWidth="1"/>
    <col min="2" max="2" width="14.7109375" style="469" customWidth="1"/>
    <col min="3" max="3" width="13.5703125" style="469" customWidth="1"/>
    <col min="4" max="244" width="9.140625" style="469"/>
    <col min="245" max="245" width="13" style="469" customWidth="1"/>
    <col min="246" max="246" width="9.140625" style="469" customWidth="1"/>
    <col min="247" max="247" width="15.42578125" style="469" bestFit="1" customWidth="1"/>
    <col min="248" max="248" width="13" style="469" bestFit="1" customWidth="1"/>
    <col min="249" max="249" width="7.7109375" style="469" bestFit="1" customWidth="1"/>
    <col min="250" max="250" width="21" style="469" bestFit="1" customWidth="1"/>
    <col min="251" max="251" width="15.140625" style="469" bestFit="1" customWidth="1"/>
    <col min="252" max="252" width="17.140625" style="469" bestFit="1" customWidth="1"/>
    <col min="253" max="253" width="6" style="469" customWidth="1"/>
    <col min="254" max="254" width="14.7109375" style="469" bestFit="1" customWidth="1"/>
    <col min="255" max="255" width="16.5703125" style="469" bestFit="1" customWidth="1"/>
    <col min="256" max="256" width="15.28515625" style="469" bestFit="1" customWidth="1"/>
    <col min="257" max="257" width="18.42578125" style="469" customWidth="1"/>
    <col min="258" max="500" width="9.140625" style="469"/>
    <col min="501" max="501" width="13" style="469" customWidth="1"/>
    <col min="502" max="502" width="9.140625" style="469" customWidth="1"/>
    <col min="503" max="503" width="15.42578125" style="469" bestFit="1" customWidth="1"/>
    <col min="504" max="504" width="13" style="469" bestFit="1" customWidth="1"/>
    <col min="505" max="505" width="7.7109375" style="469" bestFit="1" customWidth="1"/>
    <col min="506" max="506" width="21" style="469" bestFit="1" customWidth="1"/>
    <col min="507" max="507" width="15.140625" style="469" bestFit="1" customWidth="1"/>
    <col min="508" max="508" width="17.140625" style="469" bestFit="1" customWidth="1"/>
    <col min="509" max="509" width="6" style="469" customWidth="1"/>
    <col min="510" max="510" width="14.7109375" style="469" bestFit="1" customWidth="1"/>
    <col min="511" max="511" width="16.5703125" style="469" bestFit="1" customWidth="1"/>
    <col min="512" max="512" width="15.28515625" style="469" bestFit="1" customWidth="1"/>
    <col min="513" max="513" width="18.42578125" style="469" customWidth="1"/>
    <col min="514" max="756" width="9.140625" style="469"/>
    <col min="757" max="757" width="13" style="469" customWidth="1"/>
    <col min="758" max="758" width="9.140625" style="469" customWidth="1"/>
    <col min="759" max="759" width="15.42578125" style="469" bestFit="1" customWidth="1"/>
    <col min="760" max="760" width="13" style="469" bestFit="1" customWidth="1"/>
    <col min="761" max="761" width="7.7109375" style="469" bestFit="1" customWidth="1"/>
    <col min="762" max="762" width="21" style="469" bestFit="1" customWidth="1"/>
    <col min="763" max="763" width="15.140625" style="469" bestFit="1" customWidth="1"/>
    <col min="764" max="764" width="17.140625" style="469" bestFit="1" customWidth="1"/>
    <col min="765" max="765" width="6" style="469" customWidth="1"/>
    <col min="766" max="766" width="14.7109375" style="469" bestFit="1" customWidth="1"/>
    <col min="767" max="767" width="16.5703125" style="469" bestFit="1" customWidth="1"/>
    <col min="768" max="768" width="15.28515625" style="469" bestFit="1" customWidth="1"/>
    <col min="769" max="769" width="18.42578125" style="469" customWidth="1"/>
    <col min="770" max="1012" width="9.140625" style="469"/>
    <col min="1013" max="1013" width="13" style="469" customWidth="1"/>
    <col min="1014" max="1014" width="9.140625" style="469" customWidth="1"/>
    <col min="1015" max="1015" width="15.42578125" style="469" bestFit="1" customWidth="1"/>
    <col min="1016" max="1016" width="13" style="469" bestFit="1" customWidth="1"/>
    <col min="1017" max="1017" width="7.7109375" style="469" bestFit="1" customWidth="1"/>
    <col min="1018" max="1018" width="21" style="469" bestFit="1" customWidth="1"/>
    <col min="1019" max="1019" width="15.140625" style="469" bestFit="1" customWidth="1"/>
    <col min="1020" max="1020" width="17.140625" style="469" bestFit="1" customWidth="1"/>
    <col min="1021" max="1021" width="6" style="469" customWidth="1"/>
    <col min="1022" max="1022" width="14.7109375" style="469" bestFit="1" customWidth="1"/>
    <col min="1023" max="1023" width="16.5703125" style="469" bestFit="1" customWidth="1"/>
    <col min="1024" max="1024" width="15.28515625" style="469" bestFit="1" customWidth="1"/>
    <col min="1025" max="1025" width="18.42578125" style="469" customWidth="1"/>
    <col min="1026" max="1268" width="9.140625" style="469"/>
    <col min="1269" max="1269" width="13" style="469" customWidth="1"/>
    <col min="1270" max="1270" width="9.140625" style="469" customWidth="1"/>
    <col min="1271" max="1271" width="15.42578125" style="469" bestFit="1" customWidth="1"/>
    <col min="1272" max="1272" width="13" style="469" bestFit="1" customWidth="1"/>
    <col min="1273" max="1273" width="7.7109375" style="469" bestFit="1" customWidth="1"/>
    <col min="1274" max="1274" width="21" style="469" bestFit="1" customWidth="1"/>
    <col min="1275" max="1275" width="15.140625" style="469" bestFit="1" customWidth="1"/>
    <col min="1276" max="1276" width="17.140625" style="469" bestFit="1" customWidth="1"/>
    <col min="1277" max="1277" width="6" style="469" customWidth="1"/>
    <col min="1278" max="1278" width="14.7109375" style="469" bestFit="1" customWidth="1"/>
    <col min="1279" max="1279" width="16.5703125" style="469" bestFit="1" customWidth="1"/>
    <col min="1280" max="1280" width="15.28515625" style="469" bestFit="1" customWidth="1"/>
    <col min="1281" max="1281" width="18.42578125" style="469" customWidth="1"/>
    <col min="1282" max="1524" width="9.140625" style="469"/>
    <col min="1525" max="1525" width="13" style="469" customWidth="1"/>
    <col min="1526" max="1526" width="9.140625" style="469" customWidth="1"/>
    <col min="1527" max="1527" width="15.42578125" style="469" bestFit="1" customWidth="1"/>
    <col min="1528" max="1528" width="13" style="469" bestFit="1" customWidth="1"/>
    <col min="1529" max="1529" width="7.7109375" style="469" bestFit="1" customWidth="1"/>
    <col min="1530" max="1530" width="21" style="469" bestFit="1" customWidth="1"/>
    <col min="1531" max="1531" width="15.140625" style="469" bestFit="1" customWidth="1"/>
    <col min="1532" max="1532" width="17.140625" style="469" bestFit="1" customWidth="1"/>
    <col min="1533" max="1533" width="6" style="469" customWidth="1"/>
    <col min="1534" max="1534" width="14.7109375" style="469" bestFit="1" customWidth="1"/>
    <col min="1535" max="1535" width="16.5703125" style="469" bestFit="1" customWidth="1"/>
    <col min="1536" max="1536" width="15.28515625" style="469" bestFit="1" customWidth="1"/>
    <col min="1537" max="1537" width="18.42578125" style="469" customWidth="1"/>
    <col min="1538" max="1780" width="9.140625" style="469"/>
    <col min="1781" max="1781" width="13" style="469" customWidth="1"/>
    <col min="1782" max="1782" width="9.140625" style="469" customWidth="1"/>
    <col min="1783" max="1783" width="15.42578125" style="469" bestFit="1" customWidth="1"/>
    <col min="1784" max="1784" width="13" style="469" bestFit="1" customWidth="1"/>
    <col min="1785" max="1785" width="7.7109375" style="469" bestFit="1" customWidth="1"/>
    <col min="1786" max="1786" width="21" style="469" bestFit="1" customWidth="1"/>
    <col min="1787" max="1787" width="15.140625" style="469" bestFit="1" customWidth="1"/>
    <col min="1788" max="1788" width="17.140625" style="469" bestFit="1" customWidth="1"/>
    <col min="1789" max="1789" width="6" style="469" customWidth="1"/>
    <col min="1790" max="1790" width="14.7109375" style="469" bestFit="1" customWidth="1"/>
    <col min="1791" max="1791" width="16.5703125" style="469" bestFit="1" customWidth="1"/>
    <col min="1792" max="1792" width="15.28515625" style="469" bestFit="1" customWidth="1"/>
    <col min="1793" max="1793" width="18.42578125" style="469" customWidth="1"/>
    <col min="1794" max="2036" width="9.140625" style="469"/>
    <col min="2037" max="2037" width="13" style="469" customWidth="1"/>
    <col min="2038" max="2038" width="9.140625" style="469" customWidth="1"/>
    <col min="2039" max="2039" width="15.42578125" style="469" bestFit="1" customWidth="1"/>
    <col min="2040" max="2040" width="13" style="469" bestFit="1" customWidth="1"/>
    <col min="2041" max="2041" width="7.7109375" style="469" bestFit="1" customWidth="1"/>
    <col min="2042" max="2042" width="21" style="469" bestFit="1" customWidth="1"/>
    <col min="2043" max="2043" width="15.140625" style="469" bestFit="1" customWidth="1"/>
    <col min="2044" max="2044" width="17.140625" style="469" bestFit="1" customWidth="1"/>
    <col min="2045" max="2045" width="6" style="469" customWidth="1"/>
    <col min="2046" max="2046" width="14.7109375" style="469" bestFit="1" customWidth="1"/>
    <col min="2047" max="2047" width="16.5703125" style="469" bestFit="1" customWidth="1"/>
    <col min="2048" max="2048" width="15.28515625" style="469" bestFit="1" customWidth="1"/>
    <col min="2049" max="2049" width="18.42578125" style="469" customWidth="1"/>
    <col min="2050" max="2292" width="9.140625" style="469"/>
    <col min="2293" max="2293" width="13" style="469" customWidth="1"/>
    <col min="2294" max="2294" width="9.140625" style="469" customWidth="1"/>
    <col min="2295" max="2295" width="15.42578125" style="469" bestFit="1" customWidth="1"/>
    <col min="2296" max="2296" width="13" style="469" bestFit="1" customWidth="1"/>
    <col min="2297" max="2297" width="7.7109375" style="469" bestFit="1" customWidth="1"/>
    <col min="2298" max="2298" width="21" style="469" bestFit="1" customWidth="1"/>
    <col min="2299" max="2299" width="15.140625" style="469" bestFit="1" customWidth="1"/>
    <col min="2300" max="2300" width="17.140625" style="469" bestFit="1" customWidth="1"/>
    <col min="2301" max="2301" width="6" style="469" customWidth="1"/>
    <col min="2302" max="2302" width="14.7109375" style="469" bestFit="1" customWidth="1"/>
    <col min="2303" max="2303" width="16.5703125" style="469" bestFit="1" customWidth="1"/>
    <col min="2304" max="2304" width="15.28515625" style="469" bestFit="1" customWidth="1"/>
    <col min="2305" max="2305" width="18.42578125" style="469" customWidth="1"/>
    <col min="2306" max="2548" width="9.140625" style="469"/>
    <col min="2549" max="2549" width="13" style="469" customWidth="1"/>
    <col min="2550" max="2550" width="9.140625" style="469" customWidth="1"/>
    <col min="2551" max="2551" width="15.42578125" style="469" bestFit="1" customWidth="1"/>
    <col min="2552" max="2552" width="13" style="469" bestFit="1" customWidth="1"/>
    <col min="2553" max="2553" width="7.7109375" style="469" bestFit="1" customWidth="1"/>
    <col min="2554" max="2554" width="21" style="469" bestFit="1" customWidth="1"/>
    <col min="2555" max="2555" width="15.140625" style="469" bestFit="1" customWidth="1"/>
    <col min="2556" max="2556" width="17.140625" style="469" bestFit="1" customWidth="1"/>
    <col min="2557" max="2557" width="6" style="469" customWidth="1"/>
    <col min="2558" max="2558" width="14.7109375" style="469" bestFit="1" customWidth="1"/>
    <col min="2559" max="2559" width="16.5703125" style="469" bestFit="1" customWidth="1"/>
    <col min="2560" max="2560" width="15.28515625" style="469" bestFit="1" customWidth="1"/>
    <col min="2561" max="2561" width="18.42578125" style="469" customWidth="1"/>
    <col min="2562" max="2804" width="9.140625" style="469"/>
    <col min="2805" max="2805" width="13" style="469" customWidth="1"/>
    <col min="2806" max="2806" width="9.140625" style="469" customWidth="1"/>
    <col min="2807" max="2807" width="15.42578125" style="469" bestFit="1" customWidth="1"/>
    <col min="2808" max="2808" width="13" style="469" bestFit="1" customWidth="1"/>
    <col min="2809" max="2809" width="7.7109375" style="469" bestFit="1" customWidth="1"/>
    <col min="2810" max="2810" width="21" style="469" bestFit="1" customWidth="1"/>
    <col min="2811" max="2811" width="15.140625" style="469" bestFit="1" customWidth="1"/>
    <col min="2812" max="2812" width="17.140625" style="469" bestFit="1" customWidth="1"/>
    <col min="2813" max="2813" width="6" style="469" customWidth="1"/>
    <col min="2814" max="2814" width="14.7109375" style="469" bestFit="1" customWidth="1"/>
    <col min="2815" max="2815" width="16.5703125" style="469" bestFit="1" customWidth="1"/>
    <col min="2816" max="2816" width="15.28515625" style="469" bestFit="1" customWidth="1"/>
    <col min="2817" max="2817" width="18.42578125" style="469" customWidth="1"/>
    <col min="2818" max="3060" width="9.140625" style="469"/>
    <col min="3061" max="3061" width="13" style="469" customWidth="1"/>
    <col min="3062" max="3062" width="9.140625" style="469" customWidth="1"/>
    <col min="3063" max="3063" width="15.42578125" style="469" bestFit="1" customWidth="1"/>
    <col min="3064" max="3064" width="13" style="469" bestFit="1" customWidth="1"/>
    <col min="3065" max="3065" width="7.7109375" style="469" bestFit="1" customWidth="1"/>
    <col min="3066" max="3066" width="21" style="469" bestFit="1" customWidth="1"/>
    <col min="3067" max="3067" width="15.140625" style="469" bestFit="1" customWidth="1"/>
    <col min="3068" max="3068" width="17.140625" style="469" bestFit="1" customWidth="1"/>
    <col min="3069" max="3069" width="6" style="469" customWidth="1"/>
    <col min="3070" max="3070" width="14.7109375" style="469" bestFit="1" customWidth="1"/>
    <col min="3071" max="3071" width="16.5703125" style="469" bestFit="1" customWidth="1"/>
    <col min="3072" max="3072" width="15.28515625" style="469" bestFit="1" customWidth="1"/>
    <col min="3073" max="3073" width="18.42578125" style="469" customWidth="1"/>
    <col min="3074" max="3316" width="9.140625" style="469"/>
    <col min="3317" max="3317" width="13" style="469" customWidth="1"/>
    <col min="3318" max="3318" width="9.140625" style="469" customWidth="1"/>
    <col min="3319" max="3319" width="15.42578125" style="469" bestFit="1" customWidth="1"/>
    <col min="3320" max="3320" width="13" style="469" bestFit="1" customWidth="1"/>
    <col min="3321" max="3321" width="7.7109375" style="469" bestFit="1" customWidth="1"/>
    <col min="3322" max="3322" width="21" style="469" bestFit="1" customWidth="1"/>
    <col min="3323" max="3323" width="15.140625" style="469" bestFit="1" customWidth="1"/>
    <col min="3324" max="3324" width="17.140625" style="469" bestFit="1" customWidth="1"/>
    <col min="3325" max="3325" width="6" style="469" customWidth="1"/>
    <col min="3326" max="3326" width="14.7109375" style="469" bestFit="1" customWidth="1"/>
    <col min="3327" max="3327" width="16.5703125" style="469" bestFit="1" customWidth="1"/>
    <col min="3328" max="3328" width="15.28515625" style="469" bestFit="1" customWidth="1"/>
    <col min="3329" max="3329" width="18.42578125" style="469" customWidth="1"/>
    <col min="3330" max="3572" width="9.140625" style="469"/>
    <col min="3573" max="3573" width="13" style="469" customWidth="1"/>
    <col min="3574" max="3574" width="9.140625" style="469" customWidth="1"/>
    <col min="3575" max="3575" width="15.42578125" style="469" bestFit="1" customWidth="1"/>
    <col min="3576" max="3576" width="13" style="469" bestFit="1" customWidth="1"/>
    <col min="3577" max="3577" width="7.7109375" style="469" bestFit="1" customWidth="1"/>
    <col min="3578" max="3578" width="21" style="469" bestFit="1" customWidth="1"/>
    <col min="3579" max="3579" width="15.140625" style="469" bestFit="1" customWidth="1"/>
    <col min="3580" max="3580" width="17.140625" style="469" bestFit="1" customWidth="1"/>
    <col min="3581" max="3581" width="6" style="469" customWidth="1"/>
    <col min="3582" max="3582" width="14.7109375" style="469" bestFit="1" customWidth="1"/>
    <col min="3583" max="3583" width="16.5703125" style="469" bestFit="1" customWidth="1"/>
    <col min="3584" max="3584" width="15.28515625" style="469" bestFit="1" customWidth="1"/>
    <col min="3585" max="3585" width="18.42578125" style="469" customWidth="1"/>
    <col min="3586" max="3828" width="9.140625" style="469"/>
    <col min="3829" max="3829" width="13" style="469" customWidth="1"/>
    <col min="3830" max="3830" width="9.140625" style="469" customWidth="1"/>
    <col min="3831" max="3831" width="15.42578125" style="469" bestFit="1" customWidth="1"/>
    <col min="3832" max="3832" width="13" style="469" bestFit="1" customWidth="1"/>
    <col min="3833" max="3833" width="7.7109375" style="469" bestFit="1" customWidth="1"/>
    <col min="3834" max="3834" width="21" style="469" bestFit="1" customWidth="1"/>
    <col min="3835" max="3835" width="15.140625" style="469" bestFit="1" customWidth="1"/>
    <col min="3836" max="3836" width="17.140625" style="469" bestFit="1" customWidth="1"/>
    <col min="3837" max="3837" width="6" style="469" customWidth="1"/>
    <col min="3838" max="3838" width="14.7109375" style="469" bestFit="1" customWidth="1"/>
    <col min="3839" max="3839" width="16.5703125" style="469" bestFit="1" customWidth="1"/>
    <col min="3840" max="3840" width="15.28515625" style="469" bestFit="1" customWidth="1"/>
    <col min="3841" max="3841" width="18.42578125" style="469" customWidth="1"/>
    <col min="3842" max="4084" width="9.140625" style="469"/>
    <col min="4085" max="4085" width="13" style="469" customWidth="1"/>
    <col min="4086" max="4086" width="9.140625" style="469" customWidth="1"/>
    <col min="4087" max="4087" width="15.42578125" style="469" bestFit="1" customWidth="1"/>
    <col min="4088" max="4088" width="13" style="469" bestFit="1" customWidth="1"/>
    <col min="4089" max="4089" width="7.7109375" style="469" bestFit="1" customWidth="1"/>
    <col min="4090" max="4090" width="21" style="469" bestFit="1" customWidth="1"/>
    <col min="4091" max="4091" width="15.140625" style="469" bestFit="1" customWidth="1"/>
    <col min="4092" max="4092" width="17.140625" style="469" bestFit="1" customWidth="1"/>
    <col min="4093" max="4093" width="6" style="469" customWidth="1"/>
    <col min="4094" max="4094" width="14.7109375" style="469" bestFit="1" customWidth="1"/>
    <col min="4095" max="4095" width="16.5703125" style="469" bestFit="1" customWidth="1"/>
    <col min="4096" max="4096" width="15.28515625" style="469" bestFit="1" customWidth="1"/>
    <col min="4097" max="4097" width="18.42578125" style="469" customWidth="1"/>
    <col min="4098" max="4340" width="9.140625" style="469"/>
    <col min="4341" max="4341" width="13" style="469" customWidth="1"/>
    <col min="4342" max="4342" width="9.140625" style="469" customWidth="1"/>
    <col min="4343" max="4343" width="15.42578125" style="469" bestFit="1" customWidth="1"/>
    <col min="4344" max="4344" width="13" style="469" bestFit="1" customWidth="1"/>
    <col min="4345" max="4345" width="7.7109375" style="469" bestFit="1" customWidth="1"/>
    <col min="4346" max="4346" width="21" style="469" bestFit="1" customWidth="1"/>
    <col min="4347" max="4347" width="15.140625" style="469" bestFit="1" customWidth="1"/>
    <col min="4348" max="4348" width="17.140625" style="469" bestFit="1" customWidth="1"/>
    <col min="4349" max="4349" width="6" style="469" customWidth="1"/>
    <col min="4350" max="4350" width="14.7109375" style="469" bestFit="1" customWidth="1"/>
    <col min="4351" max="4351" width="16.5703125" style="469" bestFit="1" customWidth="1"/>
    <col min="4352" max="4352" width="15.28515625" style="469" bestFit="1" customWidth="1"/>
    <col min="4353" max="4353" width="18.42578125" style="469" customWidth="1"/>
    <col min="4354" max="4596" width="9.140625" style="469"/>
    <col min="4597" max="4597" width="13" style="469" customWidth="1"/>
    <col min="4598" max="4598" width="9.140625" style="469" customWidth="1"/>
    <col min="4599" max="4599" width="15.42578125" style="469" bestFit="1" customWidth="1"/>
    <col min="4600" max="4600" width="13" style="469" bestFit="1" customWidth="1"/>
    <col min="4601" max="4601" width="7.7109375" style="469" bestFit="1" customWidth="1"/>
    <col min="4602" max="4602" width="21" style="469" bestFit="1" customWidth="1"/>
    <col min="4603" max="4603" width="15.140625" style="469" bestFit="1" customWidth="1"/>
    <col min="4604" max="4604" width="17.140625" style="469" bestFit="1" customWidth="1"/>
    <col min="4605" max="4605" width="6" style="469" customWidth="1"/>
    <col min="4606" max="4606" width="14.7109375" style="469" bestFit="1" customWidth="1"/>
    <col min="4607" max="4607" width="16.5703125" style="469" bestFit="1" customWidth="1"/>
    <col min="4608" max="4608" width="15.28515625" style="469" bestFit="1" customWidth="1"/>
    <col min="4609" max="4609" width="18.42578125" style="469" customWidth="1"/>
    <col min="4610" max="4852" width="9.140625" style="469"/>
    <col min="4853" max="4853" width="13" style="469" customWidth="1"/>
    <col min="4854" max="4854" width="9.140625" style="469" customWidth="1"/>
    <col min="4855" max="4855" width="15.42578125" style="469" bestFit="1" customWidth="1"/>
    <col min="4856" max="4856" width="13" style="469" bestFit="1" customWidth="1"/>
    <col min="4857" max="4857" width="7.7109375" style="469" bestFit="1" customWidth="1"/>
    <col min="4858" max="4858" width="21" style="469" bestFit="1" customWidth="1"/>
    <col min="4859" max="4859" width="15.140625" style="469" bestFit="1" customWidth="1"/>
    <col min="4860" max="4860" width="17.140625" style="469" bestFit="1" customWidth="1"/>
    <col min="4861" max="4861" width="6" style="469" customWidth="1"/>
    <col min="4862" max="4862" width="14.7109375" style="469" bestFit="1" customWidth="1"/>
    <col min="4863" max="4863" width="16.5703125" style="469" bestFit="1" customWidth="1"/>
    <col min="4864" max="4864" width="15.28515625" style="469" bestFit="1" customWidth="1"/>
    <col min="4865" max="4865" width="18.42578125" style="469" customWidth="1"/>
    <col min="4866" max="5108" width="9.140625" style="469"/>
    <col min="5109" max="5109" width="13" style="469" customWidth="1"/>
    <col min="5110" max="5110" width="9.140625" style="469" customWidth="1"/>
    <col min="5111" max="5111" width="15.42578125" style="469" bestFit="1" customWidth="1"/>
    <col min="5112" max="5112" width="13" style="469" bestFit="1" customWidth="1"/>
    <col min="5113" max="5113" width="7.7109375" style="469" bestFit="1" customWidth="1"/>
    <col min="5114" max="5114" width="21" style="469" bestFit="1" customWidth="1"/>
    <col min="5115" max="5115" width="15.140625" style="469" bestFit="1" customWidth="1"/>
    <col min="5116" max="5116" width="17.140625" style="469" bestFit="1" customWidth="1"/>
    <col min="5117" max="5117" width="6" style="469" customWidth="1"/>
    <col min="5118" max="5118" width="14.7109375" style="469" bestFit="1" customWidth="1"/>
    <col min="5119" max="5119" width="16.5703125" style="469" bestFit="1" customWidth="1"/>
    <col min="5120" max="5120" width="15.28515625" style="469" bestFit="1" customWidth="1"/>
    <col min="5121" max="5121" width="18.42578125" style="469" customWidth="1"/>
    <col min="5122" max="5364" width="9.140625" style="469"/>
    <col min="5365" max="5365" width="13" style="469" customWidth="1"/>
    <col min="5366" max="5366" width="9.140625" style="469" customWidth="1"/>
    <col min="5367" max="5367" width="15.42578125" style="469" bestFit="1" customWidth="1"/>
    <col min="5368" max="5368" width="13" style="469" bestFit="1" customWidth="1"/>
    <col min="5369" max="5369" width="7.7109375" style="469" bestFit="1" customWidth="1"/>
    <col min="5370" max="5370" width="21" style="469" bestFit="1" customWidth="1"/>
    <col min="5371" max="5371" width="15.140625" style="469" bestFit="1" customWidth="1"/>
    <col min="5372" max="5372" width="17.140625" style="469" bestFit="1" customWidth="1"/>
    <col min="5373" max="5373" width="6" style="469" customWidth="1"/>
    <col min="5374" max="5374" width="14.7109375" style="469" bestFit="1" customWidth="1"/>
    <col min="5375" max="5375" width="16.5703125" style="469" bestFit="1" customWidth="1"/>
    <col min="5376" max="5376" width="15.28515625" style="469" bestFit="1" customWidth="1"/>
    <col min="5377" max="5377" width="18.42578125" style="469" customWidth="1"/>
    <col min="5378" max="5620" width="9.140625" style="469"/>
    <col min="5621" max="5621" width="13" style="469" customWidth="1"/>
    <col min="5622" max="5622" width="9.140625" style="469" customWidth="1"/>
    <col min="5623" max="5623" width="15.42578125" style="469" bestFit="1" customWidth="1"/>
    <col min="5624" max="5624" width="13" style="469" bestFit="1" customWidth="1"/>
    <col min="5625" max="5625" width="7.7109375" style="469" bestFit="1" customWidth="1"/>
    <col min="5626" max="5626" width="21" style="469" bestFit="1" customWidth="1"/>
    <col min="5627" max="5627" width="15.140625" style="469" bestFit="1" customWidth="1"/>
    <col min="5628" max="5628" width="17.140625" style="469" bestFit="1" customWidth="1"/>
    <col min="5629" max="5629" width="6" style="469" customWidth="1"/>
    <col min="5630" max="5630" width="14.7109375" style="469" bestFit="1" customWidth="1"/>
    <col min="5631" max="5631" width="16.5703125" style="469" bestFit="1" customWidth="1"/>
    <col min="5632" max="5632" width="15.28515625" style="469" bestFit="1" customWidth="1"/>
    <col min="5633" max="5633" width="18.42578125" style="469" customWidth="1"/>
    <col min="5634" max="5876" width="9.140625" style="469"/>
    <col min="5877" max="5877" width="13" style="469" customWidth="1"/>
    <col min="5878" max="5878" width="9.140625" style="469" customWidth="1"/>
    <col min="5879" max="5879" width="15.42578125" style="469" bestFit="1" customWidth="1"/>
    <col min="5880" max="5880" width="13" style="469" bestFit="1" customWidth="1"/>
    <col min="5881" max="5881" width="7.7109375" style="469" bestFit="1" customWidth="1"/>
    <col min="5882" max="5882" width="21" style="469" bestFit="1" customWidth="1"/>
    <col min="5883" max="5883" width="15.140625" style="469" bestFit="1" customWidth="1"/>
    <col min="5884" max="5884" width="17.140625" style="469" bestFit="1" customWidth="1"/>
    <col min="5885" max="5885" width="6" style="469" customWidth="1"/>
    <col min="5886" max="5886" width="14.7109375" style="469" bestFit="1" customWidth="1"/>
    <col min="5887" max="5887" width="16.5703125" style="469" bestFit="1" customWidth="1"/>
    <col min="5888" max="5888" width="15.28515625" style="469" bestFit="1" customWidth="1"/>
    <col min="5889" max="5889" width="18.42578125" style="469" customWidth="1"/>
    <col min="5890" max="6132" width="9.140625" style="469"/>
    <col min="6133" max="6133" width="13" style="469" customWidth="1"/>
    <col min="6134" max="6134" width="9.140625" style="469" customWidth="1"/>
    <col min="6135" max="6135" width="15.42578125" style="469" bestFit="1" customWidth="1"/>
    <col min="6136" max="6136" width="13" style="469" bestFit="1" customWidth="1"/>
    <col min="6137" max="6137" width="7.7109375" style="469" bestFit="1" customWidth="1"/>
    <col min="6138" max="6138" width="21" style="469" bestFit="1" customWidth="1"/>
    <col min="6139" max="6139" width="15.140625" style="469" bestFit="1" customWidth="1"/>
    <col min="6140" max="6140" width="17.140625" style="469" bestFit="1" customWidth="1"/>
    <col min="6141" max="6141" width="6" style="469" customWidth="1"/>
    <col min="6142" max="6142" width="14.7109375" style="469" bestFit="1" customWidth="1"/>
    <col min="6143" max="6143" width="16.5703125" style="469" bestFit="1" customWidth="1"/>
    <col min="6144" max="6144" width="15.28515625" style="469" bestFit="1" customWidth="1"/>
    <col min="6145" max="6145" width="18.42578125" style="469" customWidth="1"/>
    <col min="6146" max="6388" width="9.140625" style="469"/>
    <col min="6389" max="6389" width="13" style="469" customWidth="1"/>
    <col min="6390" max="6390" width="9.140625" style="469" customWidth="1"/>
    <col min="6391" max="6391" width="15.42578125" style="469" bestFit="1" customWidth="1"/>
    <col min="6392" max="6392" width="13" style="469" bestFit="1" customWidth="1"/>
    <col min="6393" max="6393" width="7.7109375" style="469" bestFit="1" customWidth="1"/>
    <col min="6394" max="6394" width="21" style="469" bestFit="1" customWidth="1"/>
    <col min="6395" max="6395" width="15.140625" style="469" bestFit="1" customWidth="1"/>
    <col min="6396" max="6396" width="17.140625" style="469" bestFit="1" customWidth="1"/>
    <col min="6397" max="6397" width="6" style="469" customWidth="1"/>
    <col min="6398" max="6398" width="14.7109375" style="469" bestFit="1" customWidth="1"/>
    <col min="6399" max="6399" width="16.5703125" style="469" bestFit="1" customWidth="1"/>
    <col min="6400" max="6400" width="15.28515625" style="469" bestFit="1" customWidth="1"/>
    <col min="6401" max="6401" width="18.42578125" style="469" customWidth="1"/>
    <col min="6402" max="6644" width="9.140625" style="469"/>
    <col min="6645" max="6645" width="13" style="469" customWidth="1"/>
    <col min="6646" max="6646" width="9.140625" style="469" customWidth="1"/>
    <col min="6647" max="6647" width="15.42578125" style="469" bestFit="1" customWidth="1"/>
    <col min="6648" max="6648" width="13" style="469" bestFit="1" customWidth="1"/>
    <col min="6649" max="6649" width="7.7109375" style="469" bestFit="1" customWidth="1"/>
    <col min="6650" max="6650" width="21" style="469" bestFit="1" customWidth="1"/>
    <col min="6651" max="6651" width="15.140625" style="469" bestFit="1" customWidth="1"/>
    <col min="6652" max="6652" width="17.140625" style="469" bestFit="1" customWidth="1"/>
    <col min="6653" max="6653" width="6" style="469" customWidth="1"/>
    <col min="6654" max="6654" width="14.7109375" style="469" bestFit="1" customWidth="1"/>
    <col min="6655" max="6655" width="16.5703125" style="469" bestFit="1" customWidth="1"/>
    <col min="6656" max="6656" width="15.28515625" style="469" bestFit="1" customWidth="1"/>
    <col min="6657" max="6657" width="18.42578125" style="469" customWidth="1"/>
    <col min="6658" max="6900" width="9.140625" style="469"/>
    <col min="6901" max="6901" width="13" style="469" customWidth="1"/>
    <col min="6902" max="6902" width="9.140625" style="469" customWidth="1"/>
    <col min="6903" max="6903" width="15.42578125" style="469" bestFit="1" customWidth="1"/>
    <col min="6904" max="6904" width="13" style="469" bestFit="1" customWidth="1"/>
    <col min="6905" max="6905" width="7.7109375" style="469" bestFit="1" customWidth="1"/>
    <col min="6906" max="6906" width="21" style="469" bestFit="1" customWidth="1"/>
    <col min="6907" max="6907" width="15.140625" style="469" bestFit="1" customWidth="1"/>
    <col min="6908" max="6908" width="17.140625" style="469" bestFit="1" customWidth="1"/>
    <col min="6909" max="6909" width="6" style="469" customWidth="1"/>
    <col min="6910" max="6910" width="14.7109375" style="469" bestFit="1" customWidth="1"/>
    <col min="6911" max="6911" width="16.5703125" style="469" bestFit="1" customWidth="1"/>
    <col min="6912" max="6912" width="15.28515625" style="469" bestFit="1" customWidth="1"/>
    <col min="6913" max="6913" width="18.42578125" style="469" customWidth="1"/>
    <col min="6914" max="7156" width="9.140625" style="469"/>
    <col min="7157" max="7157" width="13" style="469" customWidth="1"/>
    <col min="7158" max="7158" width="9.140625" style="469" customWidth="1"/>
    <col min="7159" max="7159" width="15.42578125" style="469" bestFit="1" customWidth="1"/>
    <col min="7160" max="7160" width="13" style="469" bestFit="1" customWidth="1"/>
    <col min="7161" max="7161" width="7.7109375" style="469" bestFit="1" customWidth="1"/>
    <col min="7162" max="7162" width="21" style="469" bestFit="1" customWidth="1"/>
    <col min="7163" max="7163" width="15.140625" style="469" bestFit="1" customWidth="1"/>
    <col min="7164" max="7164" width="17.140625" style="469" bestFit="1" customWidth="1"/>
    <col min="7165" max="7165" width="6" style="469" customWidth="1"/>
    <col min="7166" max="7166" width="14.7109375" style="469" bestFit="1" customWidth="1"/>
    <col min="7167" max="7167" width="16.5703125" style="469" bestFit="1" customWidth="1"/>
    <col min="7168" max="7168" width="15.28515625" style="469" bestFit="1" customWidth="1"/>
    <col min="7169" max="7169" width="18.42578125" style="469" customWidth="1"/>
    <col min="7170" max="7412" width="9.140625" style="469"/>
    <col min="7413" max="7413" width="13" style="469" customWidth="1"/>
    <col min="7414" max="7414" width="9.140625" style="469" customWidth="1"/>
    <col min="7415" max="7415" width="15.42578125" style="469" bestFit="1" customWidth="1"/>
    <col min="7416" max="7416" width="13" style="469" bestFit="1" customWidth="1"/>
    <col min="7417" max="7417" width="7.7109375" style="469" bestFit="1" customWidth="1"/>
    <col min="7418" max="7418" width="21" style="469" bestFit="1" customWidth="1"/>
    <col min="7419" max="7419" width="15.140625" style="469" bestFit="1" customWidth="1"/>
    <col min="7420" max="7420" width="17.140625" style="469" bestFit="1" customWidth="1"/>
    <col min="7421" max="7421" width="6" style="469" customWidth="1"/>
    <col min="7422" max="7422" width="14.7109375" style="469" bestFit="1" customWidth="1"/>
    <col min="7423" max="7423" width="16.5703125" style="469" bestFit="1" customWidth="1"/>
    <col min="7424" max="7424" width="15.28515625" style="469" bestFit="1" customWidth="1"/>
    <col min="7425" max="7425" width="18.42578125" style="469" customWidth="1"/>
    <col min="7426" max="7668" width="9.140625" style="469"/>
    <col min="7669" max="7669" width="13" style="469" customWidth="1"/>
    <col min="7670" max="7670" width="9.140625" style="469" customWidth="1"/>
    <col min="7671" max="7671" width="15.42578125" style="469" bestFit="1" customWidth="1"/>
    <col min="7672" max="7672" width="13" style="469" bestFit="1" customWidth="1"/>
    <col min="7673" max="7673" width="7.7109375" style="469" bestFit="1" customWidth="1"/>
    <col min="7674" max="7674" width="21" style="469" bestFit="1" customWidth="1"/>
    <col min="7675" max="7675" width="15.140625" style="469" bestFit="1" customWidth="1"/>
    <col min="7676" max="7676" width="17.140625" style="469" bestFit="1" customWidth="1"/>
    <col min="7677" max="7677" width="6" style="469" customWidth="1"/>
    <col min="7678" max="7678" width="14.7109375" style="469" bestFit="1" customWidth="1"/>
    <col min="7679" max="7679" width="16.5703125" style="469" bestFit="1" customWidth="1"/>
    <col min="7680" max="7680" width="15.28515625" style="469" bestFit="1" customWidth="1"/>
    <col min="7681" max="7681" width="18.42578125" style="469" customWidth="1"/>
    <col min="7682" max="7924" width="9.140625" style="469"/>
    <col min="7925" max="7925" width="13" style="469" customWidth="1"/>
    <col min="7926" max="7926" width="9.140625" style="469" customWidth="1"/>
    <col min="7927" max="7927" width="15.42578125" style="469" bestFit="1" customWidth="1"/>
    <col min="7928" max="7928" width="13" style="469" bestFit="1" customWidth="1"/>
    <col min="7929" max="7929" width="7.7109375" style="469" bestFit="1" customWidth="1"/>
    <col min="7930" max="7930" width="21" style="469" bestFit="1" customWidth="1"/>
    <col min="7931" max="7931" width="15.140625" style="469" bestFit="1" customWidth="1"/>
    <col min="7932" max="7932" width="17.140625" style="469" bestFit="1" customWidth="1"/>
    <col min="7933" max="7933" width="6" style="469" customWidth="1"/>
    <col min="7934" max="7934" width="14.7109375" style="469" bestFit="1" customWidth="1"/>
    <col min="7935" max="7935" width="16.5703125" style="469" bestFit="1" customWidth="1"/>
    <col min="7936" max="7936" width="15.28515625" style="469" bestFit="1" customWidth="1"/>
    <col min="7937" max="7937" width="18.42578125" style="469" customWidth="1"/>
    <col min="7938" max="8180" width="9.140625" style="469"/>
    <col min="8181" max="8181" width="13" style="469" customWidth="1"/>
    <col min="8182" max="8182" width="9.140625" style="469" customWidth="1"/>
    <col min="8183" max="8183" width="15.42578125" style="469" bestFit="1" customWidth="1"/>
    <col min="8184" max="8184" width="13" style="469" bestFit="1" customWidth="1"/>
    <col min="8185" max="8185" width="7.7109375" style="469" bestFit="1" customWidth="1"/>
    <col min="8186" max="8186" width="21" style="469" bestFit="1" customWidth="1"/>
    <col min="8187" max="8187" width="15.140625" style="469" bestFit="1" customWidth="1"/>
    <col min="8188" max="8188" width="17.140625" style="469" bestFit="1" customWidth="1"/>
    <col min="8189" max="8189" width="6" style="469" customWidth="1"/>
    <col min="8190" max="8190" width="14.7109375" style="469" bestFit="1" customWidth="1"/>
    <col min="8191" max="8191" width="16.5703125" style="469" bestFit="1" customWidth="1"/>
    <col min="8192" max="8192" width="15.28515625" style="469" bestFit="1" customWidth="1"/>
    <col min="8193" max="8193" width="18.42578125" style="469" customWidth="1"/>
    <col min="8194" max="8436" width="9.140625" style="469"/>
    <col min="8437" max="8437" width="13" style="469" customWidth="1"/>
    <col min="8438" max="8438" width="9.140625" style="469" customWidth="1"/>
    <col min="8439" max="8439" width="15.42578125" style="469" bestFit="1" customWidth="1"/>
    <col min="8440" max="8440" width="13" style="469" bestFit="1" customWidth="1"/>
    <col min="8441" max="8441" width="7.7109375" style="469" bestFit="1" customWidth="1"/>
    <col min="8442" max="8442" width="21" style="469" bestFit="1" customWidth="1"/>
    <col min="8443" max="8443" width="15.140625" style="469" bestFit="1" customWidth="1"/>
    <col min="8444" max="8444" width="17.140625" style="469" bestFit="1" customWidth="1"/>
    <col min="8445" max="8445" width="6" style="469" customWidth="1"/>
    <col min="8446" max="8446" width="14.7109375" style="469" bestFit="1" customWidth="1"/>
    <col min="8447" max="8447" width="16.5703125" style="469" bestFit="1" customWidth="1"/>
    <col min="8448" max="8448" width="15.28515625" style="469" bestFit="1" customWidth="1"/>
    <col min="8449" max="8449" width="18.42578125" style="469" customWidth="1"/>
    <col min="8450" max="8692" width="9.140625" style="469"/>
    <col min="8693" max="8693" width="13" style="469" customWidth="1"/>
    <col min="8694" max="8694" width="9.140625" style="469" customWidth="1"/>
    <col min="8695" max="8695" width="15.42578125" style="469" bestFit="1" customWidth="1"/>
    <col min="8696" max="8696" width="13" style="469" bestFit="1" customWidth="1"/>
    <col min="8697" max="8697" width="7.7109375" style="469" bestFit="1" customWidth="1"/>
    <col min="8698" max="8698" width="21" style="469" bestFit="1" customWidth="1"/>
    <col min="8699" max="8699" width="15.140625" style="469" bestFit="1" customWidth="1"/>
    <col min="8700" max="8700" width="17.140625" style="469" bestFit="1" customWidth="1"/>
    <col min="8701" max="8701" width="6" style="469" customWidth="1"/>
    <col min="8702" max="8702" width="14.7109375" style="469" bestFit="1" customWidth="1"/>
    <col min="8703" max="8703" width="16.5703125" style="469" bestFit="1" customWidth="1"/>
    <col min="8704" max="8704" width="15.28515625" style="469" bestFit="1" customWidth="1"/>
    <col min="8705" max="8705" width="18.42578125" style="469" customWidth="1"/>
    <col min="8706" max="8948" width="9.140625" style="469"/>
    <col min="8949" max="8949" width="13" style="469" customWidth="1"/>
    <col min="8950" max="8950" width="9.140625" style="469" customWidth="1"/>
    <col min="8951" max="8951" width="15.42578125" style="469" bestFit="1" customWidth="1"/>
    <col min="8952" max="8952" width="13" style="469" bestFit="1" customWidth="1"/>
    <col min="8953" max="8953" width="7.7109375" style="469" bestFit="1" customWidth="1"/>
    <col min="8954" max="8954" width="21" style="469" bestFit="1" customWidth="1"/>
    <col min="8955" max="8955" width="15.140625" style="469" bestFit="1" customWidth="1"/>
    <col min="8956" max="8956" width="17.140625" style="469" bestFit="1" customWidth="1"/>
    <col min="8957" max="8957" width="6" style="469" customWidth="1"/>
    <col min="8958" max="8958" width="14.7109375" style="469" bestFit="1" customWidth="1"/>
    <col min="8959" max="8959" width="16.5703125" style="469" bestFit="1" customWidth="1"/>
    <col min="8960" max="8960" width="15.28515625" style="469" bestFit="1" customWidth="1"/>
    <col min="8961" max="8961" width="18.42578125" style="469" customWidth="1"/>
    <col min="8962" max="9204" width="9.140625" style="469"/>
    <col min="9205" max="9205" width="13" style="469" customWidth="1"/>
    <col min="9206" max="9206" width="9.140625" style="469" customWidth="1"/>
    <col min="9207" max="9207" width="15.42578125" style="469" bestFit="1" customWidth="1"/>
    <col min="9208" max="9208" width="13" style="469" bestFit="1" customWidth="1"/>
    <col min="9209" max="9209" width="7.7109375" style="469" bestFit="1" customWidth="1"/>
    <col min="9210" max="9210" width="21" style="469" bestFit="1" customWidth="1"/>
    <col min="9211" max="9211" width="15.140625" style="469" bestFit="1" customWidth="1"/>
    <col min="9212" max="9212" width="17.140625" style="469" bestFit="1" customWidth="1"/>
    <col min="9213" max="9213" width="6" style="469" customWidth="1"/>
    <col min="9214" max="9214" width="14.7109375" style="469" bestFit="1" customWidth="1"/>
    <col min="9215" max="9215" width="16.5703125" style="469" bestFit="1" customWidth="1"/>
    <col min="9216" max="9216" width="15.28515625" style="469" bestFit="1" customWidth="1"/>
    <col min="9217" max="9217" width="18.42578125" style="469" customWidth="1"/>
    <col min="9218" max="9460" width="9.140625" style="469"/>
    <col min="9461" max="9461" width="13" style="469" customWidth="1"/>
    <col min="9462" max="9462" width="9.140625" style="469" customWidth="1"/>
    <col min="9463" max="9463" width="15.42578125" style="469" bestFit="1" customWidth="1"/>
    <col min="9464" max="9464" width="13" style="469" bestFit="1" customWidth="1"/>
    <col min="9465" max="9465" width="7.7109375" style="469" bestFit="1" customWidth="1"/>
    <col min="9466" max="9466" width="21" style="469" bestFit="1" customWidth="1"/>
    <col min="9467" max="9467" width="15.140625" style="469" bestFit="1" customWidth="1"/>
    <col min="9468" max="9468" width="17.140625" style="469" bestFit="1" customWidth="1"/>
    <col min="9469" max="9469" width="6" style="469" customWidth="1"/>
    <col min="9470" max="9470" width="14.7109375" style="469" bestFit="1" customWidth="1"/>
    <col min="9471" max="9471" width="16.5703125" style="469" bestFit="1" customWidth="1"/>
    <col min="9472" max="9472" width="15.28515625" style="469" bestFit="1" customWidth="1"/>
    <col min="9473" max="9473" width="18.42578125" style="469" customWidth="1"/>
    <col min="9474" max="9716" width="9.140625" style="469"/>
    <col min="9717" max="9717" width="13" style="469" customWidth="1"/>
    <col min="9718" max="9718" width="9.140625" style="469" customWidth="1"/>
    <col min="9719" max="9719" width="15.42578125" style="469" bestFit="1" customWidth="1"/>
    <col min="9720" max="9720" width="13" style="469" bestFit="1" customWidth="1"/>
    <col min="9721" max="9721" width="7.7109375" style="469" bestFit="1" customWidth="1"/>
    <col min="9722" max="9722" width="21" style="469" bestFit="1" customWidth="1"/>
    <col min="9723" max="9723" width="15.140625" style="469" bestFit="1" customWidth="1"/>
    <col min="9724" max="9724" width="17.140625" style="469" bestFit="1" customWidth="1"/>
    <col min="9725" max="9725" width="6" style="469" customWidth="1"/>
    <col min="9726" max="9726" width="14.7109375" style="469" bestFit="1" customWidth="1"/>
    <col min="9727" max="9727" width="16.5703125" style="469" bestFit="1" customWidth="1"/>
    <col min="9728" max="9728" width="15.28515625" style="469" bestFit="1" customWidth="1"/>
    <col min="9729" max="9729" width="18.42578125" style="469" customWidth="1"/>
    <col min="9730" max="9972" width="9.140625" style="469"/>
    <col min="9973" max="9973" width="13" style="469" customWidth="1"/>
    <col min="9974" max="9974" width="9.140625" style="469" customWidth="1"/>
    <col min="9975" max="9975" width="15.42578125" style="469" bestFit="1" customWidth="1"/>
    <col min="9976" max="9976" width="13" style="469" bestFit="1" customWidth="1"/>
    <col min="9977" max="9977" width="7.7109375" style="469" bestFit="1" customWidth="1"/>
    <col min="9978" max="9978" width="21" style="469" bestFit="1" customWidth="1"/>
    <col min="9979" max="9979" width="15.140625" style="469" bestFit="1" customWidth="1"/>
    <col min="9980" max="9980" width="17.140625" style="469" bestFit="1" customWidth="1"/>
    <col min="9981" max="9981" width="6" style="469" customWidth="1"/>
    <col min="9982" max="9982" width="14.7109375" style="469" bestFit="1" customWidth="1"/>
    <col min="9983" max="9983" width="16.5703125" style="469" bestFit="1" customWidth="1"/>
    <col min="9984" max="9984" width="15.28515625" style="469" bestFit="1" customWidth="1"/>
    <col min="9985" max="9985" width="18.42578125" style="469" customWidth="1"/>
    <col min="9986" max="10228" width="9.140625" style="469"/>
    <col min="10229" max="10229" width="13" style="469" customWidth="1"/>
    <col min="10230" max="10230" width="9.140625" style="469" customWidth="1"/>
    <col min="10231" max="10231" width="15.42578125" style="469" bestFit="1" customWidth="1"/>
    <col min="10232" max="10232" width="13" style="469" bestFit="1" customWidth="1"/>
    <col min="10233" max="10233" width="7.7109375" style="469" bestFit="1" customWidth="1"/>
    <col min="10234" max="10234" width="21" style="469" bestFit="1" customWidth="1"/>
    <col min="10235" max="10235" width="15.140625" style="469" bestFit="1" customWidth="1"/>
    <col min="10236" max="10236" width="17.140625" style="469" bestFit="1" customWidth="1"/>
    <col min="10237" max="10237" width="6" style="469" customWidth="1"/>
    <col min="10238" max="10238" width="14.7109375" style="469" bestFit="1" customWidth="1"/>
    <col min="10239" max="10239" width="16.5703125" style="469" bestFit="1" customWidth="1"/>
    <col min="10240" max="10240" width="15.28515625" style="469" bestFit="1" customWidth="1"/>
    <col min="10241" max="10241" width="18.42578125" style="469" customWidth="1"/>
    <col min="10242" max="10484" width="9.140625" style="469"/>
    <col min="10485" max="10485" width="13" style="469" customWidth="1"/>
    <col min="10486" max="10486" width="9.140625" style="469" customWidth="1"/>
    <col min="10487" max="10487" width="15.42578125" style="469" bestFit="1" customWidth="1"/>
    <col min="10488" max="10488" width="13" style="469" bestFit="1" customWidth="1"/>
    <col min="10489" max="10489" width="7.7109375" style="469" bestFit="1" customWidth="1"/>
    <col min="10490" max="10490" width="21" style="469" bestFit="1" customWidth="1"/>
    <col min="10491" max="10491" width="15.140625" style="469" bestFit="1" customWidth="1"/>
    <col min="10492" max="10492" width="17.140625" style="469" bestFit="1" customWidth="1"/>
    <col min="10493" max="10493" width="6" style="469" customWidth="1"/>
    <col min="10494" max="10494" width="14.7109375" style="469" bestFit="1" customWidth="1"/>
    <col min="10495" max="10495" width="16.5703125" style="469" bestFit="1" customWidth="1"/>
    <col min="10496" max="10496" width="15.28515625" style="469" bestFit="1" customWidth="1"/>
    <col min="10497" max="10497" width="18.42578125" style="469" customWidth="1"/>
    <col min="10498" max="10740" width="9.140625" style="469"/>
    <col min="10741" max="10741" width="13" style="469" customWidth="1"/>
    <col min="10742" max="10742" width="9.140625" style="469" customWidth="1"/>
    <col min="10743" max="10743" width="15.42578125" style="469" bestFit="1" customWidth="1"/>
    <col min="10744" max="10744" width="13" style="469" bestFit="1" customWidth="1"/>
    <col min="10745" max="10745" width="7.7109375" style="469" bestFit="1" customWidth="1"/>
    <col min="10746" max="10746" width="21" style="469" bestFit="1" customWidth="1"/>
    <col min="10747" max="10747" width="15.140625" style="469" bestFit="1" customWidth="1"/>
    <col min="10748" max="10748" width="17.140625" style="469" bestFit="1" customWidth="1"/>
    <col min="10749" max="10749" width="6" style="469" customWidth="1"/>
    <col min="10750" max="10750" width="14.7109375" style="469" bestFit="1" customWidth="1"/>
    <col min="10751" max="10751" width="16.5703125" style="469" bestFit="1" customWidth="1"/>
    <col min="10752" max="10752" width="15.28515625" style="469" bestFit="1" customWidth="1"/>
    <col min="10753" max="10753" width="18.42578125" style="469" customWidth="1"/>
    <col min="10754" max="10996" width="9.140625" style="469"/>
    <col min="10997" max="10997" width="13" style="469" customWidth="1"/>
    <col min="10998" max="10998" width="9.140625" style="469" customWidth="1"/>
    <col min="10999" max="10999" width="15.42578125" style="469" bestFit="1" customWidth="1"/>
    <col min="11000" max="11000" width="13" style="469" bestFit="1" customWidth="1"/>
    <col min="11001" max="11001" width="7.7109375" style="469" bestFit="1" customWidth="1"/>
    <col min="11002" max="11002" width="21" style="469" bestFit="1" customWidth="1"/>
    <col min="11003" max="11003" width="15.140625" style="469" bestFit="1" customWidth="1"/>
    <col min="11004" max="11004" width="17.140625" style="469" bestFit="1" customWidth="1"/>
    <col min="11005" max="11005" width="6" style="469" customWidth="1"/>
    <col min="11006" max="11006" width="14.7109375" style="469" bestFit="1" customWidth="1"/>
    <col min="11007" max="11007" width="16.5703125" style="469" bestFit="1" customWidth="1"/>
    <col min="11008" max="11008" width="15.28515625" style="469" bestFit="1" customWidth="1"/>
    <col min="11009" max="11009" width="18.42578125" style="469" customWidth="1"/>
    <col min="11010" max="11252" width="9.140625" style="469"/>
    <col min="11253" max="11253" width="13" style="469" customWidth="1"/>
    <col min="11254" max="11254" width="9.140625" style="469" customWidth="1"/>
    <col min="11255" max="11255" width="15.42578125" style="469" bestFit="1" customWidth="1"/>
    <col min="11256" max="11256" width="13" style="469" bestFit="1" customWidth="1"/>
    <col min="11257" max="11257" width="7.7109375" style="469" bestFit="1" customWidth="1"/>
    <col min="11258" max="11258" width="21" style="469" bestFit="1" customWidth="1"/>
    <col min="11259" max="11259" width="15.140625" style="469" bestFit="1" customWidth="1"/>
    <col min="11260" max="11260" width="17.140625" style="469" bestFit="1" customWidth="1"/>
    <col min="11261" max="11261" width="6" style="469" customWidth="1"/>
    <col min="11262" max="11262" width="14.7109375" style="469" bestFit="1" customWidth="1"/>
    <col min="11263" max="11263" width="16.5703125" style="469" bestFit="1" customWidth="1"/>
    <col min="11264" max="11264" width="15.28515625" style="469" bestFit="1" customWidth="1"/>
    <col min="11265" max="11265" width="18.42578125" style="469" customWidth="1"/>
    <col min="11266" max="11508" width="9.140625" style="469"/>
    <col min="11509" max="11509" width="13" style="469" customWidth="1"/>
    <col min="11510" max="11510" width="9.140625" style="469" customWidth="1"/>
    <col min="11511" max="11511" width="15.42578125" style="469" bestFit="1" customWidth="1"/>
    <col min="11512" max="11512" width="13" style="469" bestFit="1" customWidth="1"/>
    <col min="11513" max="11513" width="7.7109375" style="469" bestFit="1" customWidth="1"/>
    <col min="11514" max="11514" width="21" style="469" bestFit="1" customWidth="1"/>
    <col min="11515" max="11515" width="15.140625" style="469" bestFit="1" customWidth="1"/>
    <col min="11516" max="11516" width="17.140625" style="469" bestFit="1" customWidth="1"/>
    <col min="11517" max="11517" width="6" style="469" customWidth="1"/>
    <col min="11518" max="11518" width="14.7109375" style="469" bestFit="1" customWidth="1"/>
    <col min="11519" max="11519" width="16.5703125" style="469" bestFit="1" customWidth="1"/>
    <col min="11520" max="11520" width="15.28515625" style="469" bestFit="1" customWidth="1"/>
    <col min="11521" max="11521" width="18.42578125" style="469" customWidth="1"/>
    <col min="11522" max="11764" width="9.140625" style="469"/>
    <col min="11765" max="11765" width="13" style="469" customWidth="1"/>
    <col min="11766" max="11766" width="9.140625" style="469" customWidth="1"/>
    <col min="11767" max="11767" width="15.42578125" style="469" bestFit="1" customWidth="1"/>
    <col min="11768" max="11768" width="13" style="469" bestFit="1" customWidth="1"/>
    <col min="11769" max="11769" width="7.7109375" style="469" bestFit="1" customWidth="1"/>
    <col min="11770" max="11770" width="21" style="469" bestFit="1" customWidth="1"/>
    <col min="11771" max="11771" width="15.140625" style="469" bestFit="1" customWidth="1"/>
    <col min="11772" max="11772" width="17.140625" style="469" bestFit="1" customWidth="1"/>
    <col min="11773" max="11773" width="6" style="469" customWidth="1"/>
    <col min="11774" max="11774" width="14.7109375" style="469" bestFit="1" customWidth="1"/>
    <col min="11775" max="11775" width="16.5703125" style="469" bestFit="1" customWidth="1"/>
    <col min="11776" max="11776" width="15.28515625" style="469" bestFit="1" customWidth="1"/>
    <col min="11777" max="11777" width="18.42578125" style="469" customWidth="1"/>
    <col min="11778" max="12020" width="9.140625" style="469"/>
    <col min="12021" max="12021" width="13" style="469" customWidth="1"/>
    <col min="12022" max="12022" width="9.140625" style="469" customWidth="1"/>
    <col min="12023" max="12023" width="15.42578125" style="469" bestFit="1" customWidth="1"/>
    <col min="12024" max="12024" width="13" style="469" bestFit="1" customWidth="1"/>
    <col min="12025" max="12025" width="7.7109375" style="469" bestFit="1" customWidth="1"/>
    <col min="12026" max="12026" width="21" style="469" bestFit="1" customWidth="1"/>
    <col min="12027" max="12027" width="15.140625" style="469" bestFit="1" customWidth="1"/>
    <col min="12028" max="12028" width="17.140625" style="469" bestFit="1" customWidth="1"/>
    <col min="12029" max="12029" width="6" style="469" customWidth="1"/>
    <col min="12030" max="12030" width="14.7109375" style="469" bestFit="1" customWidth="1"/>
    <col min="12031" max="12031" width="16.5703125" style="469" bestFit="1" customWidth="1"/>
    <col min="12032" max="12032" width="15.28515625" style="469" bestFit="1" customWidth="1"/>
    <col min="12033" max="12033" width="18.42578125" style="469" customWidth="1"/>
    <col min="12034" max="12276" width="9.140625" style="469"/>
    <col min="12277" max="12277" width="13" style="469" customWidth="1"/>
    <col min="12278" max="12278" width="9.140625" style="469" customWidth="1"/>
    <col min="12279" max="12279" width="15.42578125" style="469" bestFit="1" customWidth="1"/>
    <col min="12280" max="12280" width="13" style="469" bestFit="1" customWidth="1"/>
    <col min="12281" max="12281" width="7.7109375" style="469" bestFit="1" customWidth="1"/>
    <col min="12282" max="12282" width="21" style="469" bestFit="1" customWidth="1"/>
    <col min="12283" max="12283" width="15.140625" style="469" bestFit="1" customWidth="1"/>
    <col min="12284" max="12284" width="17.140625" style="469" bestFit="1" customWidth="1"/>
    <col min="12285" max="12285" width="6" style="469" customWidth="1"/>
    <col min="12286" max="12286" width="14.7109375" style="469" bestFit="1" customWidth="1"/>
    <col min="12287" max="12287" width="16.5703125" style="469" bestFit="1" customWidth="1"/>
    <col min="12288" max="12288" width="15.28515625" style="469" bestFit="1" customWidth="1"/>
    <col min="12289" max="12289" width="18.42578125" style="469" customWidth="1"/>
    <col min="12290" max="12532" width="9.140625" style="469"/>
    <col min="12533" max="12533" width="13" style="469" customWidth="1"/>
    <col min="12534" max="12534" width="9.140625" style="469" customWidth="1"/>
    <col min="12535" max="12535" width="15.42578125" style="469" bestFit="1" customWidth="1"/>
    <col min="12536" max="12536" width="13" style="469" bestFit="1" customWidth="1"/>
    <col min="12537" max="12537" width="7.7109375" style="469" bestFit="1" customWidth="1"/>
    <col min="12538" max="12538" width="21" style="469" bestFit="1" customWidth="1"/>
    <col min="12539" max="12539" width="15.140625" style="469" bestFit="1" customWidth="1"/>
    <col min="12540" max="12540" width="17.140625" style="469" bestFit="1" customWidth="1"/>
    <col min="12541" max="12541" width="6" style="469" customWidth="1"/>
    <col min="12542" max="12542" width="14.7109375" style="469" bestFit="1" customWidth="1"/>
    <col min="12543" max="12543" width="16.5703125" style="469" bestFit="1" customWidth="1"/>
    <col min="12544" max="12544" width="15.28515625" style="469" bestFit="1" customWidth="1"/>
    <col min="12545" max="12545" width="18.42578125" style="469" customWidth="1"/>
    <col min="12546" max="12788" width="9.140625" style="469"/>
    <col min="12789" max="12789" width="13" style="469" customWidth="1"/>
    <col min="12790" max="12790" width="9.140625" style="469" customWidth="1"/>
    <col min="12791" max="12791" width="15.42578125" style="469" bestFit="1" customWidth="1"/>
    <col min="12792" max="12792" width="13" style="469" bestFit="1" customWidth="1"/>
    <col min="12793" max="12793" width="7.7109375" style="469" bestFit="1" customWidth="1"/>
    <col min="12794" max="12794" width="21" style="469" bestFit="1" customWidth="1"/>
    <col min="12795" max="12795" width="15.140625" style="469" bestFit="1" customWidth="1"/>
    <col min="12796" max="12796" width="17.140625" style="469" bestFit="1" customWidth="1"/>
    <col min="12797" max="12797" width="6" style="469" customWidth="1"/>
    <col min="12798" max="12798" width="14.7109375" style="469" bestFit="1" customWidth="1"/>
    <col min="12799" max="12799" width="16.5703125" style="469" bestFit="1" customWidth="1"/>
    <col min="12800" max="12800" width="15.28515625" style="469" bestFit="1" customWidth="1"/>
    <col min="12801" max="12801" width="18.42578125" style="469" customWidth="1"/>
    <col min="12802" max="13044" width="9.140625" style="469"/>
    <col min="13045" max="13045" width="13" style="469" customWidth="1"/>
    <col min="13046" max="13046" width="9.140625" style="469" customWidth="1"/>
    <col min="13047" max="13047" width="15.42578125" style="469" bestFit="1" customWidth="1"/>
    <col min="13048" max="13048" width="13" style="469" bestFit="1" customWidth="1"/>
    <col min="13049" max="13049" width="7.7109375" style="469" bestFit="1" customWidth="1"/>
    <col min="13050" max="13050" width="21" style="469" bestFit="1" customWidth="1"/>
    <col min="13051" max="13051" width="15.140625" style="469" bestFit="1" customWidth="1"/>
    <col min="13052" max="13052" width="17.140625" style="469" bestFit="1" customWidth="1"/>
    <col min="13053" max="13053" width="6" style="469" customWidth="1"/>
    <col min="13054" max="13054" width="14.7109375" style="469" bestFit="1" customWidth="1"/>
    <col min="13055" max="13055" width="16.5703125" style="469" bestFit="1" customWidth="1"/>
    <col min="13056" max="13056" width="15.28515625" style="469" bestFit="1" customWidth="1"/>
    <col min="13057" max="13057" width="18.42578125" style="469" customWidth="1"/>
    <col min="13058" max="13300" width="9.140625" style="469"/>
    <col min="13301" max="13301" width="13" style="469" customWidth="1"/>
    <col min="13302" max="13302" width="9.140625" style="469" customWidth="1"/>
    <col min="13303" max="13303" width="15.42578125" style="469" bestFit="1" customWidth="1"/>
    <col min="13304" max="13304" width="13" style="469" bestFit="1" customWidth="1"/>
    <col min="13305" max="13305" width="7.7109375" style="469" bestFit="1" customWidth="1"/>
    <col min="13306" max="13306" width="21" style="469" bestFit="1" customWidth="1"/>
    <col min="13307" max="13307" width="15.140625" style="469" bestFit="1" customWidth="1"/>
    <col min="13308" max="13308" width="17.140625" style="469" bestFit="1" customWidth="1"/>
    <col min="13309" max="13309" width="6" style="469" customWidth="1"/>
    <col min="13310" max="13310" width="14.7109375" style="469" bestFit="1" customWidth="1"/>
    <col min="13311" max="13311" width="16.5703125" style="469" bestFit="1" customWidth="1"/>
    <col min="13312" max="13312" width="15.28515625" style="469" bestFit="1" customWidth="1"/>
    <col min="13313" max="13313" width="18.42578125" style="469" customWidth="1"/>
    <col min="13314" max="13556" width="9.140625" style="469"/>
    <col min="13557" max="13557" width="13" style="469" customWidth="1"/>
    <col min="13558" max="13558" width="9.140625" style="469" customWidth="1"/>
    <col min="13559" max="13559" width="15.42578125" style="469" bestFit="1" customWidth="1"/>
    <col min="13560" max="13560" width="13" style="469" bestFit="1" customWidth="1"/>
    <col min="13561" max="13561" width="7.7109375" style="469" bestFit="1" customWidth="1"/>
    <col min="13562" max="13562" width="21" style="469" bestFit="1" customWidth="1"/>
    <col min="13563" max="13563" width="15.140625" style="469" bestFit="1" customWidth="1"/>
    <col min="13564" max="13564" width="17.140625" style="469" bestFit="1" customWidth="1"/>
    <col min="13565" max="13565" width="6" style="469" customWidth="1"/>
    <col min="13566" max="13566" width="14.7109375" style="469" bestFit="1" customWidth="1"/>
    <col min="13567" max="13567" width="16.5703125" style="469" bestFit="1" customWidth="1"/>
    <col min="13568" max="13568" width="15.28515625" style="469" bestFit="1" customWidth="1"/>
    <col min="13569" max="13569" width="18.42578125" style="469" customWidth="1"/>
    <col min="13570" max="13812" width="9.140625" style="469"/>
    <col min="13813" max="13813" width="13" style="469" customWidth="1"/>
    <col min="13814" max="13814" width="9.140625" style="469" customWidth="1"/>
    <col min="13815" max="13815" width="15.42578125" style="469" bestFit="1" customWidth="1"/>
    <col min="13816" max="13816" width="13" style="469" bestFit="1" customWidth="1"/>
    <col min="13817" max="13817" width="7.7109375" style="469" bestFit="1" customWidth="1"/>
    <col min="13818" max="13818" width="21" style="469" bestFit="1" customWidth="1"/>
    <col min="13819" max="13819" width="15.140625" style="469" bestFit="1" customWidth="1"/>
    <col min="13820" max="13820" width="17.140625" style="469" bestFit="1" customWidth="1"/>
    <col min="13821" max="13821" width="6" style="469" customWidth="1"/>
    <col min="13822" max="13822" width="14.7109375" style="469" bestFit="1" customWidth="1"/>
    <col min="13823" max="13823" width="16.5703125" style="469" bestFit="1" customWidth="1"/>
    <col min="13824" max="13824" width="15.28515625" style="469" bestFit="1" customWidth="1"/>
    <col min="13825" max="13825" width="18.42578125" style="469" customWidth="1"/>
    <col min="13826" max="14068" width="9.140625" style="469"/>
    <col min="14069" max="14069" width="13" style="469" customWidth="1"/>
    <col min="14070" max="14070" width="9.140625" style="469" customWidth="1"/>
    <col min="14071" max="14071" width="15.42578125" style="469" bestFit="1" customWidth="1"/>
    <col min="14072" max="14072" width="13" style="469" bestFit="1" customWidth="1"/>
    <col min="14073" max="14073" width="7.7109375" style="469" bestFit="1" customWidth="1"/>
    <col min="14074" max="14074" width="21" style="469" bestFit="1" customWidth="1"/>
    <col min="14075" max="14075" width="15.140625" style="469" bestFit="1" customWidth="1"/>
    <col min="14076" max="14076" width="17.140625" style="469" bestFit="1" customWidth="1"/>
    <col min="14077" max="14077" width="6" style="469" customWidth="1"/>
    <col min="14078" max="14078" width="14.7109375" style="469" bestFit="1" customWidth="1"/>
    <col min="14079" max="14079" width="16.5703125" style="469" bestFit="1" customWidth="1"/>
    <col min="14080" max="14080" width="15.28515625" style="469" bestFit="1" customWidth="1"/>
    <col min="14081" max="14081" width="18.42578125" style="469" customWidth="1"/>
    <col min="14082" max="14324" width="9.140625" style="469"/>
    <col min="14325" max="14325" width="13" style="469" customWidth="1"/>
    <col min="14326" max="14326" width="9.140625" style="469" customWidth="1"/>
    <col min="14327" max="14327" width="15.42578125" style="469" bestFit="1" customWidth="1"/>
    <col min="14328" max="14328" width="13" style="469" bestFit="1" customWidth="1"/>
    <col min="14329" max="14329" width="7.7109375" style="469" bestFit="1" customWidth="1"/>
    <col min="14330" max="14330" width="21" style="469" bestFit="1" customWidth="1"/>
    <col min="14331" max="14331" width="15.140625" style="469" bestFit="1" customWidth="1"/>
    <col min="14332" max="14332" width="17.140625" style="469" bestFit="1" customWidth="1"/>
    <col min="14333" max="14333" width="6" style="469" customWidth="1"/>
    <col min="14334" max="14334" width="14.7109375" style="469" bestFit="1" customWidth="1"/>
    <col min="14335" max="14335" width="16.5703125" style="469" bestFit="1" customWidth="1"/>
    <col min="14336" max="14336" width="15.28515625" style="469" bestFit="1" customWidth="1"/>
    <col min="14337" max="14337" width="18.42578125" style="469" customWidth="1"/>
    <col min="14338" max="14580" width="9.140625" style="469"/>
    <col min="14581" max="14581" width="13" style="469" customWidth="1"/>
    <col min="14582" max="14582" width="9.140625" style="469" customWidth="1"/>
    <col min="14583" max="14583" width="15.42578125" style="469" bestFit="1" customWidth="1"/>
    <col min="14584" max="14584" width="13" style="469" bestFit="1" customWidth="1"/>
    <col min="14585" max="14585" width="7.7109375" style="469" bestFit="1" customWidth="1"/>
    <col min="14586" max="14586" width="21" style="469" bestFit="1" customWidth="1"/>
    <col min="14587" max="14587" width="15.140625" style="469" bestFit="1" customWidth="1"/>
    <col min="14588" max="14588" width="17.140625" style="469" bestFit="1" customWidth="1"/>
    <col min="14589" max="14589" width="6" style="469" customWidth="1"/>
    <col min="14590" max="14590" width="14.7109375" style="469" bestFit="1" customWidth="1"/>
    <col min="14591" max="14591" width="16.5703125" style="469" bestFit="1" customWidth="1"/>
    <col min="14592" max="14592" width="15.28515625" style="469" bestFit="1" customWidth="1"/>
    <col min="14593" max="14593" width="18.42578125" style="469" customWidth="1"/>
    <col min="14594" max="14836" width="9.140625" style="469"/>
    <col min="14837" max="14837" width="13" style="469" customWidth="1"/>
    <col min="14838" max="14838" width="9.140625" style="469" customWidth="1"/>
    <col min="14839" max="14839" width="15.42578125" style="469" bestFit="1" customWidth="1"/>
    <col min="14840" max="14840" width="13" style="469" bestFit="1" customWidth="1"/>
    <col min="14841" max="14841" width="7.7109375" style="469" bestFit="1" customWidth="1"/>
    <col min="14842" max="14842" width="21" style="469" bestFit="1" customWidth="1"/>
    <col min="14843" max="14843" width="15.140625" style="469" bestFit="1" customWidth="1"/>
    <col min="14844" max="14844" width="17.140625" style="469" bestFit="1" customWidth="1"/>
    <col min="14845" max="14845" width="6" style="469" customWidth="1"/>
    <col min="14846" max="14846" width="14.7109375" style="469" bestFit="1" customWidth="1"/>
    <col min="14847" max="14847" width="16.5703125" style="469" bestFit="1" customWidth="1"/>
    <col min="14848" max="14848" width="15.28515625" style="469" bestFit="1" customWidth="1"/>
    <col min="14849" max="14849" width="18.42578125" style="469" customWidth="1"/>
    <col min="14850" max="15092" width="9.140625" style="469"/>
    <col min="15093" max="15093" width="13" style="469" customWidth="1"/>
    <col min="15094" max="15094" width="9.140625" style="469" customWidth="1"/>
    <col min="15095" max="15095" width="15.42578125" style="469" bestFit="1" customWidth="1"/>
    <col min="15096" max="15096" width="13" style="469" bestFit="1" customWidth="1"/>
    <col min="15097" max="15097" width="7.7109375" style="469" bestFit="1" customWidth="1"/>
    <col min="15098" max="15098" width="21" style="469" bestFit="1" customWidth="1"/>
    <col min="15099" max="15099" width="15.140625" style="469" bestFit="1" customWidth="1"/>
    <col min="15100" max="15100" width="17.140625" style="469" bestFit="1" customWidth="1"/>
    <col min="15101" max="15101" width="6" style="469" customWidth="1"/>
    <col min="15102" max="15102" width="14.7109375" style="469" bestFit="1" customWidth="1"/>
    <col min="15103" max="15103" width="16.5703125" style="469" bestFit="1" customWidth="1"/>
    <col min="15104" max="15104" width="15.28515625" style="469" bestFit="1" customWidth="1"/>
    <col min="15105" max="15105" width="18.42578125" style="469" customWidth="1"/>
    <col min="15106" max="15348" width="9.140625" style="469"/>
    <col min="15349" max="15349" width="13" style="469" customWidth="1"/>
    <col min="15350" max="15350" width="9.140625" style="469" customWidth="1"/>
    <col min="15351" max="15351" width="15.42578125" style="469" bestFit="1" customWidth="1"/>
    <col min="15352" max="15352" width="13" style="469" bestFit="1" customWidth="1"/>
    <col min="15353" max="15353" width="7.7109375" style="469" bestFit="1" customWidth="1"/>
    <col min="15354" max="15354" width="21" style="469" bestFit="1" customWidth="1"/>
    <col min="15355" max="15355" width="15.140625" style="469" bestFit="1" customWidth="1"/>
    <col min="15356" max="15356" width="17.140625" style="469" bestFit="1" customWidth="1"/>
    <col min="15357" max="15357" width="6" style="469" customWidth="1"/>
    <col min="15358" max="15358" width="14.7109375" style="469" bestFit="1" customWidth="1"/>
    <col min="15359" max="15359" width="16.5703125" style="469" bestFit="1" customWidth="1"/>
    <col min="15360" max="15360" width="15.28515625" style="469" bestFit="1" customWidth="1"/>
    <col min="15361" max="15361" width="18.42578125" style="469" customWidth="1"/>
    <col min="15362" max="15604" width="9.140625" style="469"/>
    <col min="15605" max="15605" width="13" style="469" customWidth="1"/>
    <col min="15606" max="15606" width="9.140625" style="469" customWidth="1"/>
    <col min="15607" max="15607" width="15.42578125" style="469" bestFit="1" customWidth="1"/>
    <col min="15608" max="15608" width="13" style="469" bestFit="1" customWidth="1"/>
    <col min="15609" max="15609" width="7.7109375" style="469" bestFit="1" customWidth="1"/>
    <col min="15610" max="15610" width="21" style="469" bestFit="1" customWidth="1"/>
    <col min="15611" max="15611" width="15.140625" style="469" bestFit="1" customWidth="1"/>
    <col min="15612" max="15612" width="17.140625" style="469" bestFit="1" customWidth="1"/>
    <col min="15613" max="15613" width="6" style="469" customWidth="1"/>
    <col min="15614" max="15614" width="14.7109375" style="469" bestFit="1" customWidth="1"/>
    <col min="15615" max="15615" width="16.5703125" style="469" bestFit="1" customWidth="1"/>
    <col min="15616" max="15616" width="15.28515625" style="469" bestFit="1" customWidth="1"/>
    <col min="15617" max="15617" width="18.42578125" style="469" customWidth="1"/>
    <col min="15618" max="15860" width="9.140625" style="469"/>
    <col min="15861" max="15861" width="13" style="469" customWidth="1"/>
    <col min="15862" max="15862" width="9.140625" style="469" customWidth="1"/>
    <col min="15863" max="15863" width="15.42578125" style="469" bestFit="1" customWidth="1"/>
    <col min="15864" max="15864" width="13" style="469" bestFit="1" customWidth="1"/>
    <col min="15865" max="15865" width="7.7109375" style="469" bestFit="1" customWidth="1"/>
    <col min="15866" max="15866" width="21" style="469" bestFit="1" customWidth="1"/>
    <col min="15867" max="15867" width="15.140625" style="469" bestFit="1" customWidth="1"/>
    <col min="15868" max="15868" width="17.140625" style="469" bestFit="1" customWidth="1"/>
    <col min="15869" max="15869" width="6" style="469" customWidth="1"/>
    <col min="15870" max="15870" width="14.7109375" style="469" bestFit="1" customWidth="1"/>
    <col min="15871" max="15871" width="16.5703125" style="469" bestFit="1" customWidth="1"/>
    <col min="15872" max="15872" width="15.28515625" style="469" bestFit="1" customWidth="1"/>
    <col min="15873" max="15873" width="18.42578125" style="469" customWidth="1"/>
    <col min="15874" max="16116" width="9.140625" style="469"/>
    <col min="16117" max="16117" width="13" style="469" customWidth="1"/>
    <col min="16118" max="16118" width="9.140625" style="469" customWidth="1"/>
    <col min="16119" max="16119" width="15.42578125" style="469" bestFit="1" customWidth="1"/>
    <col min="16120" max="16120" width="13" style="469" bestFit="1" customWidth="1"/>
    <col min="16121" max="16121" width="7.7109375" style="469" bestFit="1" customWidth="1"/>
    <col min="16122" max="16122" width="21" style="469" bestFit="1" customWidth="1"/>
    <col min="16123" max="16123" width="15.140625" style="469" bestFit="1" customWidth="1"/>
    <col min="16124" max="16124" width="17.140625" style="469" bestFit="1" customWidth="1"/>
    <col min="16125" max="16125" width="6" style="469" customWidth="1"/>
    <col min="16126" max="16126" width="14.7109375" style="469" bestFit="1" customWidth="1"/>
    <col min="16127" max="16127" width="16.5703125" style="469" bestFit="1" customWidth="1"/>
    <col min="16128" max="16128" width="15.28515625" style="469" bestFit="1" customWidth="1"/>
    <col min="16129" max="16129" width="18.42578125" style="469" customWidth="1"/>
    <col min="16130" max="16384" width="9.140625" style="469"/>
  </cols>
  <sheetData>
    <row r="1" spans="1:3">
      <c r="A1" s="468" t="s">
        <v>5</v>
      </c>
    </row>
    <row r="2" spans="1:3">
      <c r="A2" s="468" t="s">
        <v>612</v>
      </c>
    </row>
    <row r="3" spans="1:3">
      <c r="A3" s="470" t="s">
        <v>619</v>
      </c>
    </row>
    <row r="5" spans="1:3" ht="25.5">
      <c r="A5" s="471" t="s">
        <v>613</v>
      </c>
      <c r="B5" s="472"/>
      <c r="C5" s="471" t="s">
        <v>615</v>
      </c>
    </row>
    <row r="6" spans="1:3">
      <c r="A6" s="469" t="s">
        <v>616</v>
      </c>
    </row>
    <row r="7" spans="1:3">
      <c r="A7" s="715">
        <v>41274</v>
      </c>
      <c r="C7" s="473">
        <v>13272233</v>
      </c>
    </row>
    <row r="8" spans="1:3">
      <c r="A8" s="715">
        <v>41305</v>
      </c>
      <c r="C8" s="473">
        <v>13371947.356164383</v>
      </c>
    </row>
    <row r="9" spans="1:3">
      <c r="A9" s="715">
        <v>41333</v>
      </c>
      <c r="C9" s="473">
        <v>13663736.1369863</v>
      </c>
    </row>
    <row r="10" spans="1:3">
      <c r="A10" s="715">
        <v>41364</v>
      </c>
      <c r="C10" s="473">
        <v>11479956.08219178</v>
      </c>
    </row>
    <row r="11" spans="1:3">
      <c r="A11" s="715">
        <v>41394</v>
      </c>
      <c r="C11" s="473">
        <v>11724203.079452055</v>
      </c>
    </row>
    <row r="12" spans="1:3">
      <c r="A12" s="715">
        <v>41425</v>
      </c>
      <c r="C12" s="473">
        <v>11955181.408219177</v>
      </c>
    </row>
    <row r="13" spans="1:3">
      <c r="A13" s="715">
        <v>41455</v>
      </c>
      <c r="C13" s="473">
        <v>12061563.58630137</v>
      </c>
    </row>
    <row r="14" spans="1:3">
      <c r="A14" s="715">
        <v>41486</v>
      </c>
      <c r="C14" s="473">
        <v>12212117.783561643</v>
      </c>
    </row>
    <row r="15" spans="1:3">
      <c r="A15" s="715">
        <v>41517</v>
      </c>
      <c r="C15" s="473">
        <v>12337756.72328767</v>
      </c>
    </row>
    <row r="16" spans="1:3">
      <c r="A16" s="715">
        <v>41547</v>
      </c>
      <c r="C16" s="473">
        <v>12819887.879452053</v>
      </c>
    </row>
    <row r="17" spans="1:3">
      <c r="A17" s="715">
        <v>41578</v>
      </c>
      <c r="C17" s="473">
        <v>12904133.81917808</v>
      </c>
    </row>
    <row r="18" spans="1:3">
      <c r="A18" s="715">
        <v>41608</v>
      </c>
      <c r="C18" s="473">
        <v>12933877.950684929</v>
      </c>
    </row>
    <row r="19" spans="1:3">
      <c r="A19" s="715">
        <v>41639</v>
      </c>
      <c r="C19" s="473">
        <v>12934747.682191778</v>
      </c>
    </row>
    <row r="20" spans="1:3">
      <c r="A20" s="716"/>
      <c r="C20" s="473"/>
    </row>
    <row r="21" spans="1:3" ht="13.5" thickBot="1">
      <c r="A21" s="717" t="s">
        <v>822</v>
      </c>
      <c r="C21" s="475">
        <f>SUM(C7:C19)/13</f>
        <v>12590103.268282402</v>
      </c>
    </row>
    <row r="22" spans="1:3" ht="13.5" thickTop="1">
      <c r="A22" s="716"/>
      <c r="C22" s="714"/>
    </row>
    <row r="23" spans="1:3">
      <c r="A23" s="716" t="s">
        <v>617</v>
      </c>
      <c r="C23" s="473"/>
    </row>
    <row r="24" spans="1:3">
      <c r="A24" s="715">
        <v>41274</v>
      </c>
      <c r="C24" s="473">
        <v>-494661634</v>
      </c>
    </row>
    <row r="25" spans="1:3">
      <c r="A25" s="715">
        <v>41305</v>
      </c>
      <c r="C25" s="473">
        <v>-494776043.38356167</v>
      </c>
    </row>
    <row r="26" spans="1:3">
      <c r="A26" s="715">
        <v>41333</v>
      </c>
      <c r="C26" s="473">
        <v>-499142807.17808223</v>
      </c>
    </row>
    <row r="27" spans="1:3">
      <c r="A27" s="715">
        <v>41364</v>
      </c>
      <c r="C27" s="473">
        <v>-501210202.19178087</v>
      </c>
    </row>
    <row r="28" spans="1:3">
      <c r="A28" s="715">
        <v>41394</v>
      </c>
      <c r="C28" s="473">
        <v>-503357448.57534254</v>
      </c>
    </row>
    <row r="29" spans="1:3">
      <c r="A29" s="715">
        <v>41425</v>
      </c>
      <c r="C29" s="473">
        <v>-506027486.45205486</v>
      </c>
    </row>
    <row r="30" spans="1:3">
      <c r="A30" s="715">
        <v>41455</v>
      </c>
      <c r="C30" s="473">
        <v>-510587166.38356173</v>
      </c>
    </row>
    <row r="31" spans="1:3">
      <c r="A31" s="715">
        <v>41486</v>
      </c>
      <c r="C31" s="473">
        <v>-511479277.35616446</v>
      </c>
    </row>
    <row r="32" spans="1:3">
      <c r="A32" s="715">
        <v>41517</v>
      </c>
      <c r="C32" s="473">
        <v>-513511693.97260278</v>
      </c>
    </row>
    <row r="33" spans="1:3">
      <c r="A33" s="715">
        <v>41547</v>
      </c>
      <c r="C33" s="473">
        <v>-514812484.97260278</v>
      </c>
    </row>
    <row r="34" spans="1:3">
      <c r="A34" s="715">
        <v>41578</v>
      </c>
      <c r="C34" s="473">
        <v>-516124023.63013703</v>
      </c>
    </row>
    <row r="35" spans="1:3">
      <c r="A35" s="715">
        <v>41608</v>
      </c>
      <c r="C35" s="473">
        <v>-517172436.12328774</v>
      </c>
    </row>
    <row r="36" spans="1:3">
      <c r="A36" s="715">
        <v>41639</v>
      </c>
      <c r="C36" s="473">
        <v>-517218915.45205486</v>
      </c>
    </row>
    <row r="37" spans="1:3">
      <c r="A37" s="716"/>
      <c r="C37" s="473"/>
    </row>
    <row r="38" spans="1:3" ht="13.5" thickBot="1">
      <c r="A38" s="717" t="s">
        <v>822</v>
      </c>
      <c r="C38" s="475">
        <f>SUM(C24:C36)/13</f>
        <v>-507698586.12855649</v>
      </c>
    </row>
    <row r="39" spans="1:3" ht="13.5" thickTop="1">
      <c r="A39" s="716"/>
      <c r="C39" s="714"/>
    </row>
    <row r="40" spans="1:3">
      <c r="A40" s="716" t="s">
        <v>618</v>
      </c>
      <c r="C40" s="473"/>
    </row>
    <row r="41" spans="1:3">
      <c r="A41" s="715">
        <v>41274</v>
      </c>
      <c r="C41" s="473">
        <v>-2624821</v>
      </c>
    </row>
    <row r="42" spans="1:3">
      <c r="A42" s="715">
        <v>41305</v>
      </c>
      <c r="C42" s="473">
        <v>-2574111.1780821919</v>
      </c>
    </row>
    <row r="43" spans="1:3">
      <c r="A43" s="715">
        <v>41333</v>
      </c>
      <c r="C43" s="473">
        <v>-2527639.7890410959</v>
      </c>
    </row>
    <row r="44" spans="1:3">
      <c r="A44" s="715">
        <v>41364</v>
      </c>
      <c r="C44" s="473">
        <v>-2514161.9150684932</v>
      </c>
    </row>
    <row r="45" spans="1:3">
      <c r="A45" s="715">
        <v>41394</v>
      </c>
      <c r="C45" s="473">
        <v>-2483202.9835616439</v>
      </c>
    </row>
    <row r="46" spans="1:3">
      <c r="A46" s="715">
        <v>41425</v>
      </c>
      <c r="C46" s="473">
        <v>-2451863.6410958907</v>
      </c>
    </row>
    <row r="47" spans="1:3">
      <c r="A47" s="715">
        <v>41455</v>
      </c>
      <c r="C47" s="473">
        <v>-2921546.1342465756</v>
      </c>
    </row>
    <row r="48" spans="1:3">
      <c r="A48" s="715">
        <v>41486</v>
      </c>
      <c r="C48" s="473">
        <v>-3217747.4876712332</v>
      </c>
    </row>
    <row r="49" spans="1:3">
      <c r="A49" s="715">
        <v>41517</v>
      </c>
      <c r="C49" s="473">
        <v>-3198019.9726027399</v>
      </c>
    </row>
    <row r="50" spans="1:3">
      <c r="A50" s="715">
        <v>41547</v>
      </c>
      <c r="C50" s="473">
        <v>-3202495.5561643839</v>
      </c>
    </row>
    <row r="51" spans="1:3">
      <c r="A51" s="715">
        <v>41578</v>
      </c>
      <c r="C51" s="473">
        <v>-3159011.6438356168</v>
      </c>
    </row>
    <row r="52" spans="1:3">
      <c r="A52" s="715">
        <v>41608</v>
      </c>
      <c r="C52" s="473">
        <v>-3171190.4054794526</v>
      </c>
    </row>
    <row r="53" spans="1:3">
      <c r="A53" s="715">
        <v>41639</v>
      </c>
      <c r="C53" s="473">
        <v>-3171030.0219178088</v>
      </c>
    </row>
    <row r="55" spans="1:3" ht="13.5" thickBot="1">
      <c r="A55" s="717" t="s">
        <v>822</v>
      </c>
      <c r="C55" s="476">
        <f>SUM(C41:C53)/13</f>
        <v>-2862833.9791359329</v>
      </c>
    </row>
    <row r="56" spans="1:3" ht="13.5" thickTop="1"/>
    <row r="58" spans="1:3" ht="13.5" thickBot="1">
      <c r="A58" s="718" t="s">
        <v>823</v>
      </c>
      <c r="C58" s="476">
        <f>C55+C38+C21</f>
        <v>-497971316.83941001</v>
      </c>
    </row>
    <row r="59" spans="1:3" ht="13.5" thickTop="1"/>
    <row r="61" spans="1:3">
      <c r="C61" s="474"/>
    </row>
  </sheetData>
  <pageMargins left="0.75" right="0.75" top="1" bottom="1" header="0.5" footer="0.5"/>
  <pageSetup scale="88"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zoomScale="75" zoomScaleNormal="75" workbookViewId="0"/>
  </sheetViews>
  <sheetFormatPr defaultRowHeight="12.75"/>
  <cols>
    <col min="1" max="1" width="40.7109375" style="412" customWidth="1"/>
    <col min="2" max="2" width="15.7109375" style="412" bestFit="1" customWidth="1"/>
    <col min="3" max="3" width="9.7109375" style="412" customWidth="1"/>
    <col min="4" max="4" width="17.28515625" style="412" bestFit="1" customWidth="1"/>
    <col min="5" max="5" width="14" style="412" customWidth="1"/>
    <col min="6" max="6" width="3.28515625" style="412" customWidth="1"/>
    <col min="7" max="7" width="8" style="442" customWidth="1"/>
    <col min="8" max="8" width="16.28515625" style="412" customWidth="1"/>
    <col min="9" max="256" width="9.140625" style="412"/>
    <col min="257" max="257" width="40.7109375" style="412" customWidth="1"/>
    <col min="258" max="258" width="15.7109375" style="412" bestFit="1" customWidth="1"/>
    <col min="259" max="259" width="9.7109375" style="412" customWidth="1"/>
    <col min="260" max="260" width="17.28515625" style="412" bestFit="1" customWidth="1"/>
    <col min="261" max="261" width="14" style="412" customWidth="1"/>
    <col min="262" max="262" width="3.28515625" style="412" customWidth="1"/>
    <col min="263" max="263" width="8" style="412" customWidth="1"/>
    <col min="264" max="264" width="16.28515625" style="412" customWidth="1"/>
    <col min="265" max="512" width="9.140625" style="412"/>
    <col min="513" max="513" width="40.7109375" style="412" customWidth="1"/>
    <col min="514" max="514" width="15.7109375" style="412" bestFit="1" customWidth="1"/>
    <col min="515" max="515" width="9.7109375" style="412" customWidth="1"/>
    <col min="516" max="516" width="17.28515625" style="412" bestFit="1" customWidth="1"/>
    <col min="517" max="517" width="14" style="412" customWidth="1"/>
    <col min="518" max="518" width="3.28515625" style="412" customWidth="1"/>
    <col min="519" max="519" width="8" style="412" customWidth="1"/>
    <col min="520" max="520" width="16.28515625" style="412" customWidth="1"/>
    <col min="521" max="768" width="9.140625" style="412"/>
    <col min="769" max="769" width="40.7109375" style="412" customWidth="1"/>
    <col min="770" max="770" width="15.7109375" style="412" bestFit="1" customWidth="1"/>
    <col min="771" max="771" width="9.7109375" style="412" customWidth="1"/>
    <col min="772" max="772" width="17.28515625" style="412" bestFit="1" customWidth="1"/>
    <col min="773" max="773" width="14" style="412" customWidth="1"/>
    <col min="774" max="774" width="3.28515625" style="412" customWidth="1"/>
    <col min="775" max="775" width="8" style="412" customWidth="1"/>
    <col min="776" max="776" width="16.28515625" style="412" customWidth="1"/>
    <col min="777" max="1024" width="9.140625" style="412"/>
    <col min="1025" max="1025" width="40.7109375" style="412" customWidth="1"/>
    <col min="1026" max="1026" width="15.7109375" style="412" bestFit="1" customWidth="1"/>
    <col min="1027" max="1027" width="9.7109375" style="412" customWidth="1"/>
    <col min="1028" max="1028" width="17.28515625" style="412" bestFit="1" customWidth="1"/>
    <col min="1029" max="1029" width="14" style="412" customWidth="1"/>
    <col min="1030" max="1030" width="3.28515625" style="412" customWidth="1"/>
    <col min="1031" max="1031" width="8" style="412" customWidth="1"/>
    <col min="1032" max="1032" width="16.28515625" style="412" customWidth="1"/>
    <col min="1033" max="1280" width="9.140625" style="412"/>
    <col min="1281" max="1281" width="40.7109375" style="412" customWidth="1"/>
    <col min="1282" max="1282" width="15.7109375" style="412" bestFit="1" customWidth="1"/>
    <col min="1283" max="1283" width="9.7109375" style="412" customWidth="1"/>
    <col min="1284" max="1284" width="17.28515625" style="412" bestFit="1" customWidth="1"/>
    <col min="1285" max="1285" width="14" style="412" customWidth="1"/>
    <col min="1286" max="1286" width="3.28515625" style="412" customWidth="1"/>
    <col min="1287" max="1287" width="8" style="412" customWidth="1"/>
    <col min="1288" max="1288" width="16.28515625" style="412" customWidth="1"/>
    <col min="1289" max="1536" width="9.140625" style="412"/>
    <col min="1537" max="1537" width="40.7109375" style="412" customWidth="1"/>
    <col min="1538" max="1538" width="15.7109375" style="412" bestFit="1" customWidth="1"/>
    <col min="1539" max="1539" width="9.7109375" style="412" customWidth="1"/>
    <col min="1540" max="1540" width="17.28515625" style="412" bestFit="1" customWidth="1"/>
    <col min="1541" max="1541" width="14" style="412" customWidth="1"/>
    <col min="1542" max="1542" width="3.28515625" style="412" customWidth="1"/>
    <col min="1543" max="1543" width="8" style="412" customWidth="1"/>
    <col min="1544" max="1544" width="16.28515625" style="412" customWidth="1"/>
    <col min="1545" max="1792" width="9.140625" style="412"/>
    <col min="1793" max="1793" width="40.7109375" style="412" customWidth="1"/>
    <col min="1794" max="1794" width="15.7109375" style="412" bestFit="1" customWidth="1"/>
    <col min="1795" max="1795" width="9.7109375" style="412" customWidth="1"/>
    <col min="1796" max="1796" width="17.28515625" style="412" bestFit="1" customWidth="1"/>
    <col min="1797" max="1797" width="14" style="412" customWidth="1"/>
    <col min="1798" max="1798" width="3.28515625" style="412" customWidth="1"/>
    <col min="1799" max="1799" width="8" style="412" customWidth="1"/>
    <col min="1800" max="1800" width="16.28515625" style="412" customWidth="1"/>
    <col min="1801" max="2048" width="9.140625" style="412"/>
    <col min="2049" max="2049" width="40.7109375" style="412" customWidth="1"/>
    <col min="2050" max="2050" width="15.7109375" style="412" bestFit="1" customWidth="1"/>
    <col min="2051" max="2051" width="9.7109375" style="412" customWidth="1"/>
    <col min="2052" max="2052" width="17.28515625" style="412" bestFit="1" customWidth="1"/>
    <col min="2053" max="2053" width="14" style="412" customWidth="1"/>
    <col min="2054" max="2054" width="3.28515625" style="412" customWidth="1"/>
    <col min="2055" max="2055" width="8" style="412" customWidth="1"/>
    <col min="2056" max="2056" width="16.28515625" style="412" customWidth="1"/>
    <col min="2057" max="2304" width="9.140625" style="412"/>
    <col min="2305" max="2305" width="40.7109375" style="412" customWidth="1"/>
    <col min="2306" max="2306" width="15.7109375" style="412" bestFit="1" customWidth="1"/>
    <col min="2307" max="2307" width="9.7109375" style="412" customWidth="1"/>
    <col min="2308" max="2308" width="17.28515625" style="412" bestFit="1" customWidth="1"/>
    <col min="2309" max="2309" width="14" style="412" customWidth="1"/>
    <col min="2310" max="2310" width="3.28515625" style="412" customWidth="1"/>
    <col min="2311" max="2311" width="8" style="412" customWidth="1"/>
    <col min="2312" max="2312" width="16.28515625" style="412" customWidth="1"/>
    <col min="2313" max="2560" width="9.140625" style="412"/>
    <col min="2561" max="2561" width="40.7109375" style="412" customWidth="1"/>
    <col min="2562" max="2562" width="15.7109375" style="412" bestFit="1" customWidth="1"/>
    <col min="2563" max="2563" width="9.7109375" style="412" customWidth="1"/>
    <col min="2564" max="2564" width="17.28515625" style="412" bestFit="1" customWidth="1"/>
    <col min="2565" max="2565" width="14" style="412" customWidth="1"/>
    <col min="2566" max="2566" width="3.28515625" style="412" customWidth="1"/>
    <col min="2567" max="2567" width="8" style="412" customWidth="1"/>
    <col min="2568" max="2568" width="16.28515625" style="412" customWidth="1"/>
    <col min="2569" max="2816" width="9.140625" style="412"/>
    <col min="2817" max="2817" width="40.7109375" style="412" customWidth="1"/>
    <col min="2818" max="2818" width="15.7109375" style="412" bestFit="1" customWidth="1"/>
    <col min="2819" max="2819" width="9.7109375" style="412" customWidth="1"/>
    <col min="2820" max="2820" width="17.28515625" style="412" bestFit="1" customWidth="1"/>
    <col min="2821" max="2821" width="14" style="412" customWidth="1"/>
    <col min="2822" max="2822" width="3.28515625" style="412" customWidth="1"/>
    <col min="2823" max="2823" width="8" style="412" customWidth="1"/>
    <col min="2824" max="2824" width="16.28515625" style="412" customWidth="1"/>
    <col min="2825" max="3072" width="9.140625" style="412"/>
    <col min="3073" max="3073" width="40.7109375" style="412" customWidth="1"/>
    <col min="3074" max="3074" width="15.7109375" style="412" bestFit="1" customWidth="1"/>
    <col min="3075" max="3075" width="9.7109375" style="412" customWidth="1"/>
    <col min="3076" max="3076" width="17.28515625" style="412" bestFit="1" customWidth="1"/>
    <col min="3077" max="3077" width="14" style="412" customWidth="1"/>
    <col min="3078" max="3078" width="3.28515625" style="412" customWidth="1"/>
    <col min="3079" max="3079" width="8" style="412" customWidth="1"/>
    <col min="3080" max="3080" width="16.28515625" style="412" customWidth="1"/>
    <col min="3081" max="3328" width="9.140625" style="412"/>
    <col min="3329" max="3329" width="40.7109375" style="412" customWidth="1"/>
    <col min="3330" max="3330" width="15.7109375" style="412" bestFit="1" customWidth="1"/>
    <col min="3331" max="3331" width="9.7109375" style="412" customWidth="1"/>
    <col min="3332" max="3332" width="17.28515625" style="412" bestFit="1" customWidth="1"/>
    <col min="3333" max="3333" width="14" style="412" customWidth="1"/>
    <col min="3334" max="3334" width="3.28515625" style="412" customWidth="1"/>
    <col min="3335" max="3335" width="8" style="412" customWidth="1"/>
    <col min="3336" max="3336" width="16.28515625" style="412" customWidth="1"/>
    <col min="3337" max="3584" width="9.140625" style="412"/>
    <col min="3585" max="3585" width="40.7109375" style="412" customWidth="1"/>
    <col min="3586" max="3586" width="15.7109375" style="412" bestFit="1" customWidth="1"/>
    <col min="3587" max="3587" width="9.7109375" style="412" customWidth="1"/>
    <col min="3588" max="3588" width="17.28515625" style="412" bestFit="1" customWidth="1"/>
    <col min="3589" max="3589" width="14" style="412" customWidth="1"/>
    <col min="3590" max="3590" width="3.28515625" style="412" customWidth="1"/>
    <col min="3591" max="3591" width="8" style="412" customWidth="1"/>
    <col min="3592" max="3592" width="16.28515625" style="412" customWidth="1"/>
    <col min="3593" max="3840" width="9.140625" style="412"/>
    <col min="3841" max="3841" width="40.7109375" style="412" customWidth="1"/>
    <col min="3842" max="3842" width="15.7109375" style="412" bestFit="1" customWidth="1"/>
    <col min="3843" max="3843" width="9.7109375" style="412" customWidth="1"/>
    <col min="3844" max="3844" width="17.28515625" style="412" bestFit="1" customWidth="1"/>
    <col min="3845" max="3845" width="14" style="412" customWidth="1"/>
    <col min="3846" max="3846" width="3.28515625" style="412" customWidth="1"/>
    <col min="3847" max="3847" width="8" style="412" customWidth="1"/>
    <col min="3848" max="3848" width="16.28515625" style="412" customWidth="1"/>
    <col min="3849" max="4096" width="9.140625" style="412"/>
    <col min="4097" max="4097" width="40.7109375" style="412" customWidth="1"/>
    <col min="4098" max="4098" width="15.7109375" style="412" bestFit="1" customWidth="1"/>
    <col min="4099" max="4099" width="9.7109375" style="412" customWidth="1"/>
    <col min="4100" max="4100" width="17.28515625" style="412" bestFit="1" customWidth="1"/>
    <col min="4101" max="4101" width="14" style="412" customWidth="1"/>
    <col min="4102" max="4102" width="3.28515625" style="412" customWidth="1"/>
    <col min="4103" max="4103" width="8" style="412" customWidth="1"/>
    <col min="4104" max="4104" width="16.28515625" style="412" customWidth="1"/>
    <col min="4105" max="4352" width="9.140625" style="412"/>
    <col min="4353" max="4353" width="40.7109375" style="412" customWidth="1"/>
    <col min="4354" max="4354" width="15.7109375" style="412" bestFit="1" customWidth="1"/>
    <col min="4355" max="4355" width="9.7109375" style="412" customWidth="1"/>
    <col min="4356" max="4356" width="17.28515625" style="412" bestFit="1" customWidth="1"/>
    <col min="4357" max="4357" width="14" style="412" customWidth="1"/>
    <col min="4358" max="4358" width="3.28515625" style="412" customWidth="1"/>
    <col min="4359" max="4359" width="8" style="412" customWidth="1"/>
    <col min="4360" max="4360" width="16.28515625" style="412" customWidth="1"/>
    <col min="4361" max="4608" width="9.140625" style="412"/>
    <col min="4609" max="4609" width="40.7109375" style="412" customWidth="1"/>
    <col min="4610" max="4610" width="15.7109375" style="412" bestFit="1" customWidth="1"/>
    <col min="4611" max="4611" width="9.7109375" style="412" customWidth="1"/>
    <col min="4612" max="4612" width="17.28515625" style="412" bestFit="1" customWidth="1"/>
    <col min="4613" max="4613" width="14" style="412" customWidth="1"/>
    <col min="4614" max="4614" width="3.28515625" style="412" customWidth="1"/>
    <col min="4615" max="4615" width="8" style="412" customWidth="1"/>
    <col min="4616" max="4616" width="16.28515625" style="412" customWidth="1"/>
    <col min="4617" max="4864" width="9.140625" style="412"/>
    <col min="4865" max="4865" width="40.7109375" style="412" customWidth="1"/>
    <col min="4866" max="4866" width="15.7109375" style="412" bestFit="1" customWidth="1"/>
    <col min="4867" max="4867" width="9.7109375" style="412" customWidth="1"/>
    <col min="4868" max="4868" width="17.28515625" style="412" bestFit="1" customWidth="1"/>
    <col min="4869" max="4869" width="14" style="412" customWidth="1"/>
    <col min="4870" max="4870" width="3.28515625" style="412" customWidth="1"/>
    <col min="4871" max="4871" width="8" style="412" customWidth="1"/>
    <col min="4872" max="4872" width="16.28515625" style="412" customWidth="1"/>
    <col min="4873" max="5120" width="9.140625" style="412"/>
    <col min="5121" max="5121" width="40.7109375" style="412" customWidth="1"/>
    <col min="5122" max="5122" width="15.7109375" style="412" bestFit="1" customWidth="1"/>
    <col min="5123" max="5123" width="9.7109375" style="412" customWidth="1"/>
    <col min="5124" max="5124" width="17.28515625" style="412" bestFit="1" customWidth="1"/>
    <col min="5125" max="5125" width="14" style="412" customWidth="1"/>
    <col min="5126" max="5126" width="3.28515625" style="412" customWidth="1"/>
    <col min="5127" max="5127" width="8" style="412" customWidth="1"/>
    <col min="5128" max="5128" width="16.28515625" style="412" customWidth="1"/>
    <col min="5129" max="5376" width="9.140625" style="412"/>
    <col min="5377" max="5377" width="40.7109375" style="412" customWidth="1"/>
    <col min="5378" max="5378" width="15.7109375" style="412" bestFit="1" customWidth="1"/>
    <col min="5379" max="5379" width="9.7109375" style="412" customWidth="1"/>
    <col min="5380" max="5380" width="17.28515625" style="412" bestFit="1" customWidth="1"/>
    <col min="5381" max="5381" width="14" style="412" customWidth="1"/>
    <col min="5382" max="5382" width="3.28515625" style="412" customWidth="1"/>
    <col min="5383" max="5383" width="8" style="412" customWidth="1"/>
    <col min="5384" max="5384" width="16.28515625" style="412" customWidth="1"/>
    <col min="5385" max="5632" width="9.140625" style="412"/>
    <col min="5633" max="5633" width="40.7109375" style="412" customWidth="1"/>
    <col min="5634" max="5634" width="15.7109375" style="412" bestFit="1" customWidth="1"/>
    <col min="5635" max="5635" width="9.7109375" style="412" customWidth="1"/>
    <col min="5636" max="5636" width="17.28515625" style="412" bestFit="1" customWidth="1"/>
    <col min="5637" max="5637" width="14" style="412" customWidth="1"/>
    <col min="5638" max="5638" width="3.28515625" style="412" customWidth="1"/>
    <col min="5639" max="5639" width="8" style="412" customWidth="1"/>
    <col min="5640" max="5640" width="16.28515625" style="412" customWidth="1"/>
    <col min="5641" max="5888" width="9.140625" style="412"/>
    <col min="5889" max="5889" width="40.7109375" style="412" customWidth="1"/>
    <col min="5890" max="5890" width="15.7109375" style="412" bestFit="1" customWidth="1"/>
    <col min="5891" max="5891" width="9.7109375" style="412" customWidth="1"/>
    <col min="5892" max="5892" width="17.28515625" style="412" bestFit="1" customWidth="1"/>
    <col min="5893" max="5893" width="14" style="412" customWidth="1"/>
    <col min="5894" max="5894" width="3.28515625" style="412" customWidth="1"/>
    <col min="5895" max="5895" width="8" style="412" customWidth="1"/>
    <col min="5896" max="5896" width="16.28515625" style="412" customWidth="1"/>
    <col min="5897" max="6144" width="9.140625" style="412"/>
    <col min="6145" max="6145" width="40.7109375" style="412" customWidth="1"/>
    <col min="6146" max="6146" width="15.7109375" style="412" bestFit="1" customWidth="1"/>
    <col min="6147" max="6147" width="9.7109375" style="412" customWidth="1"/>
    <col min="6148" max="6148" width="17.28515625" style="412" bestFit="1" customWidth="1"/>
    <col min="6149" max="6149" width="14" style="412" customWidth="1"/>
    <col min="6150" max="6150" width="3.28515625" style="412" customWidth="1"/>
    <col min="6151" max="6151" width="8" style="412" customWidth="1"/>
    <col min="6152" max="6152" width="16.28515625" style="412" customWidth="1"/>
    <col min="6153" max="6400" width="9.140625" style="412"/>
    <col min="6401" max="6401" width="40.7109375" style="412" customWidth="1"/>
    <col min="6402" max="6402" width="15.7109375" style="412" bestFit="1" customWidth="1"/>
    <col min="6403" max="6403" width="9.7109375" style="412" customWidth="1"/>
    <col min="6404" max="6404" width="17.28515625" style="412" bestFit="1" customWidth="1"/>
    <col min="6405" max="6405" width="14" style="412" customWidth="1"/>
    <col min="6406" max="6406" width="3.28515625" style="412" customWidth="1"/>
    <col min="6407" max="6407" width="8" style="412" customWidth="1"/>
    <col min="6408" max="6408" width="16.28515625" style="412" customWidth="1"/>
    <col min="6409" max="6656" width="9.140625" style="412"/>
    <col min="6657" max="6657" width="40.7109375" style="412" customWidth="1"/>
    <col min="6658" max="6658" width="15.7109375" style="412" bestFit="1" customWidth="1"/>
    <col min="6659" max="6659" width="9.7109375" style="412" customWidth="1"/>
    <col min="6660" max="6660" width="17.28515625" style="412" bestFit="1" customWidth="1"/>
    <col min="6661" max="6661" width="14" style="412" customWidth="1"/>
    <col min="6662" max="6662" width="3.28515625" style="412" customWidth="1"/>
    <col min="6663" max="6663" width="8" style="412" customWidth="1"/>
    <col min="6664" max="6664" width="16.28515625" style="412" customWidth="1"/>
    <col min="6665" max="6912" width="9.140625" style="412"/>
    <col min="6913" max="6913" width="40.7109375" style="412" customWidth="1"/>
    <col min="6914" max="6914" width="15.7109375" style="412" bestFit="1" customWidth="1"/>
    <col min="6915" max="6915" width="9.7109375" style="412" customWidth="1"/>
    <col min="6916" max="6916" width="17.28515625" style="412" bestFit="1" customWidth="1"/>
    <col min="6917" max="6917" width="14" style="412" customWidth="1"/>
    <col min="6918" max="6918" width="3.28515625" style="412" customWidth="1"/>
    <col min="6919" max="6919" width="8" style="412" customWidth="1"/>
    <col min="6920" max="6920" width="16.28515625" style="412" customWidth="1"/>
    <col min="6921" max="7168" width="9.140625" style="412"/>
    <col min="7169" max="7169" width="40.7109375" style="412" customWidth="1"/>
    <col min="7170" max="7170" width="15.7109375" style="412" bestFit="1" customWidth="1"/>
    <col min="7171" max="7171" width="9.7109375" style="412" customWidth="1"/>
    <col min="7172" max="7172" width="17.28515625" style="412" bestFit="1" customWidth="1"/>
    <col min="7173" max="7173" width="14" style="412" customWidth="1"/>
    <col min="7174" max="7174" width="3.28515625" style="412" customWidth="1"/>
    <col min="7175" max="7175" width="8" style="412" customWidth="1"/>
    <col min="7176" max="7176" width="16.28515625" style="412" customWidth="1"/>
    <col min="7177" max="7424" width="9.140625" style="412"/>
    <col min="7425" max="7425" width="40.7109375" style="412" customWidth="1"/>
    <col min="7426" max="7426" width="15.7109375" style="412" bestFit="1" customWidth="1"/>
    <col min="7427" max="7427" width="9.7109375" style="412" customWidth="1"/>
    <col min="7428" max="7428" width="17.28515625" style="412" bestFit="1" customWidth="1"/>
    <col min="7429" max="7429" width="14" style="412" customWidth="1"/>
    <col min="7430" max="7430" width="3.28515625" style="412" customWidth="1"/>
    <col min="7431" max="7431" width="8" style="412" customWidth="1"/>
    <col min="7432" max="7432" width="16.28515625" style="412" customWidth="1"/>
    <col min="7433" max="7680" width="9.140625" style="412"/>
    <col min="7681" max="7681" width="40.7109375" style="412" customWidth="1"/>
    <col min="7682" max="7682" width="15.7109375" style="412" bestFit="1" customWidth="1"/>
    <col min="7683" max="7683" width="9.7109375" style="412" customWidth="1"/>
    <col min="7684" max="7684" width="17.28515625" style="412" bestFit="1" customWidth="1"/>
    <col min="7685" max="7685" width="14" style="412" customWidth="1"/>
    <col min="7686" max="7686" width="3.28515625" style="412" customWidth="1"/>
    <col min="7687" max="7687" width="8" style="412" customWidth="1"/>
    <col min="7688" max="7688" width="16.28515625" style="412" customWidth="1"/>
    <col min="7689" max="7936" width="9.140625" style="412"/>
    <col min="7937" max="7937" width="40.7109375" style="412" customWidth="1"/>
    <col min="7938" max="7938" width="15.7109375" style="412" bestFit="1" customWidth="1"/>
    <col min="7939" max="7939" width="9.7109375" style="412" customWidth="1"/>
    <col min="7940" max="7940" width="17.28515625" style="412" bestFit="1" customWidth="1"/>
    <col min="7941" max="7941" width="14" style="412" customWidth="1"/>
    <col min="7942" max="7942" width="3.28515625" style="412" customWidth="1"/>
    <col min="7943" max="7943" width="8" style="412" customWidth="1"/>
    <col min="7944" max="7944" width="16.28515625" style="412" customWidth="1"/>
    <col min="7945" max="8192" width="9.140625" style="412"/>
    <col min="8193" max="8193" width="40.7109375" style="412" customWidth="1"/>
    <col min="8194" max="8194" width="15.7109375" style="412" bestFit="1" customWidth="1"/>
    <col min="8195" max="8195" width="9.7109375" style="412" customWidth="1"/>
    <col min="8196" max="8196" width="17.28515625" style="412" bestFit="1" customWidth="1"/>
    <col min="8197" max="8197" width="14" style="412" customWidth="1"/>
    <col min="8198" max="8198" width="3.28515625" style="412" customWidth="1"/>
    <col min="8199" max="8199" width="8" style="412" customWidth="1"/>
    <col min="8200" max="8200" width="16.28515625" style="412" customWidth="1"/>
    <col min="8201" max="8448" width="9.140625" style="412"/>
    <col min="8449" max="8449" width="40.7109375" style="412" customWidth="1"/>
    <col min="8450" max="8450" width="15.7109375" style="412" bestFit="1" customWidth="1"/>
    <col min="8451" max="8451" width="9.7109375" style="412" customWidth="1"/>
    <col min="8452" max="8452" width="17.28515625" style="412" bestFit="1" customWidth="1"/>
    <col min="8453" max="8453" width="14" style="412" customWidth="1"/>
    <col min="8454" max="8454" width="3.28515625" style="412" customWidth="1"/>
    <col min="8455" max="8455" width="8" style="412" customWidth="1"/>
    <col min="8456" max="8456" width="16.28515625" style="412" customWidth="1"/>
    <col min="8457" max="8704" width="9.140625" style="412"/>
    <col min="8705" max="8705" width="40.7109375" style="412" customWidth="1"/>
    <col min="8706" max="8706" width="15.7109375" style="412" bestFit="1" customWidth="1"/>
    <col min="8707" max="8707" width="9.7109375" style="412" customWidth="1"/>
    <col min="8708" max="8708" width="17.28515625" style="412" bestFit="1" customWidth="1"/>
    <col min="8709" max="8709" width="14" style="412" customWidth="1"/>
    <col min="8710" max="8710" width="3.28515625" style="412" customWidth="1"/>
    <col min="8711" max="8711" width="8" style="412" customWidth="1"/>
    <col min="8712" max="8712" width="16.28515625" style="412" customWidth="1"/>
    <col min="8713" max="8960" width="9.140625" style="412"/>
    <col min="8961" max="8961" width="40.7109375" style="412" customWidth="1"/>
    <col min="8962" max="8962" width="15.7109375" style="412" bestFit="1" customWidth="1"/>
    <col min="8963" max="8963" width="9.7109375" style="412" customWidth="1"/>
    <col min="8964" max="8964" width="17.28515625" style="412" bestFit="1" customWidth="1"/>
    <col min="8965" max="8965" width="14" style="412" customWidth="1"/>
    <col min="8966" max="8966" width="3.28515625" style="412" customWidth="1"/>
    <col min="8967" max="8967" width="8" style="412" customWidth="1"/>
    <col min="8968" max="8968" width="16.28515625" style="412" customWidth="1"/>
    <col min="8969" max="9216" width="9.140625" style="412"/>
    <col min="9217" max="9217" width="40.7109375" style="412" customWidth="1"/>
    <col min="9218" max="9218" width="15.7109375" style="412" bestFit="1" customWidth="1"/>
    <col min="9219" max="9219" width="9.7109375" style="412" customWidth="1"/>
    <col min="9220" max="9220" width="17.28515625" style="412" bestFit="1" customWidth="1"/>
    <col min="9221" max="9221" width="14" style="412" customWidth="1"/>
    <col min="9222" max="9222" width="3.28515625" style="412" customWidth="1"/>
    <col min="9223" max="9223" width="8" style="412" customWidth="1"/>
    <col min="9224" max="9224" width="16.28515625" style="412" customWidth="1"/>
    <col min="9225" max="9472" width="9.140625" style="412"/>
    <col min="9473" max="9473" width="40.7109375" style="412" customWidth="1"/>
    <col min="9474" max="9474" width="15.7109375" style="412" bestFit="1" customWidth="1"/>
    <col min="9475" max="9475" width="9.7109375" style="412" customWidth="1"/>
    <col min="9476" max="9476" width="17.28515625" style="412" bestFit="1" customWidth="1"/>
    <col min="9477" max="9477" width="14" style="412" customWidth="1"/>
    <col min="9478" max="9478" width="3.28515625" style="412" customWidth="1"/>
    <col min="9479" max="9479" width="8" style="412" customWidth="1"/>
    <col min="9480" max="9480" width="16.28515625" style="412" customWidth="1"/>
    <col min="9481" max="9728" width="9.140625" style="412"/>
    <col min="9729" max="9729" width="40.7109375" style="412" customWidth="1"/>
    <col min="9730" max="9730" width="15.7109375" style="412" bestFit="1" customWidth="1"/>
    <col min="9731" max="9731" width="9.7109375" style="412" customWidth="1"/>
    <col min="9732" max="9732" width="17.28515625" style="412" bestFit="1" customWidth="1"/>
    <col min="9733" max="9733" width="14" style="412" customWidth="1"/>
    <col min="9734" max="9734" width="3.28515625" style="412" customWidth="1"/>
    <col min="9735" max="9735" width="8" style="412" customWidth="1"/>
    <col min="9736" max="9736" width="16.28515625" style="412" customWidth="1"/>
    <col min="9737" max="9984" width="9.140625" style="412"/>
    <col min="9985" max="9985" width="40.7109375" style="412" customWidth="1"/>
    <col min="9986" max="9986" width="15.7109375" style="412" bestFit="1" customWidth="1"/>
    <col min="9987" max="9987" width="9.7109375" style="412" customWidth="1"/>
    <col min="9988" max="9988" width="17.28515625" style="412" bestFit="1" customWidth="1"/>
    <col min="9989" max="9989" width="14" style="412" customWidth="1"/>
    <col min="9990" max="9990" width="3.28515625" style="412" customWidth="1"/>
    <col min="9991" max="9991" width="8" style="412" customWidth="1"/>
    <col min="9992" max="9992" width="16.28515625" style="412" customWidth="1"/>
    <col min="9993" max="10240" width="9.140625" style="412"/>
    <col min="10241" max="10241" width="40.7109375" style="412" customWidth="1"/>
    <col min="10242" max="10242" width="15.7109375" style="412" bestFit="1" customWidth="1"/>
    <col min="10243" max="10243" width="9.7109375" style="412" customWidth="1"/>
    <col min="10244" max="10244" width="17.28515625" style="412" bestFit="1" customWidth="1"/>
    <col min="10245" max="10245" width="14" style="412" customWidth="1"/>
    <col min="10246" max="10246" width="3.28515625" style="412" customWidth="1"/>
    <col min="10247" max="10247" width="8" style="412" customWidth="1"/>
    <col min="10248" max="10248" width="16.28515625" style="412" customWidth="1"/>
    <col min="10249" max="10496" width="9.140625" style="412"/>
    <col min="10497" max="10497" width="40.7109375" style="412" customWidth="1"/>
    <col min="10498" max="10498" width="15.7109375" style="412" bestFit="1" customWidth="1"/>
    <col min="10499" max="10499" width="9.7109375" style="412" customWidth="1"/>
    <col min="10500" max="10500" width="17.28515625" style="412" bestFit="1" customWidth="1"/>
    <col min="10501" max="10501" width="14" style="412" customWidth="1"/>
    <col min="10502" max="10502" width="3.28515625" style="412" customWidth="1"/>
    <col min="10503" max="10503" width="8" style="412" customWidth="1"/>
    <col min="10504" max="10504" width="16.28515625" style="412" customWidth="1"/>
    <col min="10505" max="10752" width="9.140625" style="412"/>
    <col min="10753" max="10753" width="40.7109375" style="412" customWidth="1"/>
    <col min="10754" max="10754" width="15.7109375" style="412" bestFit="1" customWidth="1"/>
    <col min="10755" max="10755" width="9.7109375" style="412" customWidth="1"/>
    <col min="10756" max="10756" width="17.28515625" style="412" bestFit="1" customWidth="1"/>
    <col min="10757" max="10757" width="14" style="412" customWidth="1"/>
    <col min="10758" max="10758" width="3.28515625" style="412" customWidth="1"/>
    <col min="10759" max="10759" width="8" style="412" customWidth="1"/>
    <col min="10760" max="10760" width="16.28515625" style="412" customWidth="1"/>
    <col min="10761" max="11008" width="9.140625" style="412"/>
    <col min="11009" max="11009" width="40.7109375" style="412" customWidth="1"/>
    <col min="11010" max="11010" width="15.7109375" style="412" bestFit="1" customWidth="1"/>
    <col min="11011" max="11011" width="9.7109375" style="412" customWidth="1"/>
    <col min="11012" max="11012" width="17.28515625" style="412" bestFit="1" customWidth="1"/>
    <col min="11013" max="11013" width="14" style="412" customWidth="1"/>
    <col min="11014" max="11014" width="3.28515625" style="412" customWidth="1"/>
    <col min="11015" max="11015" width="8" style="412" customWidth="1"/>
    <col min="11016" max="11016" width="16.28515625" style="412" customWidth="1"/>
    <col min="11017" max="11264" width="9.140625" style="412"/>
    <col min="11265" max="11265" width="40.7109375" style="412" customWidth="1"/>
    <col min="11266" max="11266" width="15.7109375" style="412" bestFit="1" customWidth="1"/>
    <col min="11267" max="11267" width="9.7109375" style="412" customWidth="1"/>
    <col min="11268" max="11268" width="17.28515625" style="412" bestFit="1" customWidth="1"/>
    <col min="11269" max="11269" width="14" style="412" customWidth="1"/>
    <col min="11270" max="11270" width="3.28515625" style="412" customWidth="1"/>
    <col min="11271" max="11271" width="8" style="412" customWidth="1"/>
    <col min="11272" max="11272" width="16.28515625" style="412" customWidth="1"/>
    <col min="11273" max="11520" width="9.140625" style="412"/>
    <col min="11521" max="11521" width="40.7109375" style="412" customWidth="1"/>
    <col min="11522" max="11522" width="15.7109375" style="412" bestFit="1" customWidth="1"/>
    <col min="11523" max="11523" width="9.7109375" style="412" customWidth="1"/>
    <col min="11524" max="11524" width="17.28515625" style="412" bestFit="1" customWidth="1"/>
    <col min="11525" max="11525" width="14" style="412" customWidth="1"/>
    <col min="11526" max="11526" width="3.28515625" style="412" customWidth="1"/>
    <col min="11527" max="11527" width="8" style="412" customWidth="1"/>
    <col min="11528" max="11528" width="16.28515625" style="412" customWidth="1"/>
    <col min="11529" max="11776" width="9.140625" style="412"/>
    <col min="11777" max="11777" width="40.7109375" style="412" customWidth="1"/>
    <col min="11778" max="11778" width="15.7109375" style="412" bestFit="1" customWidth="1"/>
    <col min="11779" max="11779" width="9.7109375" style="412" customWidth="1"/>
    <col min="11780" max="11780" width="17.28515625" style="412" bestFit="1" customWidth="1"/>
    <col min="11781" max="11781" width="14" style="412" customWidth="1"/>
    <col min="11782" max="11782" width="3.28515625" style="412" customWidth="1"/>
    <col min="11783" max="11783" width="8" style="412" customWidth="1"/>
    <col min="11784" max="11784" width="16.28515625" style="412" customWidth="1"/>
    <col min="11785" max="12032" width="9.140625" style="412"/>
    <col min="12033" max="12033" width="40.7109375" style="412" customWidth="1"/>
    <col min="12034" max="12034" width="15.7109375" style="412" bestFit="1" customWidth="1"/>
    <col min="12035" max="12035" width="9.7109375" style="412" customWidth="1"/>
    <col min="12036" max="12036" width="17.28515625" style="412" bestFit="1" customWidth="1"/>
    <col min="12037" max="12037" width="14" style="412" customWidth="1"/>
    <col min="12038" max="12038" width="3.28515625" style="412" customWidth="1"/>
    <col min="12039" max="12039" width="8" style="412" customWidth="1"/>
    <col min="12040" max="12040" width="16.28515625" style="412" customWidth="1"/>
    <col min="12041" max="12288" width="9.140625" style="412"/>
    <col min="12289" max="12289" width="40.7109375" style="412" customWidth="1"/>
    <col min="12290" max="12290" width="15.7109375" style="412" bestFit="1" customWidth="1"/>
    <col min="12291" max="12291" width="9.7109375" style="412" customWidth="1"/>
    <col min="12292" max="12292" width="17.28515625" style="412" bestFit="1" customWidth="1"/>
    <col min="12293" max="12293" width="14" style="412" customWidth="1"/>
    <col min="12294" max="12294" width="3.28515625" style="412" customWidth="1"/>
    <col min="12295" max="12295" width="8" style="412" customWidth="1"/>
    <col min="12296" max="12296" width="16.28515625" style="412" customWidth="1"/>
    <col min="12297" max="12544" width="9.140625" style="412"/>
    <col min="12545" max="12545" width="40.7109375" style="412" customWidth="1"/>
    <col min="12546" max="12546" width="15.7109375" style="412" bestFit="1" customWidth="1"/>
    <col min="12547" max="12547" width="9.7109375" style="412" customWidth="1"/>
    <col min="12548" max="12548" width="17.28515625" style="412" bestFit="1" customWidth="1"/>
    <col min="12549" max="12549" width="14" style="412" customWidth="1"/>
    <col min="12550" max="12550" width="3.28515625" style="412" customWidth="1"/>
    <col min="12551" max="12551" width="8" style="412" customWidth="1"/>
    <col min="12552" max="12552" width="16.28515625" style="412" customWidth="1"/>
    <col min="12553" max="12800" width="9.140625" style="412"/>
    <col min="12801" max="12801" width="40.7109375" style="412" customWidth="1"/>
    <col min="12802" max="12802" width="15.7109375" style="412" bestFit="1" customWidth="1"/>
    <col min="12803" max="12803" width="9.7109375" style="412" customWidth="1"/>
    <col min="12804" max="12804" width="17.28515625" style="412" bestFit="1" customWidth="1"/>
    <col min="12805" max="12805" width="14" style="412" customWidth="1"/>
    <col min="12806" max="12806" width="3.28515625" style="412" customWidth="1"/>
    <col min="12807" max="12807" width="8" style="412" customWidth="1"/>
    <col min="12808" max="12808" width="16.28515625" style="412" customWidth="1"/>
    <col min="12809" max="13056" width="9.140625" style="412"/>
    <col min="13057" max="13057" width="40.7109375" style="412" customWidth="1"/>
    <col min="13058" max="13058" width="15.7109375" style="412" bestFit="1" customWidth="1"/>
    <col min="13059" max="13059" width="9.7109375" style="412" customWidth="1"/>
    <col min="13060" max="13060" width="17.28515625" style="412" bestFit="1" customWidth="1"/>
    <col min="13061" max="13061" width="14" style="412" customWidth="1"/>
    <col min="13062" max="13062" width="3.28515625" style="412" customWidth="1"/>
    <col min="13063" max="13063" width="8" style="412" customWidth="1"/>
    <col min="13064" max="13064" width="16.28515625" style="412" customWidth="1"/>
    <col min="13065" max="13312" width="9.140625" style="412"/>
    <col min="13313" max="13313" width="40.7109375" style="412" customWidth="1"/>
    <col min="13314" max="13314" width="15.7109375" style="412" bestFit="1" customWidth="1"/>
    <col min="13315" max="13315" width="9.7109375" style="412" customWidth="1"/>
    <col min="13316" max="13316" width="17.28515625" style="412" bestFit="1" customWidth="1"/>
    <col min="13317" max="13317" width="14" style="412" customWidth="1"/>
    <col min="13318" max="13318" width="3.28515625" style="412" customWidth="1"/>
    <col min="13319" max="13319" width="8" style="412" customWidth="1"/>
    <col min="13320" max="13320" width="16.28515625" style="412" customWidth="1"/>
    <col min="13321" max="13568" width="9.140625" style="412"/>
    <col min="13569" max="13569" width="40.7109375" style="412" customWidth="1"/>
    <col min="13570" max="13570" width="15.7109375" style="412" bestFit="1" customWidth="1"/>
    <col min="13571" max="13571" width="9.7109375" style="412" customWidth="1"/>
    <col min="13572" max="13572" width="17.28515625" style="412" bestFit="1" customWidth="1"/>
    <col min="13573" max="13573" width="14" style="412" customWidth="1"/>
    <col min="13574" max="13574" width="3.28515625" style="412" customWidth="1"/>
    <col min="13575" max="13575" width="8" style="412" customWidth="1"/>
    <col min="13576" max="13576" width="16.28515625" style="412" customWidth="1"/>
    <col min="13577" max="13824" width="9.140625" style="412"/>
    <col min="13825" max="13825" width="40.7109375" style="412" customWidth="1"/>
    <col min="13826" max="13826" width="15.7109375" style="412" bestFit="1" customWidth="1"/>
    <col min="13827" max="13827" width="9.7109375" style="412" customWidth="1"/>
    <col min="13828" max="13828" width="17.28515625" style="412" bestFit="1" customWidth="1"/>
    <col min="13829" max="13829" width="14" style="412" customWidth="1"/>
    <col min="13830" max="13830" width="3.28515625" style="412" customWidth="1"/>
    <col min="13831" max="13831" width="8" style="412" customWidth="1"/>
    <col min="13832" max="13832" width="16.28515625" style="412" customWidth="1"/>
    <col min="13833" max="14080" width="9.140625" style="412"/>
    <col min="14081" max="14081" width="40.7109375" style="412" customWidth="1"/>
    <col min="14082" max="14082" width="15.7109375" style="412" bestFit="1" customWidth="1"/>
    <col min="14083" max="14083" width="9.7109375" style="412" customWidth="1"/>
    <col min="14084" max="14084" width="17.28515625" style="412" bestFit="1" customWidth="1"/>
    <col min="14085" max="14085" width="14" style="412" customWidth="1"/>
    <col min="14086" max="14086" width="3.28515625" style="412" customWidth="1"/>
    <col min="14087" max="14087" width="8" style="412" customWidth="1"/>
    <col min="14088" max="14088" width="16.28515625" style="412" customWidth="1"/>
    <col min="14089" max="14336" width="9.140625" style="412"/>
    <col min="14337" max="14337" width="40.7109375" style="412" customWidth="1"/>
    <col min="14338" max="14338" width="15.7109375" style="412" bestFit="1" customWidth="1"/>
    <col min="14339" max="14339" width="9.7109375" style="412" customWidth="1"/>
    <col min="14340" max="14340" width="17.28515625" style="412" bestFit="1" customWidth="1"/>
    <col min="14341" max="14341" width="14" style="412" customWidth="1"/>
    <col min="14342" max="14342" width="3.28515625" style="412" customWidth="1"/>
    <col min="14343" max="14343" width="8" style="412" customWidth="1"/>
    <col min="14344" max="14344" width="16.28515625" style="412" customWidth="1"/>
    <col min="14345" max="14592" width="9.140625" style="412"/>
    <col min="14593" max="14593" width="40.7109375" style="412" customWidth="1"/>
    <col min="14594" max="14594" width="15.7109375" style="412" bestFit="1" customWidth="1"/>
    <col min="14595" max="14595" width="9.7109375" style="412" customWidth="1"/>
    <col min="14596" max="14596" width="17.28515625" style="412" bestFit="1" customWidth="1"/>
    <col min="14597" max="14597" width="14" style="412" customWidth="1"/>
    <col min="14598" max="14598" width="3.28515625" style="412" customWidth="1"/>
    <col min="14599" max="14599" width="8" style="412" customWidth="1"/>
    <col min="14600" max="14600" width="16.28515625" style="412" customWidth="1"/>
    <col min="14601" max="14848" width="9.140625" style="412"/>
    <col min="14849" max="14849" width="40.7109375" style="412" customWidth="1"/>
    <col min="14850" max="14850" width="15.7109375" style="412" bestFit="1" customWidth="1"/>
    <col min="14851" max="14851" width="9.7109375" style="412" customWidth="1"/>
    <col min="14852" max="14852" width="17.28515625" style="412" bestFit="1" customWidth="1"/>
    <col min="14853" max="14853" width="14" style="412" customWidth="1"/>
    <col min="14854" max="14854" width="3.28515625" style="412" customWidth="1"/>
    <col min="14855" max="14855" width="8" style="412" customWidth="1"/>
    <col min="14856" max="14856" width="16.28515625" style="412" customWidth="1"/>
    <col min="14857" max="15104" width="9.140625" style="412"/>
    <col min="15105" max="15105" width="40.7109375" style="412" customWidth="1"/>
    <col min="15106" max="15106" width="15.7109375" style="412" bestFit="1" customWidth="1"/>
    <col min="15107" max="15107" width="9.7109375" style="412" customWidth="1"/>
    <col min="15108" max="15108" width="17.28515625" style="412" bestFit="1" customWidth="1"/>
    <col min="15109" max="15109" width="14" style="412" customWidth="1"/>
    <col min="15110" max="15110" width="3.28515625" style="412" customWidth="1"/>
    <col min="15111" max="15111" width="8" style="412" customWidth="1"/>
    <col min="15112" max="15112" width="16.28515625" style="412" customWidth="1"/>
    <col min="15113" max="15360" width="9.140625" style="412"/>
    <col min="15361" max="15361" width="40.7109375" style="412" customWidth="1"/>
    <col min="15362" max="15362" width="15.7109375" style="412" bestFit="1" customWidth="1"/>
    <col min="15363" max="15363" width="9.7109375" style="412" customWidth="1"/>
    <col min="15364" max="15364" width="17.28515625" style="412" bestFit="1" customWidth="1"/>
    <col min="15365" max="15365" width="14" style="412" customWidth="1"/>
    <col min="15366" max="15366" width="3.28515625" style="412" customWidth="1"/>
    <col min="15367" max="15367" width="8" style="412" customWidth="1"/>
    <col min="15368" max="15368" width="16.28515625" style="412" customWidth="1"/>
    <col min="15369" max="15616" width="9.140625" style="412"/>
    <col min="15617" max="15617" width="40.7109375" style="412" customWidth="1"/>
    <col min="15618" max="15618" width="15.7109375" style="412" bestFit="1" customWidth="1"/>
    <col min="15619" max="15619" width="9.7109375" style="412" customWidth="1"/>
    <col min="15620" max="15620" width="17.28515625" style="412" bestFit="1" customWidth="1"/>
    <col min="15621" max="15621" width="14" style="412" customWidth="1"/>
    <col min="15622" max="15622" width="3.28515625" style="412" customWidth="1"/>
    <col min="15623" max="15623" width="8" style="412" customWidth="1"/>
    <col min="15624" max="15624" width="16.28515625" style="412" customWidth="1"/>
    <col min="15625" max="15872" width="9.140625" style="412"/>
    <col min="15873" max="15873" width="40.7109375" style="412" customWidth="1"/>
    <col min="15874" max="15874" width="15.7109375" style="412" bestFit="1" customWidth="1"/>
    <col min="15875" max="15875" width="9.7109375" style="412" customWidth="1"/>
    <col min="15876" max="15876" width="17.28515625" style="412" bestFit="1" customWidth="1"/>
    <col min="15877" max="15877" width="14" style="412" customWidth="1"/>
    <col min="15878" max="15878" width="3.28515625" style="412" customWidth="1"/>
    <col min="15879" max="15879" width="8" style="412" customWidth="1"/>
    <col min="15880" max="15880" width="16.28515625" style="412" customWidth="1"/>
    <col min="15881" max="16128" width="9.140625" style="412"/>
    <col min="16129" max="16129" width="40.7109375" style="412" customWidth="1"/>
    <col min="16130" max="16130" width="15.7109375" style="412" bestFit="1" customWidth="1"/>
    <col min="16131" max="16131" width="9.7109375" style="412" customWidth="1"/>
    <col min="16132" max="16132" width="17.28515625" style="412" bestFit="1" customWidth="1"/>
    <col min="16133" max="16133" width="14" style="412" customWidth="1"/>
    <col min="16134" max="16134" width="3.28515625" style="412" customWidth="1"/>
    <col min="16135" max="16135" width="8" style="412" customWidth="1"/>
    <col min="16136" max="16136" width="16.28515625" style="412" customWidth="1"/>
    <col min="16137" max="16384" width="9.140625" style="412"/>
  </cols>
  <sheetData>
    <row r="1" spans="1:10">
      <c r="A1" s="441" t="s">
        <v>564</v>
      </c>
    </row>
    <row r="2" spans="1:10">
      <c r="A2" s="443" t="s">
        <v>578</v>
      </c>
    </row>
    <row r="3" spans="1:10">
      <c r="A3" s="709" t="s">
        <v>785</v>
      </c>
    </row>
    <row r="5" spans="1:10" ht="51">
      <c r="A5" s="444" t="s">
        <v>579</v>
      </c>
      <c r="B5" s="444" t="s">
        <v>580</v>
      </c>
      <c r="C5" s="445" t="s">
        <v>581</v>
      </c>
      <c r="D5" s="446" t="s">
        <v>582</v>
      </c>
      <c r="E5" s="446"/>
      <c r="F5" s="446"/>
      <c r="G5" s="447" t="s">
        <v>583</v>
      </c>
      <c r="H5" s="446" t="s">
        <v>584</v>
      </c>
    </row>
    <row r="6" spans="1:10" ht="15">
      <c r="B6" s="448"/>
      <c r="D6" s="448"/>
      <c r="E6" s="449"/>
      <c r="F6" s="448"/>
      <c r="G6" s="450"/>
      <c r="H6" s="451"/>
    </row>
    <row r="7" spans="1:10" ht="15" customHeight="1">
      <c r="A7" s="452" t="s">
        <v>585</v>
      </c>
    </row>
    <row r="8" spans="1:10" ht="15">
      <c r="A8" s="412" t="s">
        <v>586</v>
      </c>
      <c r="B8" s="453">
        <v>50000000</v>
      </c>
      <c r="C8" s="425">
        <v>12</v>
      </c>
      <c r="D8" s="453">
        <f>B8*C8</f>
        <v>600000000</v>
      </c>
      <c r="E8" s="454">
        <f t="shared" ref="E8:E33" si="0">D8/D$34</f>
        <v>2.8329282368911714E-2</v>
      </c>
      <c r="F8" s="453"/>
      <c r="G8" s="455">
        <v>7.1199999999999999E-2</v>
      </c>
      <c r="H8" s="456">
        <f>E8*G8</f>
        <v>2.017044904666514E-3</v>
      </c>
      <c r="I8" s="413"/>
      <c r="J8" s="456"/>
    </row>
    <row r="9" spans="1:10" ht="15">
      <c r="A9" s="412" t="s">
        <v>587</v>
      </c>
      <c r="B9" s="453">
        <f>70000000+30000000</f>
        <v>100000000</v>
      </c>
      <c r="C9" s="412">
        <f>C$8</f>
        <v>12</v>
      </c>
      <c r="D9" s="453">
        <f t="shared" ref="D9:D33" si="1">B9*C9</f>
        <v>1200000000</v>
      </c>
      <c r="E9" s="454">
        <f t="shared" si="0"/>
        <v>5.6658564737823429E-2</v>
      </c>
      <c r="F9" s="453"/>
      <c r="G9" s="455">
        <v>6.8510000000000001E-2</v>
      </c>
      <c r="H9" s="456">
        <f t="shared" ref="H9:H33" si="2">E9*G9</f>
        <v>3.8816782701882832E-3</v>
      </c>
      <c r="I9" s="413"/>
      <c r="J9" s="456"/>
    </row>
    <row r="10" spans="1:10" ht="15">
      <c r="A10" s="412" t="s">
        <v>588</v>
      </c>
      <c r="B10" s="453">
        <v>100000000</v>
      </c>
      <c r="C10" s="412">
        <f t="shared" ref="C10:C21" si="3">C$8</f>
        <v>12</v>
      </c>
      <c r="D10" s="453">
        <f t="shared" si="1"/>
        <v>1200000000</v>
      </c>
      <c r="E10" s="454">
        <f t="shared" si="0"/>
        <v>5.6658564737823429E-2</v>
      </c>
      <c r="F10" s="453"/>
      <c r="G10" s="455">
        <v>5.0709999999999998E-2</v>
      </c>
      <c r="H10" s="456">
        <f t="shared" si="2"/>
        <v>2.873155817855026E-3</v>
      </c>
      <c r="I10" s="413"/>
      <c r="J10" s="456"/>
    </row>
    <row r="11" spans="1:10" ht="15">
      <c r="A11" s="412" t="s">
        <v>589</v>
      </c>
      <c r="B11" s="453">
        <v>100000000</v>
      </c>
      <c r="C11" s="412">
        <f t="shared" si="3"/>
        <v>12</v>
      </c>
      <c r="D11" s="453">
        <f t="shared" si="1"/>
        <v>1200000000</v>
      </c>
      <c r="E11" s="454">
        <f t="shared" si="0"/>
        <v>5.6658564737823429E-2</v>
      </c>
      <c r="F11" s="453"/>
      <c r="G11" s="455">
        <v>5.638E-2</v>
      </c>
      <c r="H11" s="456">
        <f t="shared" si="2"/>
        <v>3.1944098799184849E-3</v>
      </c>
      <c r="I11" s="413"/>
      <c r="J11" s="456"/>
    </row>
    <row r="12" spans="1:10" ht="15">
      <c r="A12" s="412" t="s">
        <v>590</v>
      </c>
      <c r="B12" s="453">
        <v>250000000</v>
      </c>
      <c r="C12" s="412">
        <f t="shared" si="3"/>
        <v>12</v>
      </c>
      <c r="D12" s="453">
        <f t="shared" si="1"/>
        <v>3000000000</v>
      </c>
      <c r="E12" s="454">
        <f t="shared" si="0"/>
        <v>0.14164641184455856</v>
      </c>
      <c r="F12" s="453"/>
      <c r="G12" s="455">
        <v>5.9589999999999997E-2</v>
      </c>
      <c r="H12" s="456">
        <f t="shared" si="2"/>
        <v>8.4407096818172444E-3</v>
      </c>
      <c r="I12" s="413"/>
      <c r="J12" s="456"/>
    </row>
    <row r="13" spans="1:10" ht="15">
      <c r="A13" s="412" t="s">
        <v>591</v>
      </c>
      <c r="B13" s="453">
        <v>200000000</v>
      </c>
      <c r="C13" s="412">
        <f t="shared" si="3"/>
        <v>12</v>
      </c>
      <c r="D13" s="453">
        <f t="shared" si="1"/>
        <v>2400000000</v>
      </c>
      <c r="E13" s="454">
        <f t="shared" si="0"/>
        <v>0.11331712947564686</v>
      </c>
      <c r="F13" s="453"/>
      <c r="G13" s="455">
        <v>5.663E-2</v>
      </c>
      <c r="H13" s="456">
        <f t="shared" si="2"/>
        <v>6.4171490422058816E-3</v>
      </c>
      <c r="I13" s="413"/>
      <c r="J13" s="456"/>
    </row>
    <row r="14" spans="1:10" ht="15">
      <c r="A14" s="424" t="s">
        <v>592</v>
      </c>
      <c r="B14" s="453">
        <v>115000000</v>
      </c>
      <c r="C14" s="412">
        <f t="shared" si="3"/>
        <v>12</v>
      </c>
      <c r="D14" s="453">
        <f t="shared" si="1"/>
        <v>1380000000</v>
      </c>
      <c r="E14" s="454">
        <f t="shared" si="0"/>
        <v>6.5157349448496937E-2</v>
      </c>
      <c r="F14" s="453"/>
      <c r="G14" s="455">
        <v>5.4829999999999997E-2</v>
      </c>
      <c r="H14" s="456">
        <f t="shared" si="2"/>
        <v>3.572577470261087E-3</v>
      </c>
      <c r="I14" s="413"/>
      <c r="J14" s="456"/>
    </row>
    <row r="15" spans="1:10" ht="15">
      <c r="A15" s="424" t="s">
        <v>593</v>
      </c>
      <c r="B15" s="453">
        <v>35000000</v>
      </c>
      <c r="C15" s="412">
        <f t="shared" si="3"/>
        <v>12</v>
      </c>
      <c r="D15" s="453">
        <f t="shared" si="1"/>
        <v>420000000</v>
      </c>
      <c r="E15" s="454">
        <f t="shared" si="0"/>
        <v>1.9830497658238199E-2</v>
      </c>
      <c r="F15" s="453"/>
      <c r="G15" s="455">
        <v>5.4829999999999997E-2</v>
      </c>
      <c r="H15" s="456">
        <f t="shared" si="2"/>
        <v>1.0873061866012003E-3</v>
      </c>
      <c r="I15" s="413"/>
      <c r="J15" s="456"/>
    </row>
    <row r="16" spans="1:10" ht="15">
      <c r="A16" s="424" t="s">
        <v>594</v>
      </c>
      <c r="B16" s="453">
        <v>100000000</v>
      </c>
      <c r="C16" s="412">
        <f t="shared" si="3"/>
        <v>12</v>
      </c>
      <c r="D16" s="453">
        <f t="shared" si="1"/>
        <v>1200000000</v>
      </c>
      <c r="E16" s="454">
        <f t="shared" si="0"/>
        <v>5.6658564737823429E-2</v>
      </c>
      <c r="F16" s="453"/>
      <c r="G16" s="457">
        <v>4.6551556468497429E-2</v>
      </c>
      <c r="H16" s="456">
        <f t="shared" si="2"/>
        <v>2.6375443758168047E-3</v>
      </c>
      <c r="I16" s="413"/>
      <c r="J16" s="456"/>
    </row>
    <row r="17" spans="1:10" ht="15">
      <c r="A17" s="424" t="s">
        <v>595</v>
      </c>
      <c r="B17" s="458">
        <v>50000000</v>
      </c>
      <c r="C17" s="412">
        <f t="shared" si="3"/>
        <v>12</v>
      </c>
      <c r="D17" s="453">
        <f t="shared" si="1"/>
        <v>600000000</v>
      </c>
      <c r="E17" s="454">
        <f t="shared" si="0"/>
        <v>2.8329282368911714E-2</v>
      </c>
      <c r="F17" s="453"/>
      <c r="G17" s="457">
        <v>5.7702953429480577E-2</v>
      </c>
      <c r="H17" s="456">
        <f t="shared" si="2"/>
        <v>1.6346832612239178E-3</v>
      </c>
      <c r="I17" s="413"/>
      <c r="J17" s="456"/>
    </row>
    <row r="18" spans="1:10" ht="15">
      <c r="A18" s="421" t="s">
        <v>596</v>
      </c>
      <c r="B18" s="458">
        <v>75000000</v>
      </c>
      <c r="C18" s="412">
        <f t="shared" si="3"/>
        <v>12</v>
      </c>
      <c r="D18" s="453">
        <f t="shared" si="1"/>
        <v>900000000</v>
      </c>
      <c r="E18" s="454">
        <f t="shared" si="0"/>
        <v>4.249392355336757E-2</v>
      </c>
      <c r="F18" s="453"/>
      <c r="G18" s="457">
        <v>4.2233497248723349E-2</v>
      </c>
      <c r="H18" s="456">
        <f t="shared" si="2"/>
        <v>1.7946670034786096E-3</v>
      </c>
      <c r="I18" s="413"/>
      <c r="J18" s="456"/>
    </row>
    <row r="19" spans="1:10" ht="15">
      <c r="A19" s="459" t="s">
        <v>597</v>
      </c>
      <c r="B19" s="458">
        <v>75000000</v>
      </c>
      <c r="C19" s="412">
        <f t="shared" si="3"/>
        <v>12</v>
      </c>
      <c r="D19" s="453">
        <f t="shared" si="1"/>
        <v>900000000</v>
      </c>
      <c r="E19" s="454">
        <f t="shared" si="0"/>
        <v>4.249392355336757E-2</v>
      </c>
      <c r="F19" s="453"/>
      <c r="G19" s="457">
        <v>4.323633997197935E-2</v>
      </c>
      <c r="H19" s="456">
        <f t="shared" si="2"/>
        <v>1.837281725496701E-3</v>
      </c>
      <c r="I19" s="413"/>
      <c r="J19" s="456"/>
    </row>
    <row r="20" spans="1:10" ht="15">
      <c r="A20" s="460" t="s">
        <v>598</v>
      </c>
      <c r="B20" s="458">
        <v>150000000</v>
      </c>
      <c r="C20" s="412">
        <f t="shared" si="3"/>
        <v>12</v>
      </c>
      <c r="D20" s="453">
        <f t="shared" si="1"/>
        <v>1800000000</v>
      </c>
      <c r="E20" s="454">
        <f t="shared" si="0"/>
        <v>8.498784710673514E-2</v>
      </c>
      <c r="F20" s="453"/>
      <c r="G20" s="457">
        <v>5.2143235689213398E-2</v>
      </c>
      <c r="H20" s="456">
        <f t="shared" si="2"/>
        <v>4.4315413424053235E-3</v>
      </c>
      <c r="I20" s="413"/>
      <c r="J20" s="456"/>
    </row>
    <row r="21" spans="1:10" ht="15">
      <c r="A21" s="412" t="s">
        <v>599</v>
      </c>
      <c r="B21" s="458">
        <v>150000000</v>
      </c>
      <c r="C21" s="412">
        <f t="shared" si="3"/>
        <v>12</v>
      </c>
      <c r="D21" s="453">
        <f>B21*C21</f>
        <v>1800000000</v>
      </c>
      <c r="E21" s="454">
        <f>D21/D$34</f>
        <v>8.498784710673514E-2</v>
      </c>
      <c r="F21" s="453"/>
      <c r="G21" s="455">
        <v>4.4115905473381754E-2</v>
      </c>
      <c r="H21" s="456">
        <f>E21*G21</f>
        <v>3.7493158293469483E-3</v>
      </c>
      <c r="I21" s="413"/>
      <c r="J21" s="456"/>
    </row>
    <row r="22" spans="1:10" ht="15">
      <c r="A22" s="424" t="s">
        <v>600</v>
      </c>
      <c r="B22" s="453">
        <v>149048677.41935486</v>
      </c>
      <c r="C22" s="413">
        <v>1</v>
      </c>
      <c r="D22" s="453">
        <f t="shared" si="1"/>
        <v>149048677.41935486</v>
      </c>
      <c r="E22" s="454">
        <f t="shared" si="0"/>
        <v>7.0374034488762316E-3</v>
      </c>
      <c r="F22" s="453"/>
      <c r="G22" s="455">
        <v>2.1648773544213416E-3</v>
      </c>
      <c r="H22" s="456">
        <f t="shared" si="2"/>
        <v>1.5235115360398801E-5</v>
      </c>
      <c r="I22" s="413"/>
      <c r="J22" s="456"/>
    </row>
    <row r="23" spans="1:10" ht="15">
      <c r="A23" s="412" t="s">
        <v>601</v>
      </c>
      <c r="B23" s="453">
        <v>179358785.71428573</v>
      </c>
      <c r="C23" s="413">
        <f>IF(C$8-SUM(C$22:C22)&lt;=0,0,1)</f>
        <v>1</v>
      </c>
      <c r="D23" s="453">
        <f t="shared" si="1"/>
        <v>179358785.71428573</v>
      </c>
      <c r="E23" s="454">
        <f t="shared" si="0"/>
        <v>8.4685094764085488E-3</v>
      </c>
      <c r="F23" s="453"/>
      <c r="G23" s="455">
        <v>2.1629778779405848E-3</v>
      </c>
      <c r="H23" s="456">
        <f t="shared" si="2"/>
        <v>1.8317198656601895E-5</v>
      </c>
      <c r="I23" s="413"/>
    </row>
    <row r="24" spans="1:10" ht="15">
      <c r="A24" s="412" t="s">
        <v>602</v>
      </c>
      <c r="B24" s="453">
        <v>167864322.58064514</v>
      </c>
      <c r="C24" s="413">
        <f>IF(C$8-SUM(C$22:C23)&lt;=0,0,1)</f>
        <v>1</v>
      </c>
      <c r="D24" s="453">
        <f t="shared" si="1"/>
        <v>167864322.58064514</v>
      </c>
      <c r="E24" s="454">
        <f t="shared" si="0"/>
        <v>7.9257929900886318E-3</v>
      </c>
      <c r="F24" s="453"/>
      <c r="G24" s="455">
        <v>2.120729010410482E-3</v>
      </c>
      <c r="H24" s="456">
        <f t="shared" si="2"/>
        <v>1.6808459124589E-5</v>
      </c>
      <c r="I24" s="413"/>
    </row>
    <row r="25" spans="1:10" ht="15">
      <c r="A25" s="412" t="s">
        <v>603</v>
      </c>
      <c r="B25" s="453">
        <v>166355033</v>
      </c>
      <c r="C25" s="413">
        <f>IF(C$8-SUM(C$22:C24)&lt;=0,0,1)</f>
        <v>1</v>
      </c>
      <c r="D25" s="453">
        <f t="shared" si="1"/>
        <v>166355033</v>
      </c>
      <c r="E25" s="454">
        <f t="shared" si="0"/>
        <v>7.8545311722443781E-3</v>
      </c>
      <c r="F25" s="453"/>
      <c r="G25" s="455">
        <v>2.1099999999999999E-3</v>
      </c>
      <c r="H25" s="456">
        <f t="shared" si="2"/>
        <v>1.6573060773435636E-5</v>
      </c>
      <c r="I25" s="413"/>
    </row>
    <row r="26" spans="1:10" ht="15">
      <c r="A26" s="412" t="s">
        <v>604</v>
      </c>
      <c r="B26" s="453">
        <v>228210999.99999997</v>
      </c>
      <c r="C26" s="413">
        <f>IF(C$8-SUM(C$22:C25)&lt;=0,0,1)</f>
        <v>1</v>
      </c>
      <c r="D26" s="453">
        <f t="shared" si="1"/>
        <v>228210999.99999997</v>
      </c>
      <c r="E26" s="454">
        <f t="shared" si="0"/>
        <v>1.0775089764486184E-2</v>
      </c>
      <c r="F26" s="453"/>
      <c r="G26" s="455">
        <v>2.1248991135962045E-3</v>
      </c>
      <c r="H26" s="456">
        <f t="shared" si="2"/>
        <v>2.2895978689476229E-5</v>
      </c>
      <c r="I26" s="413"/>
    </row>
    <row r="27" spans="1:10" ht="15">
      <c r="A27" s="412" t="s">
        <v>605</v>
      </c>
      <c r="B27" s="453">
        <v>221092500</v>
      </c>
      <c r="C27" s="413">
        <f>IF(C$8-SUM(C$22:C26)&lt;=0,0,1)</f>
        <v>1</v>
      </c>
      <c r="D27" s="453">
        <f t="shared" si="1"/>
        <v>221092500</v>
      </c>
      <c r="E27" s="454">
        <f t="shared" si="0"/>
        <v>1.0438986436914356E-2</v>
      </c>
      <c r="F27" s="453"/>
      <c r="G27" s="455">
        <v>2.1199999999999999E-3</v>
      </c>
      <c r="H27" s="456">
        <f t="shared" si="2"/>
        <v>2.2130651246258435E-5</v>
      </c>
      <c r="I27" s="413"/>
    </row>
    <row r="28" spans="1:10" ht="15">
      <c r="A28" s="412" t="s">
        <v>606</v>
      </c>
      <c r="B28" s="453">
        <v>201637064.51612899</v>
      </c>
      <c r="C28" s="413">
        <f>IF(C$8-SUM(C$22:C27)&lt;=0,0,1)</f>
        <v>1</v>
      </c>
      <c r="D28" s="453">
        <f t="shared" si="1"/>
        <v>201637064.51612899</v>
      </c>
      <c r="E28" s="454">
        <f t="shared" si="0"/>
        <v>9.5203888945264784E-3</v>
      </c>
      <c r="F28" s="453"/>
      <c r="G28" s="455">
        <v>2.1119688696506619E-3</v>
      </c>
      <c r="H28" s="456">
        <f>E28*G28</f>
        <v>2.0106764972207802E-5</v>
      </c>
      <c r="I28" s="414"/>
    </row>
    <row r="29" spans="1:10" ht="15">
      <c r="A29" s="424" t="s">
        <v>607</v>
      </c>
      <c r="B29" s="453">
        <v>232254161.29032254</v>
      </c>
      <c r="C29" s="413">
        <f>IF(C$8-SUM(C$22:C28)&lt;=0,0,1)</f>
        <v>1</v>
      </c>
      <c r="D29" s="453">
        <f t="shared" si="1"/>
        <v>232254161.29032254</v>
      </c>
      <c r="E29" s="454">
        <f t="shared" si="0"/>
        <v>1.096598952758052E-2</v>
      </c>
      <c r="F29" s="453"/>
      <c r="G29" s="455">
        <v>2.0002167397535431E-3</v>
      </c>
      <c r="H29" s="456">
        <f t="shared" si="2"/>
        <v>2.1934355821028604E-5</v>
      </c>
      <c r="I29" s="413"/>
    </row>
    <row r="30" spans="1:10" ht="15">
      <c r="A30" s="424" t="s">
        <v>608</v>
      </c>
      <c r="B30" s="453">
        <v>224570500.00000006</v>
      </c>
      <c r="C30" s="413">
        <f>IF(C$8-SUM(C$22:C29)&lt;=0,0,1)</f>
        <v>1</v>
      </c>
      <c r="D30" s="453">
        <f t="shared" si="1"/>
        <v>224570500.00000006</v>
      </c>
      <c r="E30" s="454">
        <f t="shared" si="0"/>
        <v>1.0603201843712816E-2</v>
      </c>
      <c r="F30" s="453"/>
      <c r="G30" s="455">
        <v>1.9972705972808829E-3</v>
      </c>
      <c r="H30" s="456">
        <f>E30*G30</f>
        <v>2.1177463279482055E-5</v>
      </c>
      <c r="I30" s="413"/>
    </row>
    <row r="31" spans="1:10" ht="15">
      <c r="A31" s="424" t="s">
        <v>609</v>
      </c>
      <c r="B31" s="453">
        <v>253826387.09677422</v>
      </c>
      <c r="C31" s="413">
        <f>IF(C$8-SUM(C$22:C30)&lt;=0,0,1)</f>
        <v>1</v>
      </c>
      <c r="D31" s="453">
        <f t="shared" si="1"/>
        <v>253826387.09677422</v>
      </c>
      <c r="E31" s="454">
        <f t="shared" si="0"/>
        <v>1.198453232124201E-2</v>
      </c>
      <c r="F31" s="453"/>
      <c r="G31" s="455">
        <v>2.3013863171398078E-3</v>
      </c>
      <c r="H31" s="456">
        <f>E31*G31</f>
        <v>2.758103870142614E-5</v>
      </c>
      <c r="I31" s="413"/>
    </row>
    <row r="32" spans="1:10" ht="15">
      <c r="A32" s="424" t="s">
        <v>610</v>
      </c>
      <c r="B32" s="453">
        <v>277290299.99999994</v>
      </c>
      <c r="C32" s="413">
        <f>IF(C$8-SUM(C$22:C31)&lt;=0,0,1)</f>
        <v>1</v>
      </c>
      <c r="D32" s="453">
        <f t="shared" si="1"/>
        <v>277290299.99999994</v>
      </c>
      <c r="E32" s="454">
        <f t="shared" si="0"/>
        <v>1.309239201143373E-2</v>
      </c>
      <c r="F32" s="453"/>
      <c r="G32" s="455">
        <v>2.4234314002328969E-3</v>
      </c>
      <c r="H32" s="456">
        <f t="shared" si="2"/>
        <v>3.1728513904666839E-5</v>
      </c>
      <c r="I32" s="413"/>
    </row>
    <row r="33" spans="1:9" ht="15">
      <c r="A33" s="424" t="s">
        <v>611</v>
      </c>
      <c r="B33" s="461">
        <v>277989999.99999988</v>
      </c>
      <c r="C33" s="413">
        <f>IF(C$8-SUM(C$22:C32)&lt;=0,0,1)</f>
        <v>1</v>
      </c>
      <c r="D33" s="461">
        <f t="shared" si="1"/>
        <v>277989999.99999988</v>
      </c>
      <c r="E33" s="462">
        <f t="shared" si="0"/>
        <v>1.312542867622294E-2</v>
      </c>
      <c r="F33" s="453"/>
      <c r="G33" s="455">
        <v>2.190439839446535E-3</v>
      </c>
      <c r="H33" s="456">
        <f t="shared" si="2"/>
        <v>2.8750461882212725E-5</v>
      </c>
      <c r="I33" s="413"/>
    </row>
    <row r="34" spans="1:9" ht="15.75" thickBot="1">
      <c r="B34" s="420">
        <f>SUM(B8:B33)</f>
        <v>4129498731.6175117</v>
      </c>
      <c r="D34" s="420">
        <f>SUM(D8:D33)</f>
        <v>21179498731.617512</v>
      </c>
      <c r="E34" s="454">
        <f>SUM(E8:E33)</f>
        <v>0.99999999999999978</v>
      </c>
      <c r="F34" s="463"/>
      <c r="G34" s="464"/>
      <c r="H34" s="465">
        <f>SUM(H8:H33)</f>
        <v>4.7832303853693803E-2</v>
      </c>
    </row>
    <row r="35" spans="1:9" ht="13.5" thickTop="1">
      <c r="G35" s="466"/>
      <c r="H35" s="417"/>
    </row>
    <row r="36" spans="1:9">
      <c r="G36" s="466"/>
      <c r="H36" s="417"/>
    </row>
    <row r="39" spans="1:9">
      <c r="H39" s="467"/>
    </row>
  </sheetData>
  <pageMargins left="0.75" right="0.75" top="1" bottom="1" header="0.5" footer="0.5"/>
  <pageSetup scale="8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Normal="100" workbookViewId="0">
      <selection activeCell="A17" sqref="A17"/>
    </sheetView>
  </sheetViews>
  <sheetFormatPr defaultRowHeight="12.75"/>
  <cols>
    <col min="1" max="1" width="23.28515625" style="412" customWidth="1"/>
    <col min="2" max="2" width="11.140625" style="412" customWidth="1"/>
    <col min="3" max="3" width="12.140625" style="412" customWidth="1"/>
    <col min="4" max="4" width="14.5703125" style="412" customWidth="1"/>
    <col min="5" max="5" width="9.140625" style="412"/>
    <col min="6" max="6" width="9.42578125" style="412" customWidth="1"/>
    <col min="7" max="256" width="9.140625" style="412"/>
    <col min="257" max="257" width="23.28515625" style="412" customWidth="1"/>
    <col min="258" max="258" width="11.140625" style="412" customWidth="1"/>
    <col min="259" max="259" width="12.140625" style="412" customWidth="1"/>
    <col min="260" max="260" width="14.5703125" style="412" customWidth="1"/>
    <col min="261" max="512" width="9.140625" style="412"/>
    <col min="513" max="513" width="23.28515625" style="412" customWidth="1"/>
    <col min="514" max="514" width="11.140625" style="412" customWidth="1"/>
    <col min="515" max="515" width="12.140625" style="412" customWidth="1"/>
    <col min="516" max="516" width="14.5703125" style="412" customWidth="1"/>
    <col min="517" max="768" width="9.140625" style="412"/>
    <col min="769" max="769" width="23.28515625" style="412" customWidth="1"/>
    <col min="770" max="770" width="11.140625" style="412" customWidth="1"/>
    <col min="771" max="771" width="12.140625" style="412" customWidth="1"/>
    <col min="772" max="772" width="14.5703125" style="412" customWidth="1"/>
    <col min="773" max="1024" width="9.140625" style="412"/>
    <col min="1025" max="1025" width="23.28515625" style="412" customWidth="1"/>
    <col min="1026" max="1026" width="11.140625" style="412" customWidth="1"/>
    <col min="1027" max="1027" width="12.140625" style="412" customWidth="1"/>
    <col min="1028" max="1028" width="14.5703125" style="412" customWidth="1"/>
    <col min="1029" max="1280" width="9.140625" style="412"/>
    <col min="1281" max="1281" width="23.28515625" style="412" customWidth="1"/>
    <col min="1282" max="1282" width="11.140625" style="412" customWidth="1"/>
    <col min="1283" max="1283" width="12.140625" style="412" customWidth="1"/>
    <col min="1284" max="1284" width="14.5703125" style="412" customWidth="1"/>
    <col min="1285" max="1536" width="9.140625" style="412"/>
    <col min="1537" max="1537" width="23.28515625" style="412" customWidth="1"/>
    <col min="1538" max="1538" width="11.140625" style="412" customWidth="1"/>
    <col min="1539" max="1539" width="12.140625" style="412" customWidth="1"/>
    <col min="1540" max="1540" width="14.5703125" style="412" customWidth="1"/>
    <col min="1541" max="1792" width="9.140625" style="412"/>
    <col min="1793" max="1793" width="23.28515625" style="412" customWidth="1"/>
    <col min="1794" max="1794" width="11.140625" style="412" customWidth="1"/>
    <col min="1795" max="1795" width="12.140625" style="412" customWidth="1"/>
    <col min="1796" max="1796" width="14.5703125" style="412" customWidth="1"/>
    <col min="1797" max="2048" width="9.140625" style="412"/>
    <col min="2049" max="2049" width="23.28515625" style="412" customWidth="1"/>
    <col min="2050" max="2050" width="11.140625" style="412" customWidth="1"/>
    <col min="2051" max="2051" width="12.140625" style="412" customWidth="1"/>
    <col min="2052" max="2052" width="14.5703125" style="412" customWidth="1"/>
    <col min="2053" max="2304" width="9.140625" style="412"/>
    <col min="2305" max="2305" width="23.28515625" style="412" customWidth="1"/>
    <col min="2306" max="2306" width="11.140625" style="412" customWidth="1"/>
    <col min="2307" max="2307" width="12.140625" style="412" customWidth="1"/>
    <col min="2308" max="2308" width="14.5703125" style="412" customWidth="1"/>
    <col min="2309" max="2560" width="9.140625" style="412"/>
    <col min="2561" max="2561" width="23.28515625" style="412" customWidth="1"/>
    <col min="2562" max="2562" width="11.140625" style="412" customWidth="1"/>
    <col min="2563" max="2563" width="12.140625" style="412" customWidth="1"/>
    <col min="2564" max="2564" width="14.5703125" style="412" customWidth="1"/>
    <col min="2565" max="2816" width="9.140625" style="412"/>
    <col min="2817" max="2817" width="23.28515625" style="412" customWidth="1"/>
    <col min="2818" max="2818" width="11.140625" style="412" customWidth="1"/>
    <col min="2819" max="2819" width="12.140625" style="412" customWidth="1"/>
    <col min="2820" max="2820" width="14.5703125" style="412" customWidth="1"/>
    <col min="2821" max="3072" width="9.140625" style="412"/>
    <col min="3073" max="3073" width="23.28515625" style="412" customWidth="1"/>
    <col min="3074" max="3074" width="11.140625" style="412" customWidth="1"/>
    <col min="3075" max="3075" width="12.140625" style="412" customWidth="1"/>
    <col min="3076" max="3076" width="14.5703125" style="412" customWidth="1"/>
    <col min="3077" max="3328" width="9.140625" style="412"/>
    <col min="3329" max="3329" width="23.28515625" style="412" customWidth="1"/>
    <col min="3330" max="3330" width="11.140625" style="412" customWidth="1"/>
    <col min="3331" max="3331" width="12.140625" style="412" customWidth="1"/>
    <col min="3332" max="3332" width="14.5703125" style="412" customWidth="1"/>
    <col min="3333" max="3584" width="9.140625" style="412"/>
    <col min="3585" max="3585" width="23.28515625" style="412" customWidth="1"/>
    <col min="3586" max="3586" width="11.140625" style="412" customWidth="1"/>
    <col min="3587" max="3587" width="12.140625" style="412" customWidth="1"/>
    <col min="3588" max="3588" width="14.5703125" style="412" customWidth="1"/>
    <col min="3589" max="3840" width="9.140625" style="412"/>
    <col min="3841" max="3841" width="23.28515625" style="412" customWidth="1"/>
    <col min="3842" max="3842" width="11.140625" style="412" customWidth="1"/>
    <col min="3843" max="3843" width="12.140625" style="412" customWidth="1"/>
    <col min="3844" max="3844" width="14.5703125" style="412" customWidth="1"/>
    <col min="3845" max="4096" width="9.140625" style="412"/>
    <col min="4097" max="4097" width="23.28515625" style="412" customWidth="1"/>
    <col min="4098" max="4098" width="11.140625" style="412" customWidth="1"/>
    <col min="4099" max="4099" width="12.140625" style="412" customWidth="1"/>
    <col min="4100" max="4100" width="14.5703125" style="412" customWidth="1"/>
    <col min="4101" max="4352" width="9.140625" style="412"/>
    <col min="4353" max="4353" width="23.28515625" style="412" customWidth="1"/>
    <col min="4354" max="4354" width="11.140625" style="412" customWidth="1"/>
    <col min="4355" max="4355" width="12.140625" style="412" customWidth="1"/>
    <col min="4356" max="4356" width="14.5703125" style="412" customWidth="1"/>
    <col min="4357" max="4608" width="9.140625" style="412"/>
    <col min="4609" max="4609" width="23.28515625" style="412" customWidth="1"/>
    <col min="4610" max="4610" width="11.140625" style="412" customWidth="1"/>
    <col min="4611" max="4611" width="12.140625" style="412" customWidth="1"/>
    <col min="4612" max="4612" width="14.5703125" style="412" customWidth="1"/>
    <col min="4613" max="4864" width="9.140625" style="412"/>
    <col min="4865" max="4865" width="23.28515625" style="412" customWidth="1"/>
    <col min="4866" max="4866" width="11.140625" style="412" customWidth="1"/>
    <col min="4867" max="4867" width="12.140625" style="412" customWidth="1"/>
    <col min="4868" max="4868" width="14.5703125" style="412" customWidth="1"/>
    <col min="4869" max="5120" width="9.140625" style="412"/>
    <col min="5121" max="5121" width="23.28515625" style="412" customWidth="1"/>
    <col min="5122" max="5122" width="11.140625" style="412" customWidth="1"/>
    <col min="5123" max="5123" width="12.140625" style="412" customWidth="1"/>
    <col min="5124" max="5124" width="14.5703125" style="412" customWidth="1"/>
    <col min="5125" max="5376" width="9.140625" style="412"/>
    <col min="5377" max="5377" width="23.28515625" style="412" customWidth="1"/>
    <col min="5378" max="5378" width="11.140625" style="412" customWidth="1"/>
    <col min="5379" max="5379" width="12.140625" style="412" customWidth="1"/>
    <col min="5380" max="5380" width="14.5703125" style="412" customWidth="1"/>
    <col min="5381" max="5632" width="9.140625" style="412"/>
    <col min="5633" max="5633" width="23.28515625" style="412" customWidth="1"/>
    <col min="5634" max="5634" width="11.140625" style="412" customWidth="1"/>
    <col min="5635" max="5635" width="12.140625" style="412" customWidth="1"/>
    <col min="5636" max="5636" width="14.5703125" style="412" customWidth="1"/>
    <col min="5637" max="5888" width="9.140625" style="412"/>
    <col min="5889" max="5889" width="23.28515625" style="412" customWidth="1"/>
    <col min="5890" max="5890" width="11.140625" style="412" customWidth="1"/>
    <col min="5891" max="5891" width="12.140625" style="412" customWidth="1"/>
    <col min="5892" max="5892" width="14.5703125" style="412" customWidth="1"/>
    <col min="5893" max="6144" width="9.140625" style="412"/>
    <col min="6145" max="6145" width="23.28515625" style="412" customWidth="1"/>
    <col min="6146" max="6146" width="11.140625" style="412" customWidth="1"/>
    <col min="6147" max="6147" width="12.140625" style="412" customWidth="1"/>
    <col min="6148" max="6148" width="14.5703125" style="412" customWidth="1"/>
    <col min="6149" max="6400" width="9.140625" style="412"/>
    <col min="6401" max="6401" width="23.28515625" style="412" customWidth="1"/>
    <col min="6402" max="6402" width="11.140625" style="412" customWidth="1"/>
    <col min="6403" max="6403" width="12.140625" style="412" customWidth="1"/>
    <col min="6404" max="6404" width="14.5703125" style="412" customWidth="1"/>
    <col min="6405" max="6656" width="9.140625" style="412"/>
    <col min="6657" max="6657" width="23.28515625" style="412" customWidth="1"/>
    <col min="6658" max="6658" width="11.140625" style="412" customWidth="1"/>
    <col min="6659" max="6659" width="12.140625" style="412" customWidth="1"/>
    <col min="6660" max="6660" width="14.5703125" style="412" customWidth="1"/>
    <col min="6661" max="6912" width="9.140625" style="412"/>
    <col min="6913" max="6913" width="23.28515625" style="412" customWidth="1"/>
    <col min="6914" max="6914" width="11.140625" style="412" customWidth="1"/>
    <col min="6915" max="6915" width="12.140625" style="412" customWidth="1"/>
    <col min="6916" max="6916" width="14.5703125" style="412" customWidth="1"/>
    <col min="6917" max="7168" width="9.140625" style="412"/>
    <col min="7169" max="7169" width="23.28515625" style="412" customWidth="1"/>
    <col min="7170" max="7170" width="11.140625" style="412" customWidth="1"/>
    <col min="7171" max="7171" width="12.140625" style="412" customWidth="1"/>
    <col min="7172" max="7172" width="14.5703125" style="412" customWidth="1"/>
    <col min="7173" max="7424" width="9.140625" style="412"/>
    <col min="7425" max="7425" width="23.28515625" style="412" customWidth="1"/>
    <col min="7426" max="7426" width="11.140625" style="412" customWidth="1"/>
    <col min="7427" max="7427" width="12.140625" style="412" customWidth="1"/>
    <col min="7428" max="7428" width="14.5703125" style="412" customWidth="1"/>
    <col min="7429" max="7680" width="9.140625" style="412"/>
    <col min="7681" max="7681" width="23.28515625" style="412" customWidth="1"/>
    <col min="7682" max="7682" width="11.140625" style="412" customWidth="1"/>
    <col min="7683" max="7683" width="12.140625" style="412" customWidth="1"/>
    <col min="7684" max="7684" width="14.5703125" style="412" customWidth="1"/>
    <col min="7685" max="7936" width="9.140625" style="412"/>
    <col min="7937" max="7937" width="23.28515625" style="412" customWidth="1"/>
    <col min="7938" max="7938" width="11.140625" style="412" customWidth="1"/>
    <col min="7939" max="7939" width="12.140625" style="412" customWidth="1"/>
    <col min="7940" max="7940" width="14.5703125" style="412" customWidth="1"/>
    <col min="7941" max="8192" width="9.140625" style="412"/>
    <col min="8193" max="8193" width="23.28515625" style="412" customWidth="1"/>
    <col min="8194" max="8194" width="11.140625" style="412" customWidth="1"/>
    <col min="8195" max="8195" width="12.140625" style="412" customWidth="1"/>
    <col min="8196" max="8196" width="14.5703125" style="412" customWidth="1"/>
    <col min="8197" max="8448" width="9.140625" style="412"/>
    <col min="8449" max="8449" width="23.28515625" style="412" customWidth="1"/>
    <col min="8450" max="8450" width="11.140625" style="412" customWidth="1"/>
    <col min="8451" max="8451" width="12.140625" style="412" customWidth="1"/>
    <col min="8452" max="8452" width="14.5703125" style="412" customWidth="1"/>
    <col min="8453" max="8704" width="9.140625" style="412"/>
    <col min="8705" max="8705" width="23.28515625" style="412" customWidth="1"/>
    <col min="8706" max="8706" width="11.140625" style="412" customWidth="1"/>
    <col min="8707" max="8707" width="12.140625" style="412" customWidth="1"/>
    <col min="8708" max="8708" width="14.5703125" style="412" customWidth="1"/>
    <col min="8709" max="8960" width="9.140625" style="412"/>
    <col min="8961" max="8961" width="23.28515625" style="412" customWidth="1"/>
    <col min="8962" max="8962" width="11.140625" style="412" customWidth="1"/>
    <col min="8963" max="8963" width="12.140625" style="412" customWidth="1"/>
    <col min="8964" max="8964" width="14.5703125" style="412" customWidth="1"/>
    <col min="8965" max="9216" width="9.140625" style="412"/>
    <col min="9217" max="9217" width="23.28515625" style="412" customWidth="1"/>
    <col min="9218" max="9218" width="11.140625" style="412" customWidth="1"/>
    <col min="9219" max="9219" width="12.140625" style="412" customWidth="1"/>
    <col min="9220" max="9220" width="14.5703125" style="412" customWidth="1"/>
    <col min="9221" max="9472" width="9.140625" style="412"/>
    <col min="9473" max="9473" width="23.28515625" style="412" customWidth="1"/>
    <col min="9474" max="9474" width="11.140625" style="412" customWidth="1"/>
    <col min="9475" max="9475" width="12.140625" style="412" customWidth="1"/>
    <col min="9476" max="9476" width="14.5703125" style="412" customWidth="1"/>
    <col min="9477" max="9728" width="9.140625" style="412"/>
    <col min="9729" max="9729" width="23.28515625" style="412" customWidth="1"/>
    <col min="9730" max="9730" width="11.140625" style="412" customWidth="1"/>
    <col min="9731" max="9731" width="12.140625" style="412" customWidth="1"/>
    <col min="9732" max="9732" width="14.5703125" style="412" customWidth="1"/>
    <col min="9733" max="9984" width="9.140625" style="412"/>
    <col min="9985" max="9985" width="23.28515625" style="412" customWidth="1"/>
    <col min="9986" max="9986" width="11.140625" style="412" customWidth="1"/>
    <col min="9987" max="9987" width="12.140625" style="412" customWidth="1"/>
    <col min="9988" max="9988" width="14.5703125" style="412" customWidth="1"/>
    <col min="9989" max="10240" width="9.140625" style="412"/>
    <col min="10241" max="10241" width="23.28515625" style="412" customWidth="1"/>
    <col min="10242" max="10242" width="11.140625" style="412" customWidth="1"/>
    <col min="10243" max="10243" width="12.140625" style="412" customWidth="1"/>
    <col min="10244" max="10244" width="14.5703125" style="412" customWidth="1"/>
    <col min="10245" max="10496" width="9.140625" style="412"/>
    <col min="10497" max="10497" width="23.28515625" style="412" customWidth="1"/>
    <col min="10498" max="10498" width="11.140625" style="412" customWidth="1"/>
    <col min="10499" max="10499" width="12.140625" style="412" customWidth="1"/>
    <col min="10500" max="10500" width="14.5703125" style="412" customWidth="1"/>
    <col min="10501" max="10752" width="9.140625" style="412"/>
    <col min="10753" max="10753" width="23.28515625" style="412" customWidth="1"/>
    <col min="10754" max="10754" width="11.140625" style="412" customWidth="1"/>
    <col min="10755" max="10755" width="12.140625" style="412" customWidth="1"/>
    <col min="10756" max="10756" width="14.5703125" style="412" customWidth="1"/>
    <col min="10757" max="11008" width="9.140625" style="412"/>
    <col min="11009" max="11009" width="23.28515625" style="412" customWidth="1"/>
    <col min="11010" max="11010" width="11.140625" style="412" customWidth="1"/>
    <col min="11011" max="11011" width="12.140625" style="412" customWidth="1"/>
    <col min="11012" max="11012" width="14.5703125" style="412" customWidth="1"/>
    <col min="11013" max="11264" width="9.140625" style="412"/>
    <col min="11265" max="11265" width="23.28515625" style="412" customWidth="1"/>
    <col min="11266" max="11266" width="11.140625" style="412" customWidth="1"/>
    <col min="11267" max="11267" width="12.140625" style="412" customWidth="1"/>
    <col min="11268" max="11268" width="14.5703125" style="412" customWidth="1"/>
    <col min="11269" max="11520" width="9.140625" style="412"/>
    <col min="11521" max="11521" width="23.28515625" style="412" customWidth="1"/>
    <col min="11522" max="11522" width="11.140625" style="412" customWidth="1"/>
    <col min="11523" max="11523" width="12.140625" style="412" customWidth="1"/>
    <col min="11524" max="11524" width="14.5703125" style="412" customWidth="1"/>
    <col min="11525" max="11776" width="9.140625" style="412"/>
    <col min="11777" max="11777" width="23.28515625" style="412" customWidth="1"/>
    <col min="11778" max="11778" width="11.140625" style="412" customWidth="1"/>
    <col min="11779" max="11779" width="12.140625" style="412" customWidth="1"/>
    <col min="11780" max="11780" width="14.5703125" style="412" customWidth="1"/>
    <col min="11781" max="12032" width="9.140625" style="412"/>
    <col min="12033" max="12033" width="23.28515625" style="412" customWidth="1"/>
    <col min="12034" max="12034" width="11.140625" style="412" customWidth="1"/>
    <col min="12035" max="12035" width="12.140625" style="412" customWidth="1"/>
    <col min="12036" max="12036" width="14.5703125" style="412" customWidth="1"/>
    <col min="12037" max="12288" width="9.140625" style="412"/>
    <col min="12289" max="12289" width="23.28515625" style="412" customWidth="1"/>
    <col min="12290" max="12290" width="11.140625" style="412" customWidth="1"/>
    <col min="12291" max="12291" width="12.140625" style="412" customWidth="1"/>
    <col min="12292" max="12292" width="14.5703125" style="412" customWidth="1"/>
    <col min="12293" max="12544" width="9.140625" style="412"/>
    <col min="12545" max="12545" width="23.28515625" style="412" customWidth="1"/>
    <col min="12546" max="12546" width="11.140625" style="412" customWidth="1"/>
    <col min="12547" max="12547" width="12.140625" style="412" customWidth="1"/>
    <col min="12548" max="12548" width="14.5703125" style="412" customWidth="1"/>
    <col min="12549" max="12800" width="9.140625" style="412"/>
    <col min="12801" max="12801" width="23.28515625" style="412" customWidth="1"/>
    <col min="12802" max="12802" width="11.140625" style="412" customWidth="1"/>
    <col min="12803" max="12803" width="12.140625" style="412" customWidth="1"/>
    <col min="12804" max="12804" width="14.5703125" style="412" customWidth="1"/>
    <col min="12805" max="13056" width="9.140625" style="412"/>
    <col min="13057" max="13057" width="23.28515625" style="412" customWidth="1"/>
    <col min="13058" max="13058" width="11.140625" style="412" customWidth="1"/>
    <col min="13059" max="13059" width="12.140625" style="412" customWidth="1"/>
    <col min="13060" max="13060" width="14.5703125" style="412" customWidth="1"/>
    <col min="13061" max="13312" width="9.140625" style="412"/>
    <col min="13313" max="13313" width="23.28515625" style="412" customWidth="1"/>
    <col min="13314" max="13314" width="11.140625" style="412" customWidth="1"/>
    <col min="13315" max="13315" width="12.140625" style="412" customWidth="1"/>
    <col min="13316" max="13316" width="14.5703125" style="412" customWidth="1"/>
    <col min="13317" max="13568" width="9.140625" style="412"/>
    <col min="13569" max="13569" width="23.28515625" style="412" customWidth="1"/>
    <col min="13570" max="13570" width="11.140625" style="412" customWidth="1"/>
    <col min="13571" max="13571" width="12.140625" style="412" customWidth="1"/>
    <col min="13572" max="13572" width="14.5703125" style="412" customWidth="1"/>
    <col min="13573" max="13824" width="9.140625" style="412"/>
    <col min="13825" max="13825" width="23.28515625" style="412" customWidth="1"/>
    <col min="13826" max="13826" width="11.140625" style="412" customWidth="1"/>
    <col min="13827" max="13827" width="12.140625" style="412" customWidth="1"/>
    <col min="13828" max="13828" width="14.5703125" style="412" customWidth="1"/>
    <col min="13829" max="14080" width="9.140625" style="412"/>
    <col min="14081" max="14081" width="23.28515625" style="412" customWidth="1"/>
    <col min="14082" max="14082" width="11.140625" style="412" customWidth="1"/>
    <col min="14083" max="14083" width="12.140625" style="412" customWidth="1"/>
    <col min="14084" max="14084" width="14.5703125" style="412" customWidth="1"/>
    <col min="14085" max="14336" width="9.140625" style="412"/>
    <col min="14337" max="14337" width="23.28515625" style="412" customWidth="1"/>
    <col min="14338" max="14338" width="11.140625" style="412" customWidth="1"/>
    <col min="14339" max="14339" width="12.140625" style="412" customWidth="1"/>
    <col min="14340" max="14340" width="14.5703125" style="412" customWidth="1"/>
    <col min="14341" max="14592" width="9.140625" style="412"/>
    <col min="14593" max="14593" width="23.28515625" style="412" customWidth="1"/>
    <col min="14594" max="14594" width="11.140625" style="412" customWidth="1"/>
    <col min="14595" max="14595" width="12.140625" style="412" customWidth="1"/>
    <col min="14596" max="14596" width="14.5703125" style="412" customWidth="1"/>
    <col min="14597" max="14848" width="9.140625" style="412"/>
    <col min="14849" max="14849" width="23.28515625" style="412" customWidth="1"/>
    <col min="14850" max="14850" width="11.140625" style="412" customWidth="1"/>
    <col min="14851" max="14851" width="12.140625" style="412" customWidth="1"/>
    <col min="14852" max="14852" width="14.5703125" style="412" customWidth="1"/>
    <col min="14853" max="15104" width="9.140625" style="412"/>
    <col min="15105" max="15105" width="23.28515625" style="412" customWidth="1"/>
    <col min="15106" max="15106" width="11.140625" style="412" customWidth="1"/>
    <col min="15107" max="15107" width="12.140625" style="412" customWidth="1"/>
    <col min="15108" max="15108" width="14.5703125" style="412" customWidth="1"/>
    <col min="15109" max="15360" width="9.140625" style="412"/>
    <col min="15361" max="15361" width="23.28515625" style="412" customWidth="1"/>
    <col min="15362" max="15362" width="11.140625" style="412" customWidth="1"/>
    <col min="15363" max="15363" width="12.140625" style="412" customWidth="1"/>
    <col min="15364" max="15364" width="14.5703125" style="412" customWidth="1"/>
    <col min="15365" max="15616" width="9.140625" style="412"/>
    <col min="15617" max="15617" width="23.28515625" style="412" customWidth="1"/>
    <col min="15618" max="15618" width="11.140625" style="412" customWidth="1"/>
    <col min="15619" max="15619" width="12.140625" style="412" customWidth="1"/>
    <col min="15620" max="15620" width="14.5703125" style="412" customWidth="1"/>
    <col min="15621" max="15872" width="9.140625" style="412"/>
    <col min="15873" max="15873" width="23.28515625" style="412" customWidth="1"/>
    <col min="15874" max="15874" width="11.140625" style="412" customWidth="1"/>
    <col min="15875" max="15875" width="12.140625" style="412" customWidth="1"/>
    <col min="15876" max="15876" width="14.5703125" style="412" customWidth="1"/>
    <col min="15877" max="16128" width="9.140625" style="412"/>
    <col min="16129" max="16129" width="23.28515625" style="412" customWidth="1"/>
    <col min="16130" max="16130" width="11.140625" style="412" customWidth="1"/>
    <col min="16131" max="16131" width="12.140625" style="412" customWidth="1"/>
    <col min="16132" max="16132" width="14.5703125" style="412" customWidth="1"/>
    <col min="16133" max="16384" width="9.140625" style="412"/>
  </cols>
  <sheetData>
    <row r="1" spans="1:8">
      <c r="A1" s="412" t="s">
        <v>564</v>
      </c>
    </row>
    <row r="2" spans="1:8">
      <c r="A2" s="412" t="s">
        <v>565</v>
      </c>
    </row>
    <row r="3" spans="1:8">
      <c r="B3" s="426"/>
      <c r="C3" s="416">
        <v>2013</v>
      </c>
    </row>
    <row r="4" spans="1:8">
      <c r="H4" s="429"/>
    </row>
    <row r="5" spans="1:8">
      <c r="H5" s="429"/>
    </row>
    <row r="6" spans="1:8">
      <c r="H6" s="429"/>
    </row>
    <row r="7" spans="1:8">
      <c r="B7" s="416" t="s">
        <v>15</v>
      </c>
      <c r="C7" s="416" t="s">
        <v>566</v>
      </c>
      <c r="D7" s="416" t="s">
        <v>567</v>
      </c>
      <c r="F7" s="416" t="s">
        <v>568</v>
      </c>
      <c r="H7" s="429"/>
    </row>
    <row r="8" spans="1:8">
      <c r="A8" s="412" t="s">
        <v>569</v>
      </c>
    </row>
    <row r="10" spans="1:8">
      <c r="A10" s="412" t="s">
        <v>570</v>
      </c>
      <c r="B10" s="412">
        <v>0</v>
      </c>
      <c r="C10" s="434">
        <f>F10/12*E10</f>
        <v>783063</v>
      </c>
      <c r="E10" s="412">
        <v>12</v>
      </c>
      <c r="F10" s="435">
        <v>783063</v>
      </c>
    </row>
    <row r="11" spans="1:8">
      <c r="A11" s="412" t="s">
        <v>571</v>
      </c>
      <c r="B11" s="412">
        <v>0</v>
      </c>
      <c r="F11" s="417"/>
    </row>
    <row r="12" spans="1:8">
      <c r="A12" s="412" t="s">
        <v>572</v>
      </c>
      <c r="D12" s="436">
        <f>+F12/12*E12</f>
        <v>0</v>
      </c>
      <c r="E12" s="412">
        <f>E10</f>
        <v>12</v>
      </c>
      <c r="F12" s="435">
        <v>0</v>
      </c>
    </row>
    <row r="13" spans="1:8">
      <c r="D13" s="436"/>
      <c r="F13" s="435"/>
    </row>
    <row r="14" spans="1:8">
      <c r="A14" s="412" t="s">
        <v>573</v>
      </c>
      <c r="D14" s="436">
        <f>+F14/12*E14</f>
        <v>0</v>
      </c>
      <c r="E14" s="412">
        <f>+E10</f>
        <v>12</v>
      </c>
      <c r="F14" s="435">
        <v>0</v>
      </c>
    </row>
    <row r="15" spans="1:8">
      <c r="A15" s="412" t="s">
        <v>574</v>
      </c>
      <c r="F15" s="417"/>
    </row>
    <row r="16" spans="1:8">
      <c r="A16" s="426" t="s">
        <v>819</v>
      </c>
      <c r="D16" s="436">
        <f>+F16/12*E16</f>
        <v>5000</v>
      </c>
      <c r="E16" s="412">
        <f>+E10</f>
        <v>12</v>
      </c>
      <c r="F16" s="437">
        <v>5000</v>
      </c>
    </row>
    <row r="18" spans="1:4">
      <c r="C18" s="438">
        <f>SUM(C10:C17)</f>
        <v>783063</v>
      </c>
      <c r="D18" s="438">
        <f>SUM(D10:D17)</f>
        <v>5000</v>
      </c>
    </row>
    <row r="19" spans="1:4">
      <c r="A19" s="412" t="s">
        <v>575</v>
      </c>
      <c r="C19" s="439">
        <v>0.36828277844786228</v>
      </c>
      <c r="D19" s="439">
        <v>4.4750623032086156E-2</v>
      </c>
    </row>
    <row r="21" spans="1:4">
      <c r="A21" s="412" t="s">
        <v>15</v>
      </c>
      <c r="B21" s="440">
        <f>SUM(C21:D21)</f>
        <v>288613</v>
      </c>
      <c r="C21" s="438">
        <f>ROUND(C19*C18,0)</f>
        <v>288389</v>
      </c>
      <c r="D21" s="438">
        <f>ROUND(D19*D18,0)</f>
        <v>224</v>
      </c>
    </row>
    <row r="23" spans="1:4">
      <c r="A23" s="412" t="s">
        <v>576</v>
      </c>
      <c r="B23" s="419"/>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vt:i4>
      </vt:variant>
    </vt:vector>
  </HeadingPairs>
  <TitlesOfParts>
    <vt:vector size="17" baseType="lpstr">
      <vt:lpstr>Network True-up</vt:lpstr>
      <vt:lpstr>ATC Attach O ER13-1181</vt:lpstr>
      <vt:lpstr>Revenue Breakout</vt:lpstr>
      <vt:lpstr>ATC Attach GG ER13-2297</vt:lpstr>
      <vt:lpstr>ATC Attach MM ER13-12</vt:lpstr>
      <vt:lpstr>Sch 1 True-Up Adjustment</vt:lpstr>
      <vt:lpstr>Def. Tax Avg Calc</vt:lpstr>
      <vt:lpstr>Calc. of Wgt. Avg. Debt Rate</vt:lpstr>
      <vt:lpstr>Permanent</vt:lpstr>
      <vt:lpstr>Excess Deferreds</vt:lpstr>
      <vt:lpstr>SIT</vt:lpstr>
      <vt:lpstr>TEP</vt:lpstr>
      <vt:lpstr>2011 Schedule 26 True-Up</vt:lpstr>
      <vt:lpstr>Accounting Changes</vt:lpstr>
      <vt:lpstr>'ATC Attach GG ER13-2297'!Print_Area</vt:lpstr>
      <vt:lpstr>'ATC Attach MM ER13-12'!Print_Area</vt:lpstr>
      <vt:lpstr>TEP!Print_Area</vt:lpstr>
    </vt:vector>
  </TitlesOfParts>
  <Company>American Transmission 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Degenhardt, Michael</dc:creator>
  <cp:lastModifiedBy>Louden, Marcia</cp:lastModifiedBy>
  <cp:lastPrinted>2014-05-22T16:07:01Z</cp:lastPrinted>
  <dcterms:created xsi:type="dcterms:W3CDTF">2014-01-02T17:43:35Z</dcterms:created>
  <dcterms:modified xsi:type="dcterms:W3CDTF">2014-05-28T18:00:10Z</dcterms:modified>
</cp:coreProperties>
</file>