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userName="Figliuzzi, Tiffany" algorithmName="SHA-512" hashValue="DGlHm1XrEUW+ADlZjGDxQ2cSPpIaPXItf4O2mFSKdoYQBdsAi6HRmtPrl9d1xfYB50N963cY6v1uBcKxdhtYrA==" saltValue="4grFS9PsULQSnNX0cLWOqQ==" spinCount="100000"/>
  <workbookPr codeName="ThisWorkbook" defaultThemeVersion="124226"/>
  <mc:AlternateContent xmlns:mc="http://schemas.openxmlformats.org/markup-compatibility/2006">
    <mc:Choice Requires="x15">
      <x15ac:absPath xmlns:x15ac="http://schemas.microsoft.com/office/spreadsheetml/2010/11/ac" url="T:\Financial Reporting and Analysis\True-up\2014\Attachment O, GG, MM, Sch. 1\"/>
    </mc:Choice>
  </mc:AlternateContent>
  <bookViews>
    <workbookView xWindow="240" yWindow="1050" windowWidth="19065" windowHeight="4665" tabRatio="811"/>
  </bookViews>
  <sheets>
    <sheet name="Network True-up" sheetId="113" r:id="rId1"/>
    <sheet name="ATC Attach O ER13-1181" sheetId="90" r:id="rId2"/>
    <sheet name="Revenue Breakout" sheetId="115" r:id="rId3"/>
    <sheet name="ATC Attach GG ER13-2297" sheetId="94" r:id="rId4"/>
    <sheet name="GG Support Data" sheetId="97" r:id="rId5"/>
    <sheet name="ATC Attach MM ER13-12" sheetId="39" r:id="rId6"/>
    <sheet name="MM Support Data" sheetId="22" r:id="rId7"/>
    <sheet name="ATC Sch 1 - True up Adjustment" sheetId="55" r:id="rId8"/>
    <sheet name="CWIP" sheetId="119" r:id="rId9"/>
    <sheet name="Def. Tax Avg Calc" sheetId="110" r:id="rId10"/>
    <sheet name="Calc. of Wgt. Avg. Debt Rate" sheetId="109" r:id="rId11"/>
    <sheet name="Permanent" sheetId="106" r:id="rId12"/>
    <sheet name="Excess Deferreds" sheetId="116" r:id="rId13"/>
    <sheet name="SIT" sheetId="105" r:id="rId14"/>
    <sheet name="TEP" sheetId="117" r:id="rId15"/>
    <sheet name="2012 Schedule 26 True-up Adj" sheetId="111" r:id="rId16"/>
    <sheet name="Schedule 26A True-up" sheetId="112" r:id="rId17"/>
  </sheets>
  <externalReferences>
    <externalReference r:id="rId18"/>
    <externalReference r:id="rId19"/>
    <externalReference r:id="rId20"/>
    <externalReference r:id="rId21"/>
    <externalReference r:id="rId22"/>
  </externalReferences>
  <definedNames>
    <definedName name="_1E_1">#N/A</definedName>
    <definedName name="_31_Dec_00" localSheetId="15">#REF!</definedName>
    <definedName name="_31_Dec_00" localSheetId="10">#REF!</definedName>
    <definedName name="_31_Dec_00" localSheetId="12">#REF!</definedName>
    <definedName name="_31_Dec_00" localSheetId="16">#REF!</definedName>
    <definedName name="_31_Dec_00" localSheetId="14">#REF!</definedName>
    <definedName name="_31_Dec_00">#REF!</definedName>
    <definedName name="_31_Jan_01" localSheetId="15">#REF!</definedName>
    <definedName name="_31_Jan_01" localSheetId="10">#REF!</definedName>
    <definedName name="_31_Jan_01" localSheetId="12">#REF!</definedName>
    <definedName name="_31_Jan_01" localSheetId="16">#REF!</definedName>
    <definedName name="_31_Jan_01" localSheetId="14">#REF!</definedName>
    <definedName name="_31_Jan_01">#REF!</definedName>
    <definedName name="Balances" localSheetId="15">#REF!</definedName>
    <definedName name="Balances" localSheetId="10">#REF!</definedName>
    <definedName name="Balances" localSheetId="12">#REF!</definedName>
    <definedName name="Balances" localSheetId="16">#REF!</definedName>
    <definedName name="Balances" localSheetId="14">#REF!</definedName>
    <definedName name="Balances">#REF!</definedName>
    <definedName name="CH_COS" localSheetId="15">#REF!</definedName>
    <definedName name="CH_COS" localSheetId="10">#REF!</definedName>
    <definedName name="CH_COS" localSheetId="16">#REF!</definedName>
    <definedName name="CH_COS">#REF!</definedName>
    <definedName name="ClearALL" localSheetId="15">#REF!</definedName>
    <definedName name="ClearALL" localSheetId="10">#REF!</definedName>
    <definedName name="ClearALL" localSheetId="16">#REF!</definedName>
    <definedName name="ClearALL">#REF!</definedName>
    <definedName name="COA1Copy" localSheetId="15">#REF!</definedName>
    <definedName name="COA1Copy" localSheetId="10">#REF!</definedName>
    <definedName name="COA1Copy" localSheetId="16">#REF!</definedName>
    <definedName name="COA1Copy">#REF!</definedName>
    <definedName name="COA1Paste" localSheetId="15">#REF!</definedName>
    <definedName name="COA1Paste" localSheetId="10">#REF!</definedName>
    <definedName name="COA1Paste" localSheetId="16">#REF!</definedName>
    <definedName name="COA1Paste">#REF!</definedName>
    <definedName name="COA2Copy" localSheetId="15">#REF!</definedName>
    <definedName name="COA2Copy" localSheetId="10">#REF!</definedName>
    <definedName name="COA2Copy" localSheetId="16">#REF!</definedName>
    <definedName name="COA2Copy">#REF!</definedName>
    <definedName name="COA2Paste" localSheetId="15">#REF!</definedName>
    <definedName name="COA2Paste" localSheetId="10">#REF!</definedName>
    <definedName name="COA2Paste" localSheetId="16">#REF!</definedName>
    <definedName name="COA2Paste">#REF!</definedName>
    <definedName name="COAHardCode" localSheetId="15">#REF!</definedName>
    <definedName name="COAHardCode" localSheetId="10">#REF!</definedName>
    <definedName name="COAHardCode" localSheetId="16">#REF!</definedName>
    <definedName name="COAHardCode">#REF!</definedName>
    <definedName name="Columns" localSheetId="15">#REF!</definedName>
    <definedName name="Columns" localSheetId="10">#REF!</definedName>
    <definedName name="Columns" localSheetId="16">#REF!</definedName>
    <definedName name="Columns">#REF!</definedName>
    <definedName name="Columns2" localSheetId="15">#REF!</definedName>
    <definedName name="Columns2" localSheetId="10">#REF!</definedName>
    <definedName name="Columns2" localSheetId="16">#REF!</definedName>
    <definedName name="Columns2">#REF!</definedName>
    <definedName name="ControlTotal" localSheetId="15">#REF!</definedName>
    <definedName name="ControlTotal" localSheetId="10">#REF!</definedName>
    <definedName name="ControlTotal" localSheetId="16">#REF!</definedName>
    <definedName name="ControlTotal">#REF!</definedName>
    <definedName name="Current_sum" localSheetId="15">#REF!</definedName>
    <definedName name="Current_sum" localSheetId="10">#REF!</definedName>
    <definedName name="Current_sum" localSheetId="16">#REF!</definedName>
    <definedName name="Current_sum">#REF!</definedName>
    <definedName name="data_3" localSheetId="15">[1]Permanent!$A$9:$O$20</definedName>
    <definedName name="data_3" localSheetId="10">[1]Permanent!$A$9:$O$20</definedName>
    <definedName name="data_3" localSheetId="16">[1]Permanent!$A$9:$O$20</definedName>
    <definedName name="data_3">[2]Permanent!$A$9:$O$20</definedName>
    <definedName name="DefaultCopy" localSheetId="15">#REF!</definedName>
    <definedName name="DefaultCopy" localSheetId="10">#REF!</definedName>
    <definedName name="DefaultCopy" localSheetId="12">#REF!</definedName>
    <definedName name="DefaultCopy" localSheetId="16">#REF!</definedName>
    <definedName name="DefaultCopy" localSheetId="14">#REF!</definedName>
    <definedName name="DefaultCopy">#REF!</definedName>
    <definedName name="DefaultPaste" localSheetId="15">#REF!</definedName>
    <definedName name="DefaultPaste" localSheetId="10">#REF!</definedName>
    <definedName name="DefaultPaste" localSheetId="12">#REF!</definedName>
    <definedName name="DefaultPaste" localSheetId="16">#REF!</definedName>
    <definedName name="DefaultPaste" localSheetId="14">#REF!</definedName>
    <definedName name="DefaultPaste">#REF!</definedName>
    <definedName name="DefaultPaste2" localSheetId="15">#REF!</definedName>
    <definedName name="DefaultPaste2" localSheetId="10">#REF!</definedName>
    <definedName name="DefaultPaste2" localSheetId="12">#REF!</definedName>
    <definedName name="DefaultPaste2" localSheetId="16">#REF!</definedName>
    <definedName name="DefaultPaste2" localSheetId="14">#REF!</definedName>
    <definedName name="DefaultPaste2">#REF!</definedName>
    <definedName name="detail" localSheetId="15">#REF!</definedName>
    <definedName name="detail" localSheetId="10">#REF!</definedName>
    <definedName name="detail" localSheetId="16">#REF!</definedName>
    <definedName name="detail">#REF!</definedName>
    <definedName name="FCN" localSheetId="15">#REF!</definedName>
    <definedName name="FCN" localSheetId="10">#REF!</definedName>
    <definedName name="FCN" localSheetId="16">#REF!</definedName>
    <definedName name="FCN">#REF!</definedName>
    <definedName name="GotoCo" localSheetId="15">#REF!</definedName>
    <definedName name="GotoCo" localSheetId="10">#REF!</definedName>
    <definedName name="GotoCo" localSheetId="16">#REF!</definedName>
    <definedName name="GotoCo">#REF!</definedName>
    <definedName name="itc" localSheetId="15">#REF!</definedName>
    <definedName name="itc" localSheetId="10">#REF!</definedName>
    <definedName name="itc" localSheetId="16">#REF!</definedName>
    <definedName name="itc">#REF!</definedName>
    <definedName name="kk" localSheetId="15">#REF!</definedName>
    <definedName name="kk" localSheetId="10">#REF!</definedName>
    <definedName name="kk" localSheetId="16">#REF!</definedName>
    <definedName name="kk">#REF!</definedName>
    <definedName name="LDC" localSheetId="15">#REF!</definedName>
    <definedName name="LDC" localSheetId="10">#REF!</definedName>
    <definedName name="LDC" localSheetId="16">#REF!</definedName>
    <definedName name="LDC">#REF!</definedName>
    <definedName name="Mgmt" localSheetId="11">[3]Current!#REF!</definedName>
    <definedName name="Mgmt">[4]Current!#REF!</definedName>
    <definedName name="months" localSheetId="15">[1]Permanent!$A$24:$A$35</definedName>
    <definedName name="months" localSheetId="10">[1]Permanent!$A$24:$A$35</definedName>
    <definedName name="months" localSheetId="16">[1]Permanent!$A$24:$A$35</definedName>
    <definedName name="months">[2]Permanent!$A$24:$A$35</definedName>
    <definedName name="Net" localSheetId="15">#REF!</definedName>
    <definedName name="Net" localSheetId="10">#REF!</definedName>
    <definedName name="Net" localSheetId="12">#REF!</definedName>
    <definedName name="Net" localSheetId="16">#REF!</definedName>
    <definedName name="Net" localSheetId="14">#REF!</definedName>
    <definedName name="Net">#REF!</definedName>
    <definedName name="new" localSheetId="15">#REF!</definedName>
    <definedName name="new" localSheetId="10">#REF!</definedName>
    <definedName name="new" localSheetId="12">#REF!</definedName>
    <definedName name="new" localSheetId="16">#REF!</definedName>
    <definedName name="new" localSheetId="14">#REF!</definedName>
    <definedName name="new">#REF!</definedName>
    <definedName name="NSP_COS" localSheetId="15">#REF!</definedName>
    <definedName name="NSP_COS" localSheetId="10">#REF!</definedName>
    <definedName name="NSP_COS" localSheetId="12">#REF!</definedName>
    <definedName name="NSP_COS" localSheetId="16">#REF!</definedName>
    <definedName name="NSP_COS" localSheetId="14">#REF!</definedName>
    <definedName name="NSP_COS">#REF!</definedName>
    <definedName name="PPJE" localSheetId="15">#REF!</definedName>
    <definedName name="PPJE" localSheetId="10">#REF!</definedName>
    <definedName name="PPJE" localSheetId="16">#REF!</definedName>
    <definedName name="PPJE">#REF!</definedName>
    <definedName name="_xlnm.Print_Area" localSheetId="3">'ATC Attach GG ER13-2297'!$B$1:$P$117</definedName>
    <definedName name="_xlnm.Print_Area" localSheetId="5">'ATC Attach MM ER13-12'!$B$1:$T$117</definedName>
    <definedName name="_xlnm.Print_Area" localSheetId="1">'ATC Attach O ER13-1181'!$A$1:$K$333</definedName>
    <definedName name="_xlnm.Print_Area" localSheetId="7">'ATC Sch 1 - True up Adjustment'!$A$1:$G$34</definedName>
    <definedName name="_xlnm.Print_Area" localSheetId="10">'Calc. of Wgt. Avg. Debt Rate'!$A$1:$H$40</definedName>
    <definedName name="_xlnm.Print_Area" localSheetId="4">'GG Support Data'!$A$2:$P$67</definedName>
    <definedName name="_xlnm.Print_Area" localSheetId="6">'MM Support Data'!$A$2:$N$67</definedName>
    <definedName name="_xlnm.Print_Area" localSheetId="14">TEP!$A$1:$C$20</definedName>
    <definedName name="Print1" localSheetId="15">#REF!</definedName>
    <definedName name="Print1" localSheetId="10">#REF!</definedName>
    <definedName name="Print1" localSheetId="12">#REF!</definedName>
    <definedName name="Print1" localSheetId="16">#REF!</definedName>
    <definedName name="Print1" localSheetId="14">#REF!</definedName>
    <definedName name="Print1">#REF!</definedName>
    <definedName name="Print3" localSheetId="15">#REF!</definedName>
    <definedName name="Print3" localSheetId="10">#REF!</definedName>
    <definedName name="Print3" localSheetId="12">#REF!</definedName>
    <definedName name="Print3" localSheetId="16">#REF!</definedName>
    <definedName name="Print3" localSheetId="14">#REF!</definedName>
    <definedName name="Print3">#REF!</definedName>
    <definedName name="Print4" localSheetId="15">#REF!</definedName>
    <definedName name="Print4" localSheetId="10">#REF!</definedName>
    <definedName name="Print4" localSheetId="12">#REF!</definedName>
    <definedName name="Print4" localSheetId="16">#REF!</definedName>
    <definedName name="Print4" localSheetId="14">#REF!</definedName>
    <definedName name="Print4">#REF!</definedName>
    <definedName name="Print5" localSheetId="15">#REF!</definedName>
    <definedName name="Print5" localSheetId="10">#REF!</definedName>
    <definedName name="Print5" localSheetId="16">#REF!</definedName>
    <definedName name="Print5">#REF!</definedName>
    <definedName name="PrintJE" localSheetId="15">#REF!</definedName>
    <definedName name="PrintJE" localSheetId="10">#REF!</definedName>
    <definedName name="PrintJE" localSheetId="16">#REF!</definedName>
    <definedName name="PrintJE">#REF!</definedName>
    <definedName name="ProjIDList" localSheetId="15">#REF!</definedName>
    <definedName name="ProjIDList" localSheetId="10">#REF!</definedName>
    <definedName name="ProjIDList" localSheetId="16">#REF!</definedName>
    <definedName name="ProjIDList">#REF!</definedName>
    <definedName name="PSCo_COS" localSheetId="15">#REF!</definedName>
    <definedName name="PSCo_COS" localSheetId="10">#REF!</definedName>
    <definedName name="PSCo_COS" localSheetId="16">#REF!</definedName>
    <definedName name="PSCo_COS">#REF!</definedName>
    <definedName name="q_MTEP06_App_AB_Facility" localSheetId="15">#REF!</definedName>
    <definedName name="q_MTEP06_App_AB_Facility" localSheetId="10">#REF!</definedName>
    <definedName name="q_MTEP06_App_AB_Facility" localSheetId="16">#REF!</definedName>
    <definedName name="q_MTEP06_App_AB_Facility">#REF!</definedName>
    <definedName name="q_MTEP06_App_AB_Projects" localSheetId="15">#REF!</definedName>
    <definedName name="q_MTEP06_App_AB_Projects" localSheetId="10">#REF!</definedName>
    <definedName name="q_MTEP06_App_AB_Projects" localSheetId="16">#REF!</definedName>
    <definedName name="q_MTEP06_App_AB_Projects">#REF!</definedName>
    <definedName name="revreq" localSheetId="15">#REF!</definedName>
    <definedName name="revreq" localSheetId="10">#REF!</definedName>
    <definedName name="revreq" localSheetId="16">#REF!</definedName>
    <definedName name="revreq">#REF!</definedName>
    <definedName name="SPS_COS" localSheetId="15">#REF!</definedName>
    <definedName name="SPS_COS" localSheetId="10">#REF!</definedName>
    <definedName name="SPS_COS" localSheetId="16">#REF!</definedName>
    <definedName name="SPS_COS">#REF!</definedName>
    <definedName name="taxcalc" localSheetId="15">#REF!</definedName>
    <definedName name="taxcalc" localSheetId="10">#REF!</definedName>
    <definedName name="taxcalc" localSheetId="16">#REF!</definedName>
    <definedName name="taxcalc">#REF!</definedName>
    <definedName name="Tota_Deferred" localSheetId="15">#REF!</definedName>
    <definedName name="Tota_Deferred" localSheetId="10">#REF!</definedName>
    <definedName name="Tota_Deferred" localSheetId="16">#REF!</definedName>
    <definedName name="Tota_Deferred">#REF!</definedName>
    <definedName name="WOStatus" localSheetId="15">#REF!</definedName>
    <definedName name="WOStatus" localSheetId="10">#REF!</definedName>
    <definedName name="WOStatus" localSheetId="16">#REF!</definedName>
    <definedName name="WOStatus">#REF!</definedName>
    <definedName name="WoTask" localSheetId="15">#REF!</definedName>
    <definedName name="WoTask" localSheetId="10">#REF!</definedName>
    <definedName name="WoTask" localSheetId="16">#REF!</definedName>
    <definedName name="WoTask">#REF!</definedName>
    <definedName name="Xcel">'[5]Data Entry and Forecaster'!#REF!</definedName>
    <definedName name="Xcel_COS" localSheetId="15">#REF!</definedName>
    <definedName name="Xcel_COS" localSheetId="10">#REF!</definedName>
    <definedName name="Xcel_COS" localSheetId="12">#REF!</definedName>
    <definedName name="Xcel_COS" localSheetId="16">#REF!</definedName>
    <definedName name="Xcel_COS" localSheetId="14">#REF!</definedName>
    <definedName name="Xcel_COS">#REF!</definedName>
    <definedName name="Z_26693155_D691_4427_8747_8AAE3A06AD6E_.wvu.PrintArea" localSheetId="1" hidden="1">'ATC Attach O ER13-1181'!$A$1:$K$337</definedName>
  </definedNames>
  <calcPr calcId="152511" iterate="1" iterateCount="1500" calcOnSave="0"/>
</workbook>
</file>

<file path=xl/calcChain.xml><?xml version="1.0" encoding="utf-8"?>
<calcChain xmlns="http://schemas.openxmlformats.org/spreadsheetml/2006/main">
  <c r="Q28" i="119" l="1"/>
  <c r="Q29" i="119"/>
  <c r="Q30" i="119"/>
  <c r="Q31" i="119"/>
  <c r="Q32" i="119"/>
  <c r="Q33" i="119"/>
  <c r="Q34" i="119"/>
  <c r="Q35" i="119"/>
  <c r="Q36" i="119"/>
  <c r="Q37" i="119"/>
  <c r="Q38" i="119"/>
  <c r="Q39" i="119"/>
  <c r="Q40" i="119"/>
  <c r="Q41" i="119"/>
  <c r="Q42" i="119"/>
  <c r="Q43" i="119"/>
  <c r="Q44" i="119"/>
  <c r="Q45" i="119"/>
  <c r="Q46" i="119"/>
  <c r="Q47" i="119"/>
  <c r="Q48" i="119"/>
  <c r="Q49" i="119"/>
  <c r="Q50" i="119"/>
  <c r="Q51" i="119"/>
  <c r="Q52" i="119"/>
  <c r="Q53" i="119"/>
  <c r="Q54" i="119"/>
  <c r="Q27" i="119"/>
  <c r="Q55" i="119" l="1"/>
  <c r="D20" i="119" l="1"/>
  <c r="D19" i="119"/>
  <c r="D18" i="119"/>
  <c r="D17" i="119"/>
  <c r="D16" i="119"/>
  <c r="D15" i="119"/>
  <c r="D14" i="119"/>
  <c r="D13" i="119"/>
  <c r="D12" i="119"/>
  <c r="D11" i="119"/>
  <c r="D10" i="119"/>
  <c r="D9" i="119"/>
  <c r="D8" i="119"/>
  <c r="E22" i="119" l="1"/>
  <c r="D88" i="90" s="1"/>
  <c r="Q74" i="39" l="1"/>
  <c r="Q73" i="39"/>
  <c r="P74" i="39"/>
  <c r="P73" i="39"/>
  <c r="M74" i="39"/>
  <c r="M73" i="39"/>
  <c r="G74" i="39"/>
  <c r="G73" i="39"/>
  <c r="F74" i="39"/>
  <c r="F73" i="39"/>
  <c r="M88" i="94"/>
  <c r="M87" i="94"/>
  <c r="M86" i="94"/>
  <c r="M85" i="94"/>
  <c r="M84" i="94"/>
  <c r="M83" i="94"/>
  <c r="M82" i="94"/>
  <c r="M81" i="94"/>
  <c r="M80" i="94"/>
  <c r="M79" i="94"/>
  <c r="M78" i="94"/>
  <c r="M77" i="94"/>
  <c r="M76" i="94"/>
  <c r="M75" i="94"/>
  <c r="L88" i="94"/>
  <c r="L87" i="94"/>
  <c r="L86" i="94"/>
  <c r="L85" i="94"/>
  <c r="L84" i="94"/>
  <c r="L83" i="94"/>
  <c r="L82" i="94"/>
  <c r="L81" i="94"/>
  <c r="L79" i="94"/>
  <c r="L80" i="94"/>
  <c r="L78" i="94"/>
  <c r="L77" i="94"/>
  <c r="L76" i="94"/>
  <c r="L75" i="94"/>
  <c r="I88" i="94"/>
  <c r="I87" i="94"/>
  <c r="I86" i="94"/>
  <c r="I85" i="94"/>
  <c r="I84" i="94"/>
  <c r="I83" i="94"/>
  <c r="I82" i="94"/>
  <c r="I81" i="94"/>
  <c r="I80" i="94"/>
  <c r="I79" i="94"/>
  <c r="I78" i="94"/>
  <c r="I77" i="94"/>
  <c r="I76" i="94"/>
  <c r="I75" i="94"/>
  <c r="F88" i="94"/>
  <c r="F87" i="94"/>
  <c r="F86" i="94"/>
  <c r="F85" i="94"/>
  <c r="F84" i="94"/>
  <c r="F83" i="94"/>
  <c r="F82" i="94"/>
  <c r="F81" i="94"/>
  <c r="F80" i="94"/>
  <c r="F79" i="94"/>
  <c r="F78" i="94"/>
  <c r="F77" i="94"/>
  <c r="F76" i="94"/>
  <c r="F75" i="94"/>
  <c r="C24" i="115" l="1"/>
  <c r="A23" i="115"/>
  <c r="A21" i="115"/>
  <c r="C21" i="115"/>
  <c r="A19" i="115"/>
  <c r="A20" i="115"/>
  <c r="C19" i="115"/>
  <c r="E20" i="117" l="1"/>
  <c r="D313" i="90"/>
  <c r="D191" i="90"/>
  <c r="C10" i="117"/>
  <c r="C12" i="117" s="1"/>
  <c r="C16" i="117" s="1"/>
  <c r="C20" i="117" s="1"/>
  <c r="D20" i="116"/>
  <c r="F19" i="116"/>
  <c r="D19" i="116"/>
  <c r="C19" i="116"/>
  <c r="B19" i="116"/>
  <c r="E18" i="116"/>
  <c r="E19" i="116" s="1"/>
  <c r="E10" i="116"/>
  <c r="E9" i="116"/>
  <c r="I280" i="90"/>
  <c r="E20" i="116" l="1"/>
  <c r="E21" i="116" s="1"/>
  <c r="F20" i="116"/>
  <c r="F21" i="116" s="1"/>
  <c r="F22" i="116" s="1"/>
  <c r="F23" i="116" s="1"/>
  <c r="F24" i="116" s="1"/>
  <c r="G19" i="116"/>
  <c r="G20" i="116" s="1"/>
  <c r="C21" i="116"/>
  <c r="C23" i="116"/>
  <c r="C25" i="116"/>
  <c r="D21" i="116"/>
  <c r="D22" i="116" s="1"/>
  <c r="C20" i="116"/>
  <c r="B20" i="116" s="1"/>
  <c r="C22" i="116"/>
  <c r="C24" i="116"/>
  <c r="C26" i="116"/>
  <c r="G8" i="113"/>
  <c r="C35" i="115" s="1"/>
  <c r="A10" i="115"/>
  <c r="A12" i="115" s="1"/>
  <c r="A13" i="115" s="1"/>
  <c r="A14" i="115" s="1"/>
  <c r="A15" i="115" s="1"/>
  <c r="A16" i="115" s="1"/>
  <c r="A17" i="115" s="1"/>
  <c r="A18" i="115" s="1"/>
  <c r="A24" i="115" s="1"/>
  <c r="A25" i="115" s="1"/>
  <c r="A26" i="115" s="1"/>
  <c r="A27" i="115" s="1"/>
  <c r="A28" i="115" s="1"/>
  <c r="C23" i="115"/>
  <c r="C25" i="115"/>
  <c r="I284" i="90" s="1"/>
  <c r="C26" i="115"/>
  <c r="I285" i="90" s="1"/>
  <c r="C27" i="115"/>
  <c r="I286" i="90" s="1"/>
  <c r="C28" i="115"/>
  <c r="D23" i="116" l="1"/>
  <c r="F25" i="116"/>
  <c r="F26" i="116" s="1"/>
  <c r="E22" i="116"/>
  <c r="E23" i="116" s="1"/>
  <c r="B22" i="116"/>
  <c r="B21" i="116"/>
  <c r="D24" i="116"/>
  <c r="B24" i="116" s="1"/>
  <c r="C28" i="116"/>
  <c r="C27" i="116"/>
  <c r="G21" i="116"/>
  <c r="G22" i="116" s="1"/>
  <c r="G23" i="116" s="1"/>
  <c r="G24" i="116" s="1"/>
  <c r="G25" i="116" l="1"/>
  <c r="D25" i="116"/>
  <c r="B25" i="116" s="1"/>
  <c r="E24" i="116"/>
  <c r="E25" i="116" s="1"/>
  <c r="D26" i="116"/>
  <c r="B26" i="116" s="1"/>
  <c r="C29" i="116"/>
  <c r="C30" i="116" s="1"/>
  <c r="B23" i="116"/>
  <c r="F27" i="116"/>
  <c r="F28" i="116" s="1"/>
  <c r="F29" i="116" s="1"/>
  <c r="P24" i="97"/>
  <c r="F30" i="116" l="1"/>
  <c r="G26" i="116"/>
  <c r="G27" i="116" s="1"/>
  <c r="G28" i="116" s="1"/>
  <c r="E26" i="116"/>
  <c r="D29" i="116"/>
  <c r="B29" i="116" s="1"/>
  <c r="C31" i="116"/>
  <c r="D28" i="116"/>
  <c r="B28" i="116" s="1"/>
  <c r="D27" i="116"/>
  <c r="C32" i="116" l="1"/>
  <c r="E27" i="116"/>
  <c r="E28" i="116" s="1"/>
  <c r="E29" i="116" s="1"/>
  <c r="E30" i="116" s="1"/>
  <c r="G29" i="116"/>
  <c r="F31" i="116"/>
  <c r="F32" i="116" s="1"/>
  <c r="B27" i="116"/>
  <c r="D30" i="116"/>
  <c r="G30" i="116" l="1"/>
  <c r="G31" i="116" s="1"/>
  <c r="C33" i="116"/>
  <c r="B30" i="116"/>
  <c r="D31" i="116"/>
  <c r="E31" i="116" s="1"/>
  <c r="C34" i="116"/>
  <c r="D21" i="113"/>
  <c r="D23" i="113" s="1"/>
  <c r="G23" i="113" s="1"/>
  <c r="C35" i="116" l="1"/>
  <c r="F33" i="116"/>
  <c r="F34" i="116" s="1"/>
  <c r="F35" i="116" s="1"/>
  <c r="B31" i="116"/>
  <c r="D32" i="116"/>
  <c r="S74" i="39"/>
  <c r="S73" i="39"/>
  <c r="D33" i="116" l="1"/>
  <c r="B32" i="116"/>
  <c r="G32" i="116"/>
  <c r="C36" i="116"/>
  <c r="F36" i="116"/>
  <c r="E32" i="116"/>
  <c r="E33" i="116" s="1"/>
  <c r="O87" i="94"/>
  <c r="O86" i="94"/>
  <c r="O85" i="94"/>
  <c r="O84" i="94"/>
  <c r="O83" i="94"/>
  <c r="O82" i="94"/>
  <c r="O81" i="94"/>
  <c r="O80" i="94"/>
  <c r="O79" i="94"/>
  <c r="O78" i="94"/>
  <c r="O77" i="94"/>
  <c r="O76" i="94"/>
  <c r="G33" i="116" l="1"/>
  <c r="D34" i="116"/>
  <c r="B33" i="116"/>
  <c r="O75" i="94"/>
  <c r="G268" i="90"/>
  <c r="D27" i="109"/>
  <c r="C24" i="109"/>
  <c r="D24" i="109" s="1"/>
  <c r="B9" i="109"/>
  <c r="B39" i="109" s="1"/>
  <c r="C21" i="109"/>
  <c r="D21" i="109" s="1"/>
  <c r="C10" i="106"/>
  <c r="C14" i="106" s="1"/>
  <c r="C18" i="105"/>
  <c r="D16" i="105"/>
  <c r="D15" i="105"/>
  <c r="D14" i="105"/>
  <c r="D13" i="105"/>
  <c r="D12" i="105"/>
  <c r="D11" i="105"/>
  <c r="D18" i="105" s="1"/>
  <c r="D35" i="116" l="1"/>
  <c r="B34" i="116"/>
  <c r="G34" i="116"/>
  <c r="E34" i="116"/>
  <c r="E35" i="116" s="1"/>
  <c r="C29" i="109"/>
  <c r="D29" i="109" s="1"/>
  <c r="D8" i="109"/>
  <c r="C10" i="109"/>
  <c r="D10" i="109" s="1"/>
  <c r="C12" i="109"/>
  <c r="D12" i="109" s="1"/>
  <c r="C14" i="109"/>
  <c r="D14" i="109" s="1"/>
  <c r="C16" i="109"/>
  <c r="D16" i="109" s="1"/>
  <c r="C18" i="109"/>
  <c r="D18" i="109" s="1"/>
  <c r="C20" i="109"/>
  <c r="D20" i="109" s="1"/>
  <c r="C22" i="109"/>
  <c r="C25" i="109"/>
  <c r="D25" i="109" s="1"/>
  <c r="C26" i="109"/>
  <c r="D26" i="109" s="1"/>
  <c r="C28" i="109"/>
  <c r="D28" i="109" s="1"/>
  <c r="C9" i="109"/>
  <c r="D9" i="109" s="1"/>
  <c r="C11" i="109"/>
  <c r="D11" i="109" s="1"/>
  <c r="C13" i="109"/>
  <c r="D13" i="109" s="1"/>
  <c r="C15" i="109"/>
  <c r="D15" i="109" s="1"/>
  <c r="C17" i="109"/>
  <c r="D17" i="109" s="1"/>
  <c r="C19" i="109"/>
  <c r="D19" i="109" s="1"/>
  <c r="E12" i="106"/>
  <c r="D12" i="106" s="1"/>
  <c r="G35" i="116" l="1"/>
  <c r="G36" i="116" s="1"/>
  <c r="D36" i="116"/>
  <c r="B36" i="116" s="1"/>
  <c r="B35" i="116"/>
  <c r="D14" i="106"/>
  <c r="D22" i="109"/>
  <c r="C23" i="109"/>
  <c r="D23" i="109" s="1"/>
  <c r="C30" i="109"/>
  <c r="E36" i="116" l="1"/>
  <c r="D30" i="109"/>
  <c r="C31" i="109"/>
  <c r="D31" i="109" s="1"/>
  <c r="C32" i="109" l="1"/>
  <c r="D32" i="109" s="1"/>
  <c r="C33" i="109" l="1"/>
  <c r="C34" i="109"/>
  <c r="D34" i="109" s="1"/>
  <c r="D33" i="109" l="1"/>
  <c r="C35" i="109"/>
  <c r="D35" i="109" l="1"/>
  <c r="C36" i="109"/>
  <c r="D36" i="109" l="1"/>
  <c r="C37" i="109"/>
  <c r="D37" i="109" l="1"/>
  <c r="C38" i="109"/>
  <c r="D38" i="109" s="1"/>
  <c r="E38" i="109" l="1"/>
  <c r="H38" i="109" s="1"/>
  <c r="D39" i="109"/>
  <c r="E37" i="109"/>
  <c r="H37" i="109" s="1"/>
  <c r="C17" i="106"/>
  <c r="D17" i="106"/>
  <c r="E24" i="109" l="1"/>
  <c r="H24" i="109" s="1"/>
  <c r="E27" i="109"/>
  <c r="H27" i="109" s="1"/>
  <c r="E21" i="109"/>
  <c r="H21" i="109" s="1"/>
  <c r="E9" i="109"/>
  <c r="H9" i="109" s="1"/>
  <c r="E28" i="109"/>
  <c r="H28" i="109" s="1"/>
  <c r="E10" i="109"/>
  <c r="H10" i="109" s="1"/>
  <c r="E20" i="109"/>
  <c r="H20" i="109" s="1"/>
  <c r="E11" i="109"/>
  <c r="H11" i="109" s="1"/>
  <c r="E14" i="109"/>
  <c r="H14" i="109" s="1"/>
  <c r="E25" i="109"/>
  <c r="H25" i="109" s="1"/>
  <c r="E18" i="109"/>
  <c r="H18" i="109" s="1"/>
  <c r="E16" i="109"/>
  <c r="H16" i="109" s="1"/>
  <c r="E8" i="109"/>
  <c r="E12" i="109"/>
  <c r="H12" i="109" s="1"/>
  <c r="E29" i="109"/>
  <c r="H29" i="109" s="1"/>
  <c r="E13" i="109"/>
  <c r="H13" i="109" s="1"/>
  <c r="E19" i="109"/>
  <c r="H19" i="109" s="1"/>
  <c r="E15" i="109"/>
  <c r="H15" i="109" s="1"/>
  <c r="E17" i="109"/>
  <c r="H17" i="109" s="1"/>
  <c r="E26" i="109"/>
  <c r="H26" i="109" s="1"/>
  <c r="E23" i="109"/>
  <c r="H23" i="109" s="1"/>
  <c r="E22" i="109"/>
  <c r="H22" i="109" s="1"/>
  <c r="E31" i="109"/>
  <c r="H31" i="109" s="1"/>
  <c r="E30" i="109"/>
  <c r="H30" i="109" s="1"/>
  <c r="E32" i="109"/>
  <c r="H32" i="109" s="1"/>
  <c r="E34" i="109"/>
  <c r="H34" i="109" s="1"/>
  <c r="E33" i="109"/>
  <c r="H33" i="109" s="1"/>
  <c r="E35" i="109"/>
  <c r="H35" i="109" s="1"/>
  <c r="E36" i="109"/>
  <c r="H36" i="109" s="1"/>
  <c r="B17" i="106"/>
  <c r="D192" i="90" s="1"/>
  <c r="C21" i="110" l="1"/>
  <c r="D116" i="90" s="1"/>
  <c r="H8" i="109"/>
  <c r="H39" i="109" s="1"/>
  <c r="E39" i="109"/>
  <c r="C53" i="110" l="1"/>
  <c r="D115" i="90" s="1"/>
  <c r="C37" i="110"/>
  <c r="D114" i="90" s="1"/>
  <c r="C56" i="110" l="1"/>
  <c r="D29" i="22" l="1"/>
  <c r="D30" i="22"/>
  <c r="D31" i="22"/>
  <c r="D32" i="22"/>
  <c r="D33" i="22"/>
  <c r="D34" i="22"/>
  <c r="D35" i="22"/>
  <c r="D36" i="22"/>
  <c r="D37" i="22"/>
  <c r="D38" i="22"/>
  <c r="D39" i="22"/>
  <c r="D1" i="97" l="1"/>
  <c r="E1" i="97"/>
  <c r="F1" i="97"/>
  <c r="G1" i="97" s="1"/>
  <c r="B23" i="97"/>
  <c r="B39" i="97" s="1"/>
  <c r="B29" i="97"/>
  <c r="B30" i="97"/>
  <c r="B31" i="97"/>
  <c r="B32" i="97"/>
  <c r="B33" i="97"/>
  <c r="B34" i="97"/>
  <c r="B35" i="97"/>
  <c r="B36" i="97"/>
  <c r="B37" i="97"/>
  <c r="B38" i="97"/>
  <c r="B46" i="97"/>
  <c r="B47" i="97"/>
  <c r="B48" i="97"/>
  <c r="B49" i="97"/>
  <c r="B50" i="97"/>
  <c r="B51" i="97"/>
  <c r="B52" i="97"/>
  <c r="B53" i="97"/>
  <c r="B54" i="97"/>
  <c r="B55" i="97"/>
  <c r="P64" i="94"/>
  <c r="D64" i="94"/>
  <c r="H64" i="94"/>
  <c r="H67" i="94"/>
  <c r="K77" i="90"/>
  <c r="I30" i="90"/>
  <c r="A80" i="90"/>
  <c r="G98" i="90"/>
  <c r="D104" i="90"/>
  <c r="I104" i="90"/>
  <c r="D107" i="90"/>
  <c r="D109" i="90"/>
  <c r="A151" i="90"/>
  <c r="I157" i="90"/>
  <c r="K26" i="39" s="1"/>
  <c r="I158" i="90"/>
  <c r="K27" i="39" s="1"/>
  <c r="I164" i="90"/>
  <c r="A221" i="90"/>
  <c r="G244" i="90"/>
  <c r="D248" i="90"/>
  <c r="G246" i="90"/>
  <c r="G247" i="90"/>
  <c r="G269" i="90"/>
  <c r="I269" i="90" s="1"/>
  <c r="I270" i="90"/>
  <c r="E8" i="117" s="1"/>
  <c r="D271" i="90"/>
  <c r="I278" i="90"/>
  <c r="A295" i="90"/>
  <c r="B56" i="97" l="1"/>
  <c r="K148" i="90"/>
  <c r="K218" i="90"/>
  <c r="K292" i="90"/>
  <c r="H1" i="97"/>
  <c r="B12" i="97"/>
  <c r="B11" i="97"/>
  <c r="B44" i="97" l="1"/>
  <c r="B27" i="97"/>
  <c r="I1" i="97"/>
  <c r="B28" i="97"/>
  <c r="B45" i="97"/>
  <c r="D14" i="90"/>
  <c r="J1" i="97" l="1"/>
  <c r="K1" i="97" l="1"/>
  <c r="L1" i="97" l="1"/>
  <c r="M1" i="97" l="1"/>
  <c r="N1" i="97" l="1"/>
  <c r="O1" i="97" l="1"/>
  <c r="P1" i="97" l="1"/>
  <c r="G16" i="55" l="1"/>
  <c r="G20" i="55" s="1"/>
  <c r="A14" i="55"/>
  <c r="A15" i="55" s="1"/>
  <c r="A16" i="55" s="1"/>
  <c r="G24" i="55" l="1"/>
  <c r="I235" i="90"/>
  <c r="A18" i="55"/>
  <c r="A20" i="55" s="1"/>
  <c r="E20" i="55"/>
  <c r="A22" i="55" l="1"/>
  <c r="A24" i="55" s="1"/>
  <c r="E24" i="55" l="1"/>
  <c r="O101" i="94" l="1"/>
  <c r="D1" i="22" l="1"/>
  <c r="E1" i="22" l="1"/>
  <c r="F1" i="22" l="1"/>
  <c r="G1" i="22" l="1"/>
  <c r="H1" i="22" l="1"/>
  <c r="I1" i="22" l="1"/>
  <c r="J1" i="22" l="1"/>
  <c r="K1" i="22" l="1"/>
  <c r="L1" i="22" l="1"/>
  <c r="M1" i="22" l="1"/>
  <c r="N1" i="22" l="1"/>
  <c r="T62" i="39"/>
  <c r="D62" i="39" l="1"/>
  <c r="K62" i="39"/>
  <c r="K65" i="39"/>
  <c r="B12" i="22" l="1"/>
  <c r="B11" i="22" l="1"/>
  <c r="B27" i="22" s="1"/>
  <c r="B55" i="22" l="1"/>
  <c r="B54" i="22"/>
  <c r="B53" i="22"/>
  <c r="B52" i="22"/>
  <c r="B51" i="22"/>
  <c r="B50" i="22"/>
  <c r="B49" i="22"/>
  <c r="B48" i="22"/>
  <c r="B47" i="22"/>
  <c r="B46" i="22"/>
  <c r="B38" i="22"/>
  <c r="B37" i="22"/>
  <c r="B36" i="22"/>
  <c r="B35" i="22"/>
  <c r="B34" i="22"/>
  <c r="B33" i="22"/>
  <c r="B32" i="22"/>
  <c r="B31" i="22"/>
  <c r="B30" i="22"/>
  <c r="B29" i="22"/>
  <c r="B23" i="22"/>
  <c r="B39" i="22" s="1"/>
  <c r="B45" i="22"/>
  <c r="B28" i="22" l="1"/>
  <c r="B44" i="22"/>
  <c r="B56" i="22"/>
  <c r="D182" i="90" l="1"/>
  <c r="S98" i="39" l="1"/>
  <c r="D106" i="90" l="1"/>
  <c r="I234" i="90" l="1"/>
  <c r="D165" i="90"/>
  <c r="D123" i="90" s="1"/>
  <c r="D126" i="90" l="1"/>
  <c r="I236" i="90"/>
  <c r="I238" i="90" s="1"/>
  <c r="D108" i="90" l="1"/>
  <c r="I226" i="90" l="1"/>
  <c r="D92" i="90"/>
  <c r="D171" i="90"/>
  <c r="I229" i="90" l="1"/>
  <c r="I231" i="90" s="1"/>
  <c r="G14" i="90" l="1"/>
  <c r="G87" i="90"/>
  <c r="I239" i="90"/>
  <c r="I240" i="90" s="1"/>
  <c r="E245" i="90"/>
  <c r="G245" i="90" s="1"/>
  <c r="G248" i="90" l="1"/>
  <c r="I248" i="90" s="1"/>
  <c r="G124" i="90"/>
  <c r="I124" i="90" s="1"/>
  <c r="G156" i="90"/>
  <c r="G162" i="90" s="1"/>
  <c r="G88" i="90"/>
  <c r="I88" i="90" s="1"/>
  <c r="G96" i="90"/>
  <c r="I87" i="90"/>
  <c r="D101" i="90"/>
  <c r="D105" i="90"/>
  <c r="G15" i="90"/>
  <c r="I14" i="90"/>
  <c r="I252" i="90"/>
  <c r="G90" i="90"/>
  <c r="H18" i="94" l="1"/>
  <c r="K18" i="39"/>
  <c r="I90" i="90"/>
  <c r="G99" i="90"/>
  <c r="D254" i="90"/>
  <c r="G252" i="90" s="1"/>
  <c r="K252" i="90" s="1"/>
  <c r="G91" i="90" s="1"/>
  <c r="D110" i="90"/>
  <c r="I156" i="90"/>
  <c r="K24" i="39" s="1"/>
  <c r="I162" i="90"/>
  <c r="D118" i="90"/>
  <c r="G16" i="90"/>
  <c r="I96" i="90"/>
  <c r="G120" i="90"/>
  <c r="G97" i="90"/>
  <c r="I97" i="90" s="1"/>
  <c r="I106" i="90" s="1"/>
  <c r="K19" i="39" l="1"/>
  <c r="D128" i="90"/>
  <c r="I91" i="90"/>
  <c r="G100" i="90"/>
  <c r="K20" i="39"/>
  <c r="K28" i="39"/>
  <c r="I16" i="90"/>
  <c r="G17" i="90"/>
  <c r="I17" i="90" s="1"/>
  <c r="G159" i="90"/>
  <c r="I99" i="90"/>
  <c r="I105" i="90"/>
  <c r="H19" i="94" s="1"/>
  <c r="I120" i="90"/>
  <c r="G168" i="90"/>
  <c r="I168" i="90" s="1"/>
  <c r="K30" i="39" l="1"/>
  <c r="M30" i="39" s="1"/>
  <c r="H74" i="39" s="1"/>
  <c r="I108" i="90"/>
  <c r="I100" i="90"/>
  <c r="I101" i="90" s="1"/>
  <c r="G163" i="90"/>
  <c r="G169" i="90"/>
  <c r="I169" i="90" s="1"/>
  <c r="G160" i="90"/>
  <c r="I159" i="90"/>
  <c r="I92" i="90"/>
  <c r="G92" i="90" s="1"/>
  <c r="H75" i="39"/>
  <c r="H73" i="39" l="1"/>
  <c r="I109" i="90"/>
  <c r="I110" i="90" s="1"/>
  <c r="G110" i="90" s="1"/>
  <c r="G194" i="90" s="1"/>
  <c r="G178" i="90"/>
  <c r="G125" i="90"/>
  <c r="I125" i="90" s="1"/>
  <c r="G175" i="90"/>
  <c r="I163" i="90"/>
  <c r="G170" i="90"/>
  <c r="I170" i="90" s="1"/>
  <c r="I160" i="90"/>
  <c r="G161" i="90"/>
  <c r="I161" i="90" s="1"/>
  <c r="H28" i="94" l="1"/>
  <c r="H29" i="94" s="1"/>
  <c r="N29" i="94" s="1"/>
  <c r="G114" i="90"/>
  <c r="G115" i="90" s="1"/>
  <c r="I165" i="90"/>
  <c r="I175" i="90"/>
  <c r="G176" i="90"/>
  <c r="I176" i="90" s="1"/>
  <c r="G195" i="90"/>
  <c r="G180" i="90"/>
  <c r="I180" i="90" s="1"/>
  <c r="G181" i="90"/>
  <c r="I181" i="90" s="1"/>
  <c r="I178" i="90"/>
  <c r="K38" i="39"/>
  <c r="K39" i="39" s="1"/>
  <c r="M39" i="39" s="1"/>
  <c r="I171" i="90"/>
  <c r="I123" i="90" l="1"/>
  <c r="I126" i="90" s="1"/>
  <c r="H22" i="94"/>
  <c r="H24" i="94" s="1"/>
  <c r="H25" i="94" s="1"/>
  <c r="N25" i="94" s="1"/>
  <c r="I114" i="90"/>
  <c r="K23" i="39"/>
  <c r="K34" i="39" s="1"/>
  <c r="K35" i="39" s="1"/>
  <c r="M35" i="39" s="1"/>
  <c r="I115" i="90"/>
  <c r="G116" i="90"/>
  <c r="I116" i="90" s="1"/>
  <c r="G117" i="90"/>
  <c r="I117" i="90" s="1"/>
  <c r="G196" i="90"/>
  <c r="I182" i="90"/>
  <c r="H32" i="94" s="1"/>
  <c r="I118" i="90" l="1"/>
  <c r="I128" i="90" s="1"/>
  <c r="H33" i="94"/>
  <c r="N33" i="94" s="1"/>
  <c r="N35" i="94" s="1"/>
  <c r="K42" i="39"/>
  <c r="K43" i="39" s="1"/>
  <c r="M43" i="39" s="1"/>
  <c r="M45" i="39" s="1"/>
  <c r="J75" i="39" s="1"/>
  <c r="K45" i="39" l="1"/>
  <c r="J73" i="39"/>
  <c r="G75" i="94"/>
  <c r="G76" i="94"/>
  <c r="G80" i="94"/>
  <c r="G84" i="94"/>
  <c r="G88" i="94"/>
  <c r="G78" i="94"/>
  <c r="G82" i="94"/>
  <c r="G86" i="94"/>
  <c r="G90" i="94"/>
  <c r="G91" i="94"/>
  <c r="G79" i="94"/>
  <c r="G83" i="94"/>
  <c r="G87" i="94"/>
  <c r="G77" i="94"/>
  <c r="G85" i="94"/>
  <c r="G81" i="94"/>
  <c r="G89" i="94"/>
  <c r="J74" i="39"/>
  <c r="D185" i="90" l="1"/>
  <c r="D189" i="90" s="1"/>
  <c r="C24" i="97"/>
  <c r="D24" i="97"/>
  <c r="E24" i="97"/>
  <c r="F24" i="97"/>
  <c r="G24" i="97"/>
  <c r="H24" i="97"/>
  <c r="I24" i="97"/>
  <c r="J24" i="97"/>
  <c r="K24" i="97"/>
  <c r="L24" i="97"/>
  <c r="M24" i="97"/>
  <c r="N24" i="97"/>
  <c r="O24" i="97"/>
  <c r="C27" i="97"/>
  <c r="D27" i="97"/>
  <c r="E27" i="97"/>
  <c r="F27" i="97"/>
  <c r="F40" i="97" s="1"/>
  <c r="G27" i="97"/>
  <c r="H27" i="97"/>
  <c r="I27" i="97"/>
  <c r="J27" i="97"/>
  <c r="K27" i="97"/>
  <c r="L27" i="97"/>
  <c r="L40" i="97" s="1"/>
  <c r="M27" i="97"/>
  <c r="N27" i="97"/>
  <c r="O27" i="97"/>
  <c r="P27" i="97"/>
  <c r="C28" i="97"/>
  <c r="D28" i="97"/>
  <c r="E28" i="97"/>
  <c r="F28" i="97"/>
  <c r="G28" i="97"/>
  <c r="H28" i="97"/>
  <c r="I28" i="97"/>
  <c r="J28" i="97"/>
  <c r="K28" i="97"/>
  <c r="L28" i="97"/>
  <c r="M28" i="97"/>
  <c r="N28" i="97"/>
  <c r="O28" i="97"/>
  <c r="P28" i="97"/>
  <c r="C29" i="97"/>
  <c r="D29" i="97"/>
  <c r="E29" i="97"/>
  <c r="F29" i="97"/>
  <c r="G29" i="97"/>
  <c r="H29" i="97"/>
  <c r="I29" i="97"/>
  <c r="J29" i="97"/>
  <c r="K29" i="97"/>
  <c r="L29" i="97"/>
  <c r="M29" i="97"/>
  <c r="N29" i="97"/>
  <c r="O29" i="97"/>
  <c r="P29" i="97"/>
  <c r="C30" i="97"/>
  <c r="D30" i="97"/>
  <c r="E30" i="97"/>
  <c r="F30" i="97"/>
  <c r="G30" i="97"/>
  <c r="H30" i="97"/>
  <c r="I30" i="97"/>
  <c r="J30" i="97"/>
  <c r="K30" i="97"/>
  <c r="L30" i="97"/>
  <c r="M30" i="97"/>
  <c r="N30" i="97"/>
  <c r="O30" i="97"/>
  <c r="P30" i="97"/>
  <c r="C31" i="97"/>
  <c r="D31" i="97"/>
  <c r="E31" i="97"/>
  <c r="F31" i="97"/>
  <c r="G31" i="97"/>
  <c r="H31" i="97"/>
  <c r="I31" i="97"/>
  <c r="J31" i="97"/>
  <c r="K31" i="97"/>
  <c r="L31" i="97"/>
  <c r="M31" i="97"/>
  <c r="N31" i="97"/>
  <c r="O31" i="97"/>
  <c r="P31" i="97"/>
  <c r="C32" i="97"/>
  <c r="D32" i="97"/>
  <c r="E32" i="97"/>
  <c r="F32" i="97"/>
  <c r="G32" i="97"/>
  <c r="H32" i="97"/>
  <c r="I32" i="97"/>
  <c r="J32" i="97"/>
  <c r="K32" i="97"/>
  <c r="L32" i="97"/>
  <c r="M32" i="97"/>
  <c r="N32" i="97"/>
  <c r="O32" i="97"/>
  <c r="P32" i="97"/>
  <c r="C33" i="97"/>
  <c r="D33" i="97"/>
  <c r="E33" i="97"/>
  <c r="F33" i="97"/>
  <c r="G33" i="97"/>
  <c r="H33" i="97"/>
  <c r="I33" i="97"/>
  <c r="J33" i="97"/>
  <c r="K33" i="97"/>
  <c r="L33" i="97"/>
  <c r="M33" i="97"/>
  <c r="N33" i="97"/>
  <c r="O33" i="97"/>
  <c r="P33" i="97"/>
  <c r="C34" i="97"/>
  <c r="D34" i="97"/>
  <c r="E34" i="97"/>
  <c r="F34" i="97"/>
  <c r="G34" i="97"/>
  <c r="H34" i="97"/>
  <c r="I34" i="97"/>
  <c r="J34" i="97"/>
  <c r="K34" i="97"/>
  <c r="L34" i="97"/>
  <c r="M34" i="97"/>
  <c r="N34" i="97"/>
  <c r="O34" i="97"/>
  <c r="P34" i="97"/>
  <c r="C35" i="97"/>
  <c r="D35" i="97"/>
  <c r="E35" i="97"/>
  <c r="F35" i="97"/>
  <c r="G35" i="97"/>
  <c r="H35" i="97"/>
  <c r="I35" i="97"/>
  <c r="J35" i="97"/>
  <c r="K35" i="97"/>
  <c r="L35" i="97"/>
  <c r="M35" i="97"/>
  <c r="N35" i="97"/>
  <c r="O35" i="97"/>
  <c r="P35" i="97"/>
  <c r="C36" i="97"/>
  <c r="D36" i="97"/>
  <c r="E36" i="97"/>
  <c r="F36" i="97"/>
  <c r="G36" i="97"/>
  <c r="H36" i="97"/>
  <c r="I36" i="97"/>
  <c r="J36" i="97"/>
  <c r="K36" i="97"/>
  <c r="L36" i="97"/>
  <c r="M36" i="97"/>
  <c r="N36" i="97"/>
  <c r="O36" i="97"/>
  <c r="P36" i="97"/>
  <c r="C37" i="97"/>
  <c r="D37" i="97"/>
  <c r="E37" i="97"/>
  <c r="F37" i="97"/>
  <c r="G37" i="97"/>
  <c r="H37" i="97"/>
  <c r="I37" i="97"/>
  <c r="J37" i="97"/>
  <c r="K37" i="97"/>
  <c r="L37" i="97"/>
  <c r="M37" i="97"/>
  <c r="N37" i="97"/>
  <c r="O37" i="97"/>
  <c r="P37" i="97"/>
  <c r="C38" i="97"/>
  <c r="D38" i="97"/>
  <c r="E38" i="97"/>
  <c r="F38" i="97"/>
  <c r="G38" i="97"/>
  <c r="H38" i="97"/>
  <c r="I38" i="97"/>
  <c r="J38" i="97"/>
  <c r="K38" i="97"/>
  <c r="L38" i="97"/>
  <c r="M38" i="97"/>
  <c r="N38" i="97"/>
  <c r="O38" i="97"/>
  <c r="P38" i="97"/>
  <c r="C39" i="97"/>
  <c r="D39" i="97"/>
  <c r="E39" i="97"/>
  <c r="F39" i="97"/>
  <c r="G39" i="97"/>
  <c r="H39" i="97"/>
  <c r="I39" i="97"/>
  <c r="J39" i="97"/>
  <c r="K39" i="97"/>
  <c r="L39" i="97"/>
  <c r="M39" i="97"/>
  <c r="N39" i="97"/>
  <c r="O39" i="97"/>
  <c r="P39" i="97"/>
  <c r="K40" i="97"/>
  <c r="N40" i="97"/>
  <c r="C57" i="97"/>
  <c r="D57" i="97"/>
  <c r="E57" i="97"/>
  <c r="F57" i="97"/>
  <c r="G57" i="97"/>
  <c r="H57" i="97"/>
  <c r="I57" i="97"/>
  <c r="J57" i="97"/>
  <c r="K57" i="97"/>
  <c r="L57" i="97"/>
  <c r="M57" i="97"/>
  <c r="N57" i="97"/>
  <c r="O57" i="97"/>
  <c r="P57" i="97"/>
  <c r="C62" i="97"/>
  <c r="D62" i="97"/>
  <c r="E62" i="97"/>
  <c r="F62" i="97"/>
  <c r="G62" i="97"/>
  <c r="H62" i="97"/>
  <c r="I62" i="97"/>
  <c r="J62" i="97"/>
  <c r="K62" i="97"/>
  <c r="L62" i="97"/>
  <c r="M62" i="97"/>
  <c r="N62" i="97"/>
  <c r="O62" i="97"/>
  <c r="P62" i="97"/>
  <c r="C67" i="97"/>
  <c r="D67" i="97"/>
  <c r="E67" i="97"/>
  <c r="F67" i="97"/>
  <c r="G67" i="97"/>
  <c r="H67" i="97"/>
  <c r="I67" i="97"/>
  <c r="J67" i="97"/>
  <c r="K67" i="97"/>
  <c r="L67" i="97"/>
  <c r="M67" i="97"/>
  <c r="N67" i="97"/>
  <c r="O67" i="97"/>
  <c r="P67" i="97"/>
  <c r="C24" i="22"/>
  <c r="D24" i="22"/>
  <c r="E24" i="22"/>
  <c r="F24" i="22"/>
  <c r="G24" i="22"/>
  <c r="H24" i="22"/>
  <c r="I24" i="22"/>
  <c r="J24" i="22"/>
  <c r="K24" i="22"/>
  <c r="L24" i="22"/>
  <c r="M24" i="22"/>
  <c r="N24" i="22"/>
  <c r="C27" i="22"/>
  <c r="D27" i="22"/>
  <c r="E27" i="22"/>
  <c r="F27" i="22"/>
  <c r="G27" i="22"/>
  <c r="H27" i="22"/>
  <c r="I27" i="22"/>
  <c r="J27" i="22"/>
  <c r="K27" i="22"/>
  <c r="L27" i="22"/>
  <c r="M27" i="22"/>
  <c r="N27" i="22"/>
  <c r="C28" i="22"/>
  <c r="D28" i="22"/>
  <c r="E28" i="22"/>
  <c r="F28" i="22"/>
  <c r="G28" i="22"/>
  <c r="H28" i="22"/>
  <c r="I28" i="22"/>
  <c r="J28" i="22"/>
  <c r="K28" i="22"/>
  <c r="L28" i="22"/>
  <c r="M28" i="22"/>
  <c r="N28" i="22"/>
  <c r="C29" i="22"/>
  <c r="E29" i="22"/>
  <c r="F29" i="22"/>
  <c r="G29" i="22"/>
  <c r="G40" i="22" s="1"/>
  <c r="H29" i="22"/>
  <c r="I29" i="22"/>
  <c r="J29" i="22"/>
  <c r="K29" i="22"/>
  <c r="K40" i="22" s="1"/>
  <c r="L29" i="22"/>
  <c r="M29" i="22"/>
  <c r="N29" i="22"/>
  <c r="C30" i="22"/>
  <c r="E30" i="22"/>
  <c r="F30" i="22"/>
  <c r="G30" i="22"/>
  <c r="H30" i="22"/>
  <c r="H40" i="22" s="1"/>
  <c r="I30" i="22"/>
  <c r="J30" i="22"/>
  <c r="K30" i="22"/>
  <c r="L30" i="22"/>
  <c r="L40" i="22" s="1"/>
  <c r="M30" i="22"/>
  <c r="N30" i="22"/>
  <c r="C31" i="22"/>
  <c r="E31" i="22"/>
  <c r="E40" i="22" s="1"/>
  <c r="F31" i="22"/>
  <c r="G31" i="22"/>
  <c r="H31" i="22"/>
  <c r="I31" i="22"/>
  <c r="I40" i="22" s="1"/>
  <c r="J31" i="22"/>
  <c r="K31" i="22"/>
  <c r="L31" i="22"/>
  <c r="M31" i="22"/>
  <c r="M40" i="22" s="1"/>
  <c r="N31" i="22"/>
  <c r="C32" i="22"/>
  <c r="E32" i="22"/>
  <c r="F32" i="22"/>
  <c r="G32" i="22"/>
  <c r="H32" i="22"/>
  <c r="I32" i="22"/>
  <c r="J32" i="22"/>
  <c r="K32" i="22"/>
  <c r="L32" i="22"/>
  <c r="M32" i="22"/>
  <c r="N32" i="22"/>
  <c r="C33" i="22"/>
  <c r="E33" i="22"/>
  <c r="F33" i="22"/>
  <c r="G33" i="22"/>
  <c r="H33" i="22"/>
  <c r="I33" i="22"/>
  <c r="J33" i="22"/>
  <c r="K33" i="22"/>
  <c r="L33" i="22"/>
  <c r="M33" i="22"/>
  <c r="N33" i="22"/>
  <c r="C34" i="22"/>
  <c r="E34" i="22"/>
  <c r="F34" i="22"/>
  <c r="G34" i="22"/>
  <c r="H34" i="22"/>
  <c r="I34" i="22"/>
  <c r="J34" i="22"/>
  <c r="K34" i="22"/>
  <c r="L34" i="22"/>
  <c r="M34" i="22"/>
  <c r="N34" i="22"/>
  <c r="C35" i="22"/>
  <c r="E35" i="22"/>
  <c r="F35" i="22"/>
  <c r="G35" i="22"/>
  <c r="H35" i="22"/>
  <c r="I35" i="22"/>
  <c r="J35" i="22"/>
  <c r="K35" i="22"/>
  <c r="L35" i="22"/>
  <c r="M35" i="22"/>
  <c r="N35" i="22"/>
  <c r="C36" i="22"/>
  <c r="E36" i="22"/>
  <c r="F36" i="22"/>
  <c r="G36" i="22"/>
  <c r="H36" i="22"/>
  <c r="I36" i="22"/>
  <c r="J36" i="22"/>
  <c r="K36" i="22"/>
  <c r="L36" i="22"/>
  <c r="M36" i="22"/>
  <c r="N36" i="22"/>
  <c r="C37" i="22"/>
  <c r="E37" i="22"/>
  <c r="F37" i="22"/>
  <c r="G37" i="22"/>
  <c r="H37" i="22"/>
  <c r="I37" i="22"/>
  <c r="J37" i="22"/>
  <c r="K37" i="22"/>
  <c r="L37" i="22"/>
  <c r="M37" i="22"/>
  <c r="N37" i="22"/>
  <c r="C38" i="22"/>
  <c r="E38" i="22"/>
  <c r="F38" i="22"/>
  <c r="G38" i="22"/>
  <c r="H38" i="22"/>
  <c r="I38" i="22"/>
  <c r="J38" i="22"/>
  <c r="K38" i="22"/>
  <c r="L38" i="22"/>
  <c r="M38" i="22"/>
  <c r="N38" i="22"/>
  <c r="C39" i="22"/>
  <c r="E39" i="22"/>
  <c r="F39" i="22"/>
  <c r="G39" i="22"/>
  <c r="H39" i="22"/>
  <c r="I39" i="22"/>
  <c r="J39" i="22"/>
  <c r="K39" i="22"/>
  <c r="L39" i="22"/>
  <c r="M39" i="22"/>
  <c r="N39" i="22"/>
  <c r="D40" i="22"/>
  <c r="F40" i="22"/>
  <c r="J40" i="22"/>
  <c r="N40" i="22"/>
  <c r="C57" i="22"/>
  <c r="D57" i="22"/>
  <c r="E57" i="22"/>
  <c r="F57" i="22"/>
  <c r="G57" i="22"/>
  <c r="H57" i="22"/>
  <c r="I57" i="22"/>
  <c r="J57" i="22"/>
  <c r="K57" i="22"/>
  <c r="L57" i="22"/>
  <c r="M57" i="22"/>
  <c r="N57" i="22"/>
  <c r="C62" i="22"/>
  <c r="D62" i="22"/>
  <c r="E62" i="22"/>
  <c r="F62" i="22"/>
  <c r="G62" i="22"/>
  <c r="H62" i="22"/>
  <c r="I62" i="22"/>
  <c r="J62" i="22"/>
  <c r="K62" i="22"/>
  <c r="L62" i="22"/>
  <c r="M62" i="22"/>
  <c r="N62" i="22"/>
  <c r="C67" i="22"/>
  <c r="D67" i="22"/>
  <c r="E67" i="22"/>
  <c r="F67" i="22"/>
  <c r="G67" i="22"/>
  <c r="H67" i="22"/>
  <c r="I67" i="22"/>
  <c r="J67" i="22"/>
  <c r="K67" i="22"/>
  <c r="L67" i="22"/>
  <c r="M67" i="22"/>
  <c r="N67" i="22"/>
  <c r="J40" i="97" l="1"/>
  <c r="P40" i="97"/>
  <c r="O40" i="97"/>
  <c r="M40" i="97"/>
  <c r="I40" i="97"/>
  <c r="H40" i="97"/>
  <c r="G40" i="97"/>
  <c r="E40" i="97"/>
  <c r="D40" i="97"/>
  <c r="C40" i="97"/>
  <c r="C40" i="22"/>
  <c r="D195" i="90"/>
  <c r="I195" i="90" s="1"/>
  <c r="D194" i="90"/>
  <c r="I194" i="90" s="1"/>
  <c r="D196" i="90"/>
  <c r="I196" i="90" s="1"/>
  <c r="I268" i="90"/>
  <c r="I271" i="90" s="1"/>
  <c r="E9" i="117" s="1"/>
  <c r="D186" i="90" l="1"/>
  <c r="D199" i="90"/>
  <c r="I199" i="90"/>
  <c r="H42" i="94" l="1"/>
  <c r="H43" i="94" s="1"/>
  <c r="N43" i="94" s="1"/>
  <c r="E6" i="117"/>
  <c r="K52" i="39"/>
  <c r="K53" i="39" s="1"/>
  <c r="M53" i="39" s="1"/>
  <c r="D193" i="90"/>
  <c r="D197" i="90" s="1"/>
  <c r="D202" i="90" s="1"/>
  <c r="I193" i="90"/>
  <c r="I197" i="90" l="1"/>
  <c r="E14" i="117" s="1"/>
  <c r="I202" i="90" l="1"/>
  <c r="H38" i="94"/>
  <c r="H39" i="94" s="1"/>
  <c r="N39" i="94" s="1"/>
  <c r="N45" i="94" s="1"/>
  <c r="J76" i="94" s="1"/>
  <c r="K48" i="39"/>
  <c r="K49" i="39" s="1"/>
  <c r="K55" i="39" s="1"/>
  <c r="J81" i="94" l="1"/>
  <c r="J89" i="94"/>
  <c r="J87" i="94"/>
  <c r="J79" i="94"/>
  <c r="J88" i="94"/>
  <c r="J85" i="94"/>
  <c r="J77" i="94"/>
  <c r="J86" i="94"/>
  <c r="J78" i="94"/>
  <c r="J91" i="94"/>
  <c r="J83" i="94"/>
  <c r="J75" i="94"/>
  <c r="J84" i="94"/>
  <c r="J90" i="94"/>
  <c r="J82" i="94"/>
  <c r="J80" i="94"/>
  <c r="M49" i="39"/>
  <c r="M55" i="39" s="1"/>
  <c r="N73" i="39" s="1"/>
  <c r="N75" i="39" l="1"/>
  <c r="N74" i="39"/>
  <c r="H75" i="94"/>
  <c r="K75" i="94"/>
  <c r="H76" i="94"/>
  <c r="K76" i="94"/>
  <c r="H77" i="94"/>
  <c r="K77" i="94"/>
  <c r="H78" i="94"/>
  <c r="K78" i="94"/>
  <c r="H79" i="94"/>
  <c r="K79" i="94"/>
  <c r="H80" i="94"/>
  <c r="K80" i="94"/>
  <c r="H81" i="94"/>
  <c r="K81" i="94"/>
  <c r="H82" i="94"/>
  <c r="K82" i="94"/>
  <c r="H83" i="94"/>
  <c r="K83" i="94"/>
  <c r="H84" i="94"/>
  <c r="K84" i="94"/>
  <c r="H85" i="94"/>
  <c r="K85" i="94"/>
  <c r="H86" i="94"/>
  <c r="K86" i="94"/>
  <c r="H87" i="94"/>
  <c r="K87" i="94"/>
  <c r="H88" i="94"/>
  <c r="K88" i="94"/>
  <c r="H89" i="94"/>
  <c r="K89" i="94"/>
  <c r="H90" i="94"/>
  <c r="K90" i="94"/>
  <c r="H91" i="94"/>
  <c r="K91" i="94"/>
  <c r="M101" i="94"/>
  <c r="I73" i="39"/>
  <c r="O73" i="39"/>
  <c r="K74" i="39"/>
  <c r="I74" i="39"/>
  <c r="O74" i="39"/>
  <c r="F75" i="39"/>
  <c r="K75" i="39" s="1"/>
  <c r="I75" i="39"/>
  <c r="M75" i="39"/>
  <c r="Q98" i="39"/>
  <c r="O75" i="39" l="1"/>
  <c r="K73" i="39"/>
  <c r="L73" i="39" s="1"/>
  <c r="R73" i="39" s="1"/>
  <c r="N91" i="94"/>
  <c r="P91" i="94" s="1"/>
  <c r="N89" i="94"/>
  <c r="P89" i="94" s="1"/>
  <c r="N83" i="94"/>
  <c r="P83" i="94" s="1"/>
  <c r="N88" i="94"/>
  <c r="P88" i="94" s="1"/>
  <c r="N86" i="94"/>
  <c r="P86" i="94" s="1"/>
  <c r="N90" i="94"/>
  <c r="P90" i="94" s="1"/>
  <c r="N80" i="94"/>
  <c r="P80" i="94" s="1"/>
  <c r="N87" i="94"/>
  <c r="P87" i="94" s="1"/>
  <c r="N78" i="94"/>
  <c r="P78" i="94" s="1"/>
  <c r="N76" i="94"/>
  <c r="P76" i="94" s="1"/>
  <c r="L75" i="39"/>
  <c r="N85" i="94"/>
  <c r="P85" i="94" s="1"/>
  <c r="N77" i="94"/>
  <c r="P77" i="94" s="1"/>
  <c r="L74" i="39"/>
  <c r="R74" i="39" s="1"/>
  <c r="T74" i="39" s="1"/>
  <c r="N82" i="94"/>
  <c r="P82" i="94" s="1"/>
  <c r="N81" i="94"/>
  <c r="P81" i="94" s="1"/>
  <c r="N75" i="94"/>
  <c r="N84" i="94"/>
  <c r="P84" i="94" s="1"/>
  <c r="N79" i="94"/>
  <c r="P79" i="94" s="1"/>
  <c r="R75" i="39" l="1"/>
  <c r="T75" i="39" s="1"/>
  <c r="T73" i="39"/>
  <c r="P75" i="94"/>
  <c r="N101" i="94"/>
  <c r="N103" i="94" l="1"/>
  <c r="D206" i="90" s="1"/>
  <c r="I206" i="90" s="1"/>
  <c r="R98" i="39"/>
  <c r="T98" i="39"/>
  <c r="P101" i="94"/>
  <c r="R100" i="39" l="1"/>
  <c r="D210" i="90" s="1"/>
  <c r="I210" i="90" s="1"/>
  <c r="I211" i="90" s="1"/>
  <c r="D211" i="90" l="1"/>
  <c r="I11" i="90"/>
  <c r="D32" i="90"/>
  <c r="D33" i="90" l="1"/>
  <c r="I37" i="90"/>
  <c r="I38" i="90" s="1"/>
  <c r="D36" i="90"/>
  <c r="D37" i="90" s="1"/>
  <c r="D38" i="90" s="1"/>
  <c r="I36" i="90"/>
  <c r="I283" i="90"/>
  <c r="I287" i="90" s="1"/>
  <c r="D15" i="90" l="1"/>
  <c r="I15" i="90" s="1"/>
  <c r="I18" i="90" l="1"/>
  <c r="I20" i="90" l="1"/>
  <c r="G6" i="113" l="1"/>
  <c r="C33" i="115" l="1"/>
  <c r="C37" i="115" s="1"/>
  <c r="G10" i="113"/>
  <c r="G14" i="113" s="1"/>
  <c r="G25" i="113" l="1"/>
  <c r="G28" i="113" s="1"/>
  <c r="G31" i="113" s="1"/>
</calcChain>
</file>

<file path=xl/comments1.xml><?xml version="1.0" encoding="utf-8"?>
<comments xmlns="http://schemas.openxmlformats.org/spreadsheetml/2006/main">
  <authors>
    <author>Jeff Minor</author>
  </authors>
  <commentList>
    <comment ref="A18" authorId="0" shapeId="0">
      <text>
        <r>
          <rPr>
            <b/>
            <sz val="9"/>
            <color indexed="81"/>
            <rFont val="Tahoma"/>
            <family val="2"/>
          </rPr>
          <t>Jeff Minor:</t>
        </r>
        <r>
          <rPr>
            <sz val="9"/>
            <color indexed="81"/>
            <rFont val="Tahoma"/>
            <family val="2"/>
          </rPr>
          <t xml:space="preserve">
Revised due to depreciation study done in 2011</t>
        </r>
      </text>
    </comment>
  </commentList>
</comments>
</file>

<file path=xl/sharedStrings.xml><?xml version="1.0" encoding="utf-8"?>
<sst xmlns="http://schemas.openxmlformats.org/spreadsheetml/2006/main" count="1434" uniqueCount="849">
  <si>
    <t xml:space="preserve">  Average of 12 coincident system peaks for requirements (RQ) service       </t>
  </si>
  <si>
    <t>Project Amortization Expense</t>
  </si>
  <si>
    <t>Project Depreciation Expense</t>
  </si>
  <si>
    <t>Depreciation Expense</t>
  </si>
  <si>
    <t>13 Month Average</t>
  </si>
  <si>
    <t>Allocation Type Per Attachment FF</t>
  </si>
  <si>
    <t>MTEP Project ID</t>
  </si>
  <si>
    <t>Attachment MM - Supporting Data for Network Upgrade Charge Calculation - Forward Looking Rate Transmission Owner</t>
  </si>
  <si>
    <t>Line</t>
  </si>
  <si>
    <t>Annual Allocation Factor for Return</t>
  </si>
  <si>
    <t>Annual Allocation Factor for Expense</t>
  </si>
  <si>
    <t>n/a</t>
  </si>
  <si>
    <t>Attachment GG - Supporting Data for Network Upgrade Charge Calculation - Forward Looking Rate Transmission Owner</t>
  </si>
  <si>
    <t>Total Income Taxes</t>
  </si>
  <si>
    <t>TEP =</t>
  </si>
  <si>
    <t>SIT=</t>
  </si>
  <si>
    <t>FIT =</t>
  </si>
  <si>
    <t>November</t>
  </si>
  <si>
    <t>October</t>
  </si>
  <si>
    <t>September</t>
  </si>
  <si>
    <t>July</t>
  </si>
  <si>
    <t>June</t>
  </si>
  <si>
    <t>May</t>
  </si>
  <si>
    <t>April</t>
  </si>
  <si>
    <t>February</t>
  </si>
  <si>
    <t>Transmission</t>
  </si>
  <si>
    <t>Permanent Differences Tax Adjustment</t>
  </si>
  <si>
    <t>Tax Affect of Permanent Differences</t>
  </si>
  <si>
    <t>26b</t>
  </si>
  <si>
    <t>24b</t>
  </si>
  <si>
    <t>24a</t>
  </si>
  <si>
    <t>5a</t>
  </si>
  <si>
    <t>8b</t>
  </si>
  <si>
    <t>8a</t>
  </si>
  <si>
    <t>2b</t>
  </si>
  <si>
    <t>2a</t>
  </si>
  <si>
    <t>BB</t>
  </si>
  <si>
    <t>AA</t>
  </si>
  <si>
    <t>All amounts shown on this page (with the exception of CWC, line 26) are based on 13 month averages.  Work papers will be provided.</t>
  </si>
  <si>
    <t>Z</t>
  </si>
  <si>
    <t>Y</t>
  </si>
  <si>
    <t>X</t>
  </si>
  <si>
    <t>W</t>
  </si>
  <si>
    <t>Account 456.1 entry shall be the annual total of the quarterly values reported at Form 1, page 300.22.b.</t>
  </si>
  <si>
    <t>V</t>
  </si>
  <si>
    <t>Preliminary Survey and Investigation charges related to transmission construction projects started on or after January 1, 2004 are included in account 566 and not in account 183.</t>
  </si>
  <si>
    <t>U</t>
  </si>
  <si>
    <t>T</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</si>
  <si>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</si>
  <si>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S</t>
  </si>
  <si>
    <t>Includes income related only to transmission facilities, such as pole attachments, rentals and special use.</t>
  </si>
  <si>
    <t>R</t>
  </si>
  <si>
    <t>Line 33 must equal zero since all short-term power sales must be unbundled and the transmission component reflected in Account No. 456 and all other uses are to be included in the divisor.</t>
  </si>
  <si>
    <t>Q</t>
  </si>
  <si>
    <t>Debt cost rate = long-term interest (line 21) / long term debt (line 27).  Preferred cost rate = preferred dividends (line 22) / preferred outstanding (line 28).   ROE will be supported in the original filing and no change in ROE may be made absent a filing with FERC.</t>
  </si>
  <si>
    <t>P</t>
  </si>
  <si>
    <t>Enter dollar amounts</t>
  </si>
  <si>
    <t>O</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</si>
  <si>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</si>
  <si>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N</t>
  </si>
  <si>
    <t>Removes transmission plant determined by Commission order to be state-jurisdictional according to the seven-factor test (until Form 1 balances are adjusted to reflect application of seven-factor test).</t>
  </si>
  <si>
    <t>M</t>
  </si>
  <si>
    <t>L</t>
  </si>
  <si>
    <t>(percent of the tax exempt ownership)</t>
  </si>
  <si>
    <t>(percent of federal income tax deductible for state purposes)</t>
  </si>
  <si>
    <t>p =</t>
  </si>
  <si>
    <t>(State Income Tax Rate or Composite SIT)</t>
  </si>
  <si>
    <t xml:space="preserve">         Inputs Required:</t>
  </si>
  <si>
    <t xml:space="preserve"> </t>
  </si>
  <si>
    <t>K</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</si>
  <si>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</si>
  <si>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J</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</si>
  <si>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</si>
  <si>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I</t>
  </si>
  <si>
    <t>Cash Working Capital assigned to transmission is one-eighth of O&amp;M allocated to transmission at page 3, line 8, column 5.  Prepayments are the electric related prepayments booked to Account No. 165 and reported on pages 111, line 57 in the Form 1.</t>
  </si>
  <si>
    <t>H</t>
  </si>
  <si>
    <t>Identified in Form 1 as being only transmission related.</t>
  </si>
  <si>
    <t>G</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</si>
  <si>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</si>
  <si>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F</t>
  </si>
  <si>
    <t xml:space="preserve">The FERC's annual charges for the year assessed the Transmission Owner for service under this tariff. </t>
  </si>
  <si>
    <t>E</t>
  </si>
  <si>
    <t>Labeled LF on page 328 of Form 1 at the time of the applicable pricing zone coincident monthly peaks.</t>
  </si>
  <si>
    <t>D</t>
  </si>
  <si>
    <t>C</t>
  </si>
  <si>
    <t>Labeled LF, LU, IF, IU on pages 310-311 of Form 1at the time of the applicable pricing zone coincident monthly peaks.</t>
  </si>
  <si>
    <t>B</t>
  </si>
  <si>
    <t>Peak as would be reported on page 401, column d of Form 1 at the time of the applicable pricing zone coincident monthly peaks.</t>
  </si>
  <si>
    <t>A</t>
  </si>
  <si>
    <t>Letter</t>
  </si>
  <si>
    <t>Note</t>
  </si>
  <si>
    <t>References to data from FERC Form 1 are indicated as:  #.y.x  (page, line, column)</t>
  </si>
  <si>
    <t>General Note:  References to pages in this formulary rate are indicated as:  (page#, line#, col.#)</t>
  </si>
  <si>
    <t>Utilizing FERC Form 1 Data</t>
  </si>
  <si>
    <t>Rate Formula Template</t>
  </si>
  <si>
    <t xml:space="preserve">Formula Rate - Non-Levelized </t>
  </si>
  <si>
    <t>page 5 of 5</t>
  </si>
  <si>
    <t xml:space="preserve">  Total of (a)-(b)-(c)-(d)</t>
  </si>
  <si>
    <t>36b</t>
  </si>
  <si>
    <t>36a</t>
  </si>
  <si>
    <t xml:space="preserve">  b. Transmission charges for all transmission transactions included in Divisor on Page 1</t>
  </si>
  <si>
    <t xml:space="preserve">  a. Transmission charges for all transmission transactions </t>
  </si>
  <si>
    <t>(330.x.n)</t>
  </si>
  <si>
    <t>ACCOUNT 456.1 (OTHER ELECTRIC REVENUES)  (Note V)</t>
  </si>
  <si>
    <t>ACCOUNT 454 (RENT FROM ELECTRIC PROPERTY)  (Note R)</t>
  </si>
  <si>
    <t xml:space="preserve">  Total of (a)-(b)</t>
  </si>
  <si>
    <t xml:space="preserve">  b. Bundled Sales for Resale  included in Divisor on page 1</t>
  </si>
  <si>
    <t xml:space="preserve">  a. Bundled Non-RQ Sales for Resale (311.x.h)</t>
  </si>
  <si>
    <t>(Note Q)</t>
  </si>
  <si>
    <t>(310-311)</t>
  </si>
  <si>
    <t>ACCOUNT 447 (SALES FOR RESALE)</t>
  </si>
  <si>
    <t>Load</t>
  </si>
  <si>
    <t>REVENUE CREDITS</t>
  </si>
  <si>
    <t>=R</t>
  </si>
  <si>
    <t>Total  (sum lines 27-29)</t>
  </si>
  <si>
    <t xml:space="preserve">  Common Stock  (line 26)</t>
  </si>
  <si>
    <t xml:space="preserve">  Preferred Stock  (112.3.c)</t>
  </si>
  <si>
    <t>=WCLTD</t>
  </si>
  <si>
    <t xml:space="preserve">  Long Term Debt  (112, sum of 18.c through 21.c)</t>
  </si>
  <si>
    <t>Weighted</t>
  </si>
  <si>
    <t>(Note P)</t>
  </si>
  <si>
    <t>%</t>
  </si>
  <si>
    <t>$</t>
  </si>
  <si>
    <t>Cost</t>
  </si>
  <si>
    <t>(sum lines 23-25)</t>
  </si>
  <si>
    <t>Common Stock</t>
  </si>
  <si>
    <t>Less Account 216.1 (112.12.c)  (enter negative)</t>
  </si>
  <si>
    <t xml:space="preserve">Less Preferred Stock (line 28) </t>
  </si>
  <si>
    <t>Proprietary Capital (112.16.c)</t>
  </si>
  <si>
    <t xml:space="preserve">                                          Development of Common Stock:</t>
  </si>
  <si>
    <t>Preferred Dividends (118.29c)  (positive number)</t>
  </si>
  <si>
    <t>Long Term Interest (117, sum of 62.c through 66.c)</t>
  </si>
  <si>
    <t>RETURN (R)</t>
  </si>
  <si>
    <t xml:space="preserve">  Total  (sum lines 17 - 19)</t>
  </si>
  <si>
    <t>200.3.e</t>
  </si>
  <si>
    <t xml:space="preserve">  Water</t>
  </si>
  <si>
    <t>=</t>
  </si>
  <si>
    <t>*</t>
  </si>
  <si>
    <t>200.3.d</t>
  </si>
  <si>
    <t xml:space="preserve">  Gas</t>
  </si>
  <si>
    <t>CE</t>
  </si>
  <si>
    <t>(line 16)</t>
  </si>
  <si>
    <t>(line 17 / line 20)</t>
  </si>
  <si>
    <t>200.3.c</t>
  </si>
  <si>
    <t xml:space="preserve">  Electric</t>
  </si>
  <si>
    <t>W&amp;S Allocator</t>
  </si>
  <si>
    <t>% Electric</t>
  </si>
  <si>
    <t>COMMON PLANT ALLOCATOR  (CE)  (Note O)</t>
  </si>
  <si>
    <t>WS</t>
  </si>
  <si>
    <t xml:space="preserve">  Total  (sum lines 12-15)</t>
  </si>
  <si>
    <t>($ / Allocation)</t>
  </si>
  <si>
    <t>354.24,25,26.b</t>
  </si>
  <si>
    <t xml:space="preserve">  Other</t>
  </si>
  <si>
    <t>354.23.b</t>
  </si>
  <si>
    <t xml:space="preserve">  Distribution</t>
  </si>
  <si>
    <t>354.21.b</t>
  </si>
  <si>
    <t xml:space="preserve">  Transmission</t>
  </si>
  <si>
    <t>354.20.b</t>
  </si>
  <si>
    <t xml:space="preserve">  Production</t>
  </si>
  <si>
    <t>Allocation</t>
  </si>
  <si>
    <t>TP</t>
  </si>
  <si>
    <t>Form 1 Reference</t>
  </si>
  <si>
    <t>WAGES &amp; SALARY ALLOCATOR  (W&amp;S)</t>
  </si>
  <si>
    <t>TE=</t>
  </si>
  <si>
    <t>Percentage of Transmission expenses included in ISO Rates  (line 9 times line 10)</t>
  </si>
  <si>
    <t>Percentage of Transmission plant included in ISO Rates  (line 5)</t>
  </si>
  <si>
    <t>Percentage of Transmission expenses after adjustment  (line 8 divided by line 6)</t>
  </si>
  <si>
    <r>
      <t>Included Transmission expenses  (line 6 less line</t>
    </r>
    <r>
      <rPr>
        <sz val="12"/>
        <color indexed="10"/>
        <rFont val="Times New Roman"/>
        <family val="1"/>
      </rPr>
      <t xml:space="preserve"> </t>
    </r>
    <r>
      <rPr>
        <sz val="12"/>
        <rFont val="Times New Roman"/>
        <family val="1"/>
      </rPr>
      <t>7)</t>
    </r>
  </si>
  <si>
    <t>Less revenue received attributable to account 457.1  (Note L)</t>
  </si>
  <si>
    <r>
      <t>Total Transmission expenses  (page 3, line 1, column 3)</t>
    </r>
    <r>
      <rPr>
        <sz val="12"/>
        <color indexed="10"/>
        <rFont val="Times New Roman"/>
        <family val="1"/>
      </rPr>
      <t xml:space="preserve"> </t>
    </r>
  </si>
  <si>
    <t xml:space="preserve">TRANSMISSION EXPENSES </t>
  </si>
  <si>
    <t>TP=</t>
  </si>
  <si>
    <t>Percentage of Transmission plant included in ISO Rates  (line 4 divided by line 1)</t>
  </si>
  <si>
    <t>Transmission plant included in ISO rates  (line 1 less lines 2 &amp; 3)</t>
  </si>
  <si>
    <t>Less Transmission plant included in OATT Ancillary Services  (Note N )</t>
  </si>
  <si>
    <t>Less Transmission plant excluded from ISO rates  (Note M)</t>
  </si>
  <si>
    <t>Total Transmission plant  (page 2, line 2a, column 3)</t>
  </si>
  <si>
    <t>TRANSMISSION PLANT INCLUDED IN ISO RATES</t>
  </si>
  <si>
    <t>No.</t>
  </si>
  <si>
    <t xml:space="preserve">                SUPPORTING CALCULATIONS AND NOTES</t>
  </si>
  <si>
    <t>page 4 of 5</t>
  </si>
  <si>
    <t>(line 29 - line 30 - line30a)</t>
  </si>
  <si>
    <t>REV. REQUIREMENT TO BE COLLECTED UNDER ATTACHMENT O</t>
  </si>
  <si>
    <t>included in Attachment MM]</t>
  </si>
  <si>
    <t xml:space="preserve">[Revenue Requirement for facilities included on page 2, line 2, and also  </t>
  </si>
  <si>
    <t>30a</t>
  </si>
  <si>
    <t>included in Attachment GG]</t>
  </si>
  <si>
    <t>REV. REQUIREMENT  (sum lines 8, 12, 20, 27, 28)</t>
  </si>
  <si>
    <t xml:space="preserve">  [Rate Base (page 2, line 30) * Rate of Return (page 4, line 30)]</t>
  </si>
  <si>
    <t>NA</t>
  </si>
  <si>
    <t xml:space="preserve">RETURN </t>
  </si>
  <si>
    <t>Total Income Taxes (line 25 plus line 26 plus lines 26a and 26b)</t>
  </si>
  <si>
    <t>NP</t>
  </si>
  <si>
    <t>Excess Deferred Income Tax Adjustment (line 23 * line 24a)</t>
  </si>
  <si>
    <t>26a</t>
  </si>
  <si>
    <t>ITC adjustment (line 23 * line 24)</t>
  </si>
  <si>
    <t>Income Tax Calculation = line 22 * line 28</t>
  </si>
  <si>
    <t>Excess Deferred Income Taxes (enter negative)</t>
  </si>
  <si>
    <t>Amortized Investment Tax Credit (266.8f) (enter negative)</t>
  </si>
  <si>
    <t xml:space="preserve">      1 / (1 - T)  =  (from line 21)</t>
  </si>
  <si>
    <t xml:space="preserve">       and FIT, SIT &amp; p are as given in footnote K.</t>
  </si>
  <si>
    <t xml:space="preserve">     CIT=(T/1-T) * (1-(WCLTD/R)) =</t>
  </si>
  <si>
    <t xml:space="preserve">     T=1 - {[(1 - SIT) * (1 - FIT)] / (1 - SIT * FIT * p)} * (1-TEP)=</t>
  </si>
  <si>
    <t>(Note K)</t>
  </si>
  <si>
    <t xml:space="preserve">INCOME TAXES          </t>
  </si>
  <si>
    <t>TOTAL OTHER TAXES  (sum lines 13 - 19)</t>
  </si>
  <si>
    <t>GP</t>
  </si>
  <si>
    <t xml:space="preserve">         Payments in lieu of taxes</t>
  </si>
  <si>
    <t>263.i</t>
  </si>
  <si>
    <t xml:space="preserve">         Other</t>
  </si>
  <si>
    <t>zero</t>
  </si>
  <si>
    <t xml:space="preserve">         Gross Receipts</t>
  </si>
  <si>
    <t xml:space="preserve">         Property</t>
  </si>
  <si>
    <t xml:space="preserve">  PLANT RELATED</t>
  </si>
  <si>
    <t>W/S</t>
  </si>
  <si>
    <t xml:space="preserve">          Highway and vehicle</t>
  </si>
  <si>
    <t xml:space="preserve">          Payroll</t>
  </si>
  <si>
    <t xml:space="preserve">  LABOR RELATED</t>
  </si>
  <si>
    <t>TAXES OTHER THAN INCOME TAXES  (Note J)</t>
  </si>
  <si>
    <t>TOTAL DEPRECIATION  (sum lines 9 - 11)</t>
  </si>
  <si>
    <t>336.11.b&amp;d</t>
  </si>
  <si>
    <t xml:space="preserve">  Common</t>
  </si>
  <si>
    <t xml:space="preserve">  Transmission </t>
  </si>
  <si>
    <t>TOTAL O&amp;M   (sum lines 1, 3, 5a, 6, 7 less lines 1a, 2, 4, 5)</t>
  </si>
  <si>
    <t xml:space="preserve">  Transmission Lease Payments</t>
  </si>
  <si>
    <t>356.1</t>
  </si>
  <si>
    <t>TE</t>
  </si>
  <si>
    <t xml:space="preserve">     Plus Transmission Related Reg. Comm. Exp.  (Note I)</t>
  </si>
  <si>
    <t xml:space="preserve">     Less EPRI &amp; Reg. Comm. Exp. &amp; Non-safety  Ad.  (Note I)</t>
  </si>
  <si>
    <t xml:space="preserve">     Less FERC Annual Fees</t>
  </si>
  <si>
    <t>323.197.b</t>
  </si>
  <si>
    <t xml:space="preserve">  A&amp;G</t>
  </si>
  <si>
    <t>321.96.b</t>
  </si>
  <si>
    <t xml:space="preserve">     Less Account 565</t>
  </si>
  <si>
    <t xml:space="preserve">     Less LSE Expenses Included in Transmission O&amp;M Accounts  (Note W)</t>
  </si>
  <si>
    <t>1a</t>
  </si>
  <si>
    <t>321.112.b</t>
  </si>
  <si>
    <t>(Col 3 times Col 4)</t>
  </si>
  <si>
    <t xml:space="preserve">                  Allocator</t>
  </si>
  <si>
    <t>Company Total</t>
  </si>
  <si>
    <t>Page, Line, Col.</t>
  </si>
  <si>
    <t>Form No. 1</t>
  </si>
  <si>
    <t>(5)</t>
  </si>
  <si>
    <t>(4)</t>
  </si>
  <si>
    <t>(3)</t>
  </si>
  <si>
    <t>(2)</t>
  </si>
  <si>
    <t>(1)</t>
  </si>
  <si>
    <t>page 3 of 5</t>
  </si>
  <si>
    <t>RATE BASE  (sum lines 18, 24, 25, &amp; 29)</t>
  </si>
  <si>
    <t>TOTAL WORKING CAPITAL  (sum lines 26 - 28)</t>
  </si>
  <si>
    <t>111.57.c</t>
  </si>
  <si>
    <t xml:space="preserve">  Prepayments (Account 165)</t>
  </si>
  <si>
    <t>227.8.c &amp; .16.c</t>
  </si>
  <si>
    <t xml:space="preserve">  Materials &amp; Supplies  (Note G)</t>
  </si>
  <si>
    <t>calculated</t>
  </si>
  <si>
    <t xml:space="preserve">  CWC </t>
  </si>
  <si>
    <t>WORKING CAPITAL  (Note H)</t>
  </si>
  <si>
    <t>214.x.d  (Note G)</t>
  </si>
  <si>
    <t xml:space="preserve">LAND HELD FOR FUTURE USE </t>
  </si>
  <si>
    <t>TOTAL ADJUSTMENTS  (sum lines 19- 23)</t>
  </si>
  <si>
    <t>267.8.h</t>
  </si>
  <si>
    <t xml:space="preserve">  Account No. 255 (enter negative)</t>
  </si>
  <si>
    <t>234.8.c</t>
  </si>
  <si>
    <t xml:space="preserve">  Account No. 190 </t>
  </si>
  <si>
    <t>277.9.k</t>
  </si>
  <si>
    <t xml:space="preserve">  Account No. 283 (enter negative)</t>
  </si>
  <si>
    <t>275.2.k</t>
  </si>
  <si>
    <t xml:space="preserve">  Account No. 282 (enter negative)</t>
  </si>
  <si>
    <t>273.8.k</t>
  </si>
  <si>
    <t xml:space="preserve">  Account No. 281 (enter negative)</t>
  </si>
  <si>
    <t>ADJUSTMENTS TO RATE BASE  (Note F)</t>
  </si>
  <si>
    <t>NP=</t>
  </si>
  <si>
    <t>TOTAL NET PLANT  (sum lines 13-17)</t>
  </si>
  <si>
    <t>(line 5 - line 11)</t>
  </si>
  <si>
    <t>(line 4 - line 10)</t>
  </si>
  <si>
    <t>(line 3 - line 9)</t>
  </si>
  <si>
    <t xml:space="preserve">  CWIP</t>
  </si>
  <si>
    <t>14b</t>
  </si>
  <si>
    <t>14a</t>
  </si>
  <si>
    <t>(line 1- line 7)</t>
  </si>
  <si>
    <t>NET PLANT IN SERVICE</t>
  </si>
  <si>
    <t>TOTAL ACCUM. DEPRECIATION  (sum lines 7-11)</t>
  </si>
  <si>
    <t>219.26.c</t>
  </si>
  <si>
    <t>219.20-24.c</t>
  </si>
  <si>
    <t>ACCUMULATED DEPRECIATION</t>
  </si>
  <si>
    <t>GP=</t>
  </si>
  <si>
    <t>TOTAL GROSS PLANT  (sum lines 1-5)</t>
  </si>
  <si>
    <t>207.75.g</t>
  </si>
  <si>
    <t>205.46.g</t>
  </si>
  <si>
    <t>GROSS PLANT IN SERVICE</t>
  </si>
  <si>
    <r>
      <t>RATE BASE:</t>
    </r>
    <r>
      <rPr>
        <b/>
        <sz val="12"/>
        <color indexed="10"/>
        <rFont val="Times New Roman"/>
        <family val="1"/>
      </rPr>
      <t xml:space="preserve"> </t>
    </r>
  </si>
  <si>
    <t>Thirteen Month Average Rate Base Balances (Note Z)</t>
  </si>
  <si>
    <t>page 2 of 5</t>
  </si>
  <si>
    <t>Long Term</t>
  </si>
  <si>
    <t>Short Term</t>
  </si>
  <si>
    <t>(Note E)</t>
  </si>
  <si>
    <t>FERC Annual Charge ($/MWh)</t>
  </si>
  <si>
    <t>and daily rates</t>
  </si>
  <si>
    <t xml:space="preserve"> times 1,000)</t>
  </si>
  <si>
    <t>Capped at weekly</t>
  </si>
  <si>
    <t>(line 16 / 4,160; line 16 / 8,760</t>
  </si>
  <si>
    <t>Point-To-Point Rate ($/MWh)</t>
  </si>
  <si>
    <t>Capped at weekly rate</t>
  </si>
  <si>
    <t>(line 16 / 260; line 16 / 365)</t>
  </si>
  <si>
    <t>Point-To-Point Rate ($/kW/Day)</t>
  </si>
  <si>
    <t>(line 16 / 52; line 16 / 52)</t>
  </si>
  <si>
    <t>Point-To-Point Rate ($/kW/Wk)</t>
  </si>
  <si>
    <t>Off-Peak Rate</t>
  </si>
  <si>
    <t>Peak Rate</t>
  </si>
  <si>
    <t>(line 16 / 12)</t>
  </si>
  <si>
    <t xml:space="preserve">Network &amp; P-to-P Rate ($/kW/Mo) </t>
  </si>
  <si>
    <t>(line 7 / line 15)</t>
  </si>
  <si>
    <t>Annual Cost ($/kW/Yr)</t>
  </si>
  <si>
    <t>Divisor (sum lines 8-14)</t>
  </si>
  <si>
    <t xml:space="preserve">  Less Contract Demands from service over one year provided by ISO at a discount (enter negative)</t>
  </si>
  <si>
    <t xml:space="preserve">  Less Contract Demand from Grandfathered Interzonal Transactions over one year (enter negative)  (Note S)</t>
  </si>
  <si>
    <t xml:space="preserve">  Plus Contract Demand of firm P-T-P over one year</t>
  </si>
  <si>
    <t>(Note D)</t>
  </si>
  <si>
    <t xml:space="preserve">  Less 12 CP of firm P-T-P over one year (enter negative)</t>
  </si>
  <si>
    <t>(Note C)</t>
  </si>
  <si>
    <t xml:space="preserve">  Plus 12 CP of Network Load not in line 8</t>
  </si>
  <si>
    <t>(Note B)</t>
  </si>
  <si>
    <t xml:space="preserve">  Plus 12 CP of firm bundled sales over one year not in line 8</t>
  </si>
  <si>
    <t>(Note A)</t>
  </si>
  <si>
    <t xml:space="preserve">DIVISOR </t>
  </si>
  <si>
    <t>(line 1 minus line 6)</t>
  </si>
  <si>
    <t>NET REVENUE REQUIREMENT</t>
  </si>
  <si>
    <t>TOTAL REVENUE CREDITS  (sum lines 2-5)</t>
  </si>
  <si>
    <t xml:space="preserve">  Revenues from service provided by the ISO at a discount</t>
  </si>
  <si>
    <t xml:space="preserve">  Revenues from Grandfathered Interzonal Transactions</t>
  </si>
  <si>
    <t>(page 4, line 37)</t>
  </si>
  <si>
    <t xml:space="preserve">  Account No. 456.1</t>
  </si>
  <si>
    <t>(page 4, line 34)</t>
  </si>
  <si>
    <t xml:space="preserve">  Account No. 454</t>
  </si>
  <si>
    <t>Allocator</t>
  </si>
  <si>
    <t>Total</t>
  </si>
  <si>
    <t>(Note T)</t>
  </si>
  <si>
    <t xml:space="preserve">REVENUE CREDITS </t>
  </si>
  <si>
    <t>Amount</t>
  </si>
  <si>
    <t>Allocated</t>
  </si>
  <si>
    <t>Composite Depreciation Rates</t>
  </si>
  <si>
    <t>Thirteen Monthly Balances</t>
  </si>
  <si>
    <t>American Transmission Company LLC</t>
  </si>
  <si>
    <t>page 1 of 5</t>
  </si>
  <si>
    <t>The Total General and Common Depreciation Expense excludes any depreciation expense directly associated with a project and thereby included in page 2 column 9.</t>
  </si>
  <si>
    <t>Project Net Plant is the Project Gross Plant Identified in Column 3 less the associated Accumulated Depreciation.</t>
  </si>
  <si>
    <t>Annual Totals</t>
  </si>
  <si>
    <t>2</t>
  </si>
  <si>
    <t>(Note F)</t>
  </si>
  <si>
    <t>(Col. 6 * Col. 7)</t>
  </si>
  <si>
    <t>(Page 1 line 14)</t>
  </si>
  <si>
    <t>(Col. 3 * Col. 4)</t>
  </si>
  <si>
    <t>(Page 1 line 9)</t>
  </si>
  <si>
    <t>Network Upgrade Charge</t>
  </si>
  <si>
    <t>True-Up Adjustment</t>
  </si>
  <si>
    <t>Annual Revenue Requirement</t>
  </si>
  <si>
    <t>Annual Return Charge</t>
  </si>
  <si>
    <t xml:space="preserve">Project Net Plant </t>
  </si>
  <si>
    <t>Annual Expense Charge</t>
  </si>
  <si>
    <t xml:space="preserve">Project Gross Plant </t>
  </si>
  <si>
    <t>MTEP Project Number</t>
  </si>
  <si>
    <t>Project Name</t>
  </si>
  <si>
    <t>Line No.</t>
  </si>
  <si>
    <t xml:space="preserve">                           Network Upgrade Charge Calculation By Project</t>
  </si>
  <si>
    <t>Page 2 of 2</t>
  </si>
  <si>
    <t>Sum of line 11 and 13</t>
  </si>
  <si>
    <t>14</t>
  </si>
  <si>
    <t>(line 12 divided by line 2 col 3)</t>
  </si>
  <si>
    <t>Annual Allocation Factor for Return on Rate Base</t>
  </si>
  <si>
    <t>13</t>
  </si>
  <si>
    <t>Return on Rate Base</t>
  </si>
  <si>
    <t>12</t>
  </si>
  <si>
    <t>(line 10 divided by line 2 col 3)</t>
  </si>
  <si>
    <t>Annual Allocation Factor for Income Taxes</t>
  </si>
  <si>
    <t>11</t>
  </si>
  <si>
    <t>10</t>
  </si>
  <si>
    <t>INCOME TAXES</t>
  </si>
  <si>
    <t>Sum of line 4, 6, and 8</t>
  </si>
  <si>
    <t>9</t>
  </si>
  <si>
    <t>(line 7 divided by line 1 col 3)</t>
  </si>
  <si>
    <t>Annual Allocation Factor for Other Taxes</t>
  </si>
  <si>
    <t>8</t>
  </si>
  <si>
    <t>Total Other Taxes</t>
  </si>
  <si>
    <t>7</t>
  </si>
  <si>
    <t>TAXES OTHER THAN INCOME TAXES</t>
  </si>
  <si>
    <t>(line 5 divided by line 1 col 3)</t>
  </si>
  <si>
    <t>Annual Allocation Factor for G&amp;C Depreciation Expense</t>
  </si>
  <si>
    <t>6</t>
  </si>
  <si>
    <t>Total G&amp;C Depreciation Expense</t>
  </si>
  <si>
    <t>5</t>
  </si>
  <si>
    <t>GENERAL AND COMMON (G&amp;C) DEPRECIATION EXPENSE</t>
  </si>
  <si>
    <t>Annual Allocation Factor for O&amp;M</t>
  </si>
  <si>
    <t>Total O&amp;M Allocated to Transmission</t>
  </si>
  <si>
    <t>O&amp;M EXPENSE</t>
  </si>
  <si>
    <t>Net Transmission Plant - Total</t>
  </si>
  <si>
    <t>Gross Transmission Plant - Total</t>
  </si>
  <si>
    <t>Page 1 of 2</t>
  </si>
  <si>
    <t xml:space="preserve">     Rate Formula Template</t>
  </si>
  <si>
    <t>Formula Rate calculation</t>
  </si>
  <si>
    <t>MVP Total Annual Revenue Requirements</t>
  </si>
  <si>
    <t>Multi-Value Projects (MVP)</t>
  </si>
  <si>
    <t>MVP Annual Adjusted Revenue Requirement</t>
  </si>
  <si>
    <t>Multi-Value Project (MVP) Revenue Requirement Calculation</t>
  </si>
  <si>
    <t>The Total General and Common Depreciation Expense excludes any depreciation expense directly associated with a project and thereby included in page 2 column 13.</t>
  </si>
  <si>
    <t>The MVP Annual Revenue Requirement is the value to be used in Schedule 26-A.</t>
  </si>
  <si>
    <t>Note deliberately left blank.</t>
  </si>
  <si>
    <t>Sum Col. 14 &amp; 15
(Note G)</t>
  </si>
  <si>
    <t>(Col 10 * Col 11)</t>
  </si>
  <si>
    <t>(Col 3 - Col 4)</t>
  </si>
  <si>
    <t>(Col 6 + Col 8)</t>
  </si>
  <si>
    <t>(Col 3 * Col 7)</t>
  </si>
  <si>
    <t>Page 1 line 9</t>
  </si>
  <si>
    <t>(Col 4 * Col 5)</t>
  </si>
  <si>
    <t>Page 1 line 4</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</si>
  <si>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</si>
  <si>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</si>
  <si>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</si>
  <si>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</si>
  <si>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</si>
  <si>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</si>
  <si>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</si>
  <si>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</si>
  <si>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</si>
  <si>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t>
  </si>
  <si>
    <t>(12)</t>
  </si>
  <si>
    <t>(11)</t>
  </si>
  <si>
    <t>(10)</t>
  </si>
  <si>
    <t>(9)</t>
  </si>
  <si>
    <t>(8)</t>
  </si>
  <si>
    <t>(7)</t>
  </si>
  <si>
    <t>(6)</t>
  </si>
  <si>
    <t>Sum of line 4b, 6, and 8</t>
  </si>
  <si>
    <t>Annual Allocation Factor for Other Expense</t>
  </si>
  <si>
    <t>Line 4a divided by Line 1, col 3</t>
  </si>
  <si>
    <t>Annual Allocation Factor for Other O&amp;M</t>
  </si>
  <si>
    <t>4b</t>
  </si>
  <si>
    <t>Other O&amp;M Allocated to Transmission</t>
  </si>
  <si>
    <t>4a</t>
  </si>
  <si>
    <t>OTHER O&amp;M EXPENSE</t>
  </si>
  <si>
    <t>(Line 3d divided by line 1a, col 3)</t>
  </si>
  <si>
    <t>Annual Allocation Factor for Transmission O&amp;M</t>
  </si>
  <si>
    <t>Adjusted Transmission O&amp;M</t>
  </si>
  <si>
    <t>3d</t>
  </si>
  <si>
    <t>Less: Account 565 included in above, if any</t>
  </si>
  <si>
    <t>3c</t>
  </si>
  <si>
    <t>Less: LSE Expenses included in above, if any</t>
  </si>
  <si>
    <t>3b</t>
  </si>
  <si>
    <t>Transmission O&amp;M</t>
  </si>
  <si>
    <t>3a</t>
  </si>
  <si>
    <t>O&amp;M TRANSMISSION EXPENSE</t>
  </si>
  <si>
    <t>Line 1 minus Line 1a (Note B)</t>
  </si>
  <si>
    <t>Transmission Accumulated Depreciation</t>
  </si>
  <si>
    <t xml:space="preserve">March </t>
  </si>
  <si>
    <t xml:space="preserve">August </t>
  </si>
  <si>
    <t xml:space="preserve">Rate Year </t>
  </si>
  <si>
    <t>Reporting Company</t>
  </si>
  <si>
    <t>ATC</t>
  </si>
  <si>
    <t>Pricing Zone</t>
  </si>
  <si>
    <t>Gross Plant</t>
  </si>
  <si>
    <t>Column (3)</t>
  </si>
  <si>
    <t>Accumulated</t>
  </si>
  <si>
    <t>Depreciation</t>
  </si>
  <si>
    <t>Net Plant</t>
  </si>
  <si>
    <t>Column (6)</t>
  </si>
  <si>
    <t>Column (9)</t>
  </si>
  <si>
    <t>Depreciation Expense Total</t>
  </si>
  <si>
    <t>3a1</t>
  </si>
  <si>
    <t>Project O&amp;M Incentive</t>
  </si>
  <si>
    <t>Column (10)</t>
  </si>
  <si>
    <t>Column (13)</t>
  </si>
  <si>
    <t>Column (14)</t>
  </si>
  <si>
    <t>Precertification Expense</t>
  </si>
  <si>
    <t>2452 / 3160</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</si>
  <si>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</si>
  <si>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t>True-Up Adjustment is included pursuant to a FERC approved methodology, if applicable.</t>
  </si>
  <si>
    <t xml:space="preserve">  Transmission &amp; Intangible</t>
  </si>
  <si>
    <t>207.58.g &amp; 205.5g</t>
  </si>
  <si>
    <t xml:space="preserve">  General</t>
  </si>
  <si>
    <t>207.99.g</t>
  </si>
  <si>
    <t>219.25.c&amp;d &amp; 200.21.c</t>
  </si>
  <si>
    <t>GROSS REVENUE REQUIREMENT  (page 3, line 31)</t>
  </si>
  <si>
    <t>O&amp;M (Note U, Note CC)</t>
  </si>
  <si>
    <t>DEPRECIATION AND AMORTIZATION EXPENSE</t>
  </si>
  <si>
    <t>336.7.b &amp; 336.1.d</t>
  </si>
  <si>
    <t>336.10.b&amp;d</t>
  </si>
  <si>
    <t xml:space="preserve">       where WCLTD = (page 4, line 27) and R = (page 4, line 30)</t>
  </si>
  <si>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 facilities not included in this template (e.g., direct assignment facilities and GSUs) which are not recovered under this Rate Formula Template.</t>
  </si>
  <si>
    <t>Account Nos. 561.4 and 561.8 consist of RTO expenses billed to load-serving entities and are not included in Transmission Owner revenue requirements.</t>
  </si>
  <si>
    <t>Schedule 10-FERC charges should not be included in O&amp;M recovered under this Attachment O.</t>
  </si>
  <si>
    <t>CC</t>
  </si>
  <si>
    <t>Rev. Req. Adj For Attachment O - ATCLLC</t>
  </si>
  <si>
    <t>(Note J)</t>
  </si>
  <si>
    <t>Preliminary Survey and Investigation Expense</t>
  </si>
  <si>
    <t>(13a)</t>
  </si>
  <si>
    <t>Attachment MM - ATCLLC</t>
  </si>
  <si>
    <t>Less Preliminary Survey and Investigation Adjustment  (Note I)</t>
  </si>
  <si>
    <t>Precertification Expense Total</t>
  </si>
  <si>
    <t>Preliminary Survey and Investigation expense (pre-certification costs) equals the actual value booked, or projected to be booked for forward-looking rate periods, for each of the MISO approved MVP Projects and included in Attachment O – ATCLLC, Page 3, Line 1, Column 5.</t>
  </si>
  <si>
    <t>Preliminary Survey and Investigation expense (pre-certification costs) equals the actual value booked, or projected to be booked for forward-looking rate periods, for all of the MISO approved projects and included in Attachment O – ATCLLC, Page 3, Line 1, Column 5.</t>
  </si>
  <si>
    <t>True-Up Adjustment is included pursuant to Attachment MM - ATCLLC Annual True-up Procedure.</t>
  </si>
  <si>
    <t>Project Depreciation Expense is the actual value booked for the project and included in the Depreciation Expense in Attachment O - ATCLLC page 3 line 12.</t>
  </si>
  <si>
    <t>Project Gross Plant is the total capital investment for the project calculated in the same method as the gross plant value in line 1 and includes CWIP in rate base.  This value includes subsequent capital investments required to maintain the facilities to their original capabilities.</t>
  </si>
  <si>
    <t>Net Transmission Plant is that identified on page 2 lines 14a and 14b of Attachment O - ATCLLC and is inclusive of any CWIP included in rate base.</t>
  </si>
  <si>
    <t>Gross Transmission Plant is that identified on page 2 lines 2a and 2b of Attachment O - ATCLLC  and is inclusive of any CWIP included in rate base.  Transmission Accumulated Depreciation comports with this Note A and B below.</t>
  </si>
  <si>
    <t xml:space="preserve"> Utilizing Attachment O - ATCLLC Data</t>
  </si>
  <si>
    <t>Attach O - ATCLLC, p 3, line 28 col 5</t>
  </si>
  <si>
    <t>Attach O - ATCLLC, p 3, line 27 col 5</t>
  </si>
  <si>
    <t>Attach O - ATCLLC, p 3, line 20 col 5</t>
  </si>
  <si>
    <t>Attach O - ATCLLC, p 3, lines 10 &amp; 11, col 5 (Note H)</t>
  </si>
  <si>
    <t>Line 3 minus Lines 3d and 3a1</t>
  </si>
  <si>
    <t>Line 3a minus Lines 3a1, 3b and 3c</t>
  </si>
  <si>
    <t>Attach O - ATCLLC, p 3, line 2 col 5</t>
  </si>
  <si>
    <t>Attach O - ATCLLC, p 3, line 1a col 5</t>
  </si>
  <si>
    <t>Preliminary and Survey Expense included in Attach O - ATCLLC, P 3, line 1 col 5</t>
  </si>
  <si>
    <t>Attach O - ATCLLC, p 3, line 1 col 5</t>
  </si>
  <si>
    <t>Attach O - ATCLLC, p 3, line 8 col 5</t>
  </si>
  <si>
    <t>Attach O - ATCLLC, p 2, line 8a and 8b col 5 (Note A)</t>
  </si>
  <si>
    <t>Attach O - ATCLLC, p 2, line 2a and 2b col 5 (Note A)</t>
  </si>
  <si>
    <t>Attachment O - ATCLLC</t>
  </si>
  <si>
    <t>(inputs from Attachment O - ATCLLC are rounded to whole dollars)</t>
  </si>
  <si>
    <t>To be completed in conjunction with Attachment O - ATCLLC.</t>
  </si>
  <si>
    <t>(Sum Col. 9, 12, 13 &amp; 13a)</t>
  </si>
  <si>
    <t>MVP</t>
  </si>
  <si>
    <t>Reliability</t>
  </si>
  <si>
    <t>Included in Attach O - ATCLLC, P 3, line 1 col 5</t>
  </si>
  <si>
    <t>Adjusted O&amp;M Allocated to Transmission</t>
  </si>
  <si>
    <t>(line 3b divided by line 1 col 3)</t>
  </si>
  <si>
    <t>(line 3 minus line 3a col 3)</t>
  </si>
  <si>
    <t>(9a)</t>
  </si>
  <si>
    <t>Attachment GG - ATCLLC</t>
  </si>
  <si>
    <t>Attach O - ATCLLC, p 2, line 2 col 5 (Note A)</t>
  </si>
  <si>
    <t>Preliminary Survey and Investigation expense (pre-certification costs) equals the actual value booked, or projected to be booked for forward-looking rate periods, for each of the MISO approved RECB Projects and included in Attachment O – ATCLLC, Page 3, Line 1, Column 5.</t>
  </si>
  <si>
    <t>Column (9a)</t>
  </si>
  <si>
    <t>The Network Upgrade Charge is the value to be used in schedules associated with Attachment GG - ATCLLC.</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</si>
  <si>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</si>
  <si>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</si>
  <si>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(Sum Col. 10 &amp; 11)
(Note G)</t>
  </si>
  <si>
    <t>(Sum Col. 5, 8, 9  &amp; 9a)</t>
  </si>
  <si>
    <t>Less: Preliminary Survey and Investigation Adjustment  (Note I)</t>
  </si>
  <si>
    <t>Attach O - ATCLLC, p 2, line 14 col 5 (Note B)</t>
  </si>
  <si>
    <t xml:space="preserve">Removes from revenue credits revenues that are distributed pursuant to the associated schedules of the Midwest ISO Tariff, since the Transmission Owner's Attachment O revenue requirements have already been reduced by the Attachment MM revenue requirements.  </t>
  </si>
  <si>
    <t>Pursuant to Attachment MM of the Midwest ISO Tariff, removes dollar amount of revenue requirements calculated pursuant to Attachment MM and recovered under the associated schedules of the Midwest ISO Tariff.</t>
  </si>
  <si>
    <t xml:space="preserve">Removes from revenue credits revenues that are distributed pursuant to the associated schedules of the Midwest ISO Tariff, since the Transmission Owner's Attachment O revenue requirements have already been reduced by the Attachment GG revenue requirements.  </t>
  </si>
  <si>
    <t>Pursuant to Attachment GG of the Midwest ISO Tariff, removes dollar amount of revenue requirements calculated pursuant to Attachment GG and recovered under the associated schedules of the Midwest ISO Tariff.</t>
  </si>
  <si>
    <t>Removes revenues that are distributed pursuant to Schedule 1 of the Midwest ISO Tariff.  The projected dollar amount of transmission expenses to be included in the OATT ancillary services rates, including Account Nos. 561.1, 561.2, 561.3, and 561.BA will be used as the estimated revenues for the calculation of prospective rates used for billing. The revenues received pursuant to Schedule 1 as reported in Account 457.1 will be used in the annual calculation of the Attachment O True-Up.</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</si>
  <si>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(page 3, line 26a).</t>
  </si>
  <si>
    <t xml:space="preserve">  d. Transmission charges from Schedules associated with Attachment MM (Note BB)</t>
  </si>
  <si>
    <t xml:space="preserve">  c. Transmission charges from Schedules associated with Attachment GG  (Note Y)</t>
  </si>
  <si>
    <t>LESS ATTACHMENT MM ADJUSTMENT [Attachment MM, page 2, line 3]   (Note AA)</t>
  </si>
  <si>
    <t>LESS ATTACHMENT GG ADJUSTMENT [Attachment GG, page 2, line 3]   (Note X)</t>
  </si>
  <si>
    <t>(line 2a - line 8a)</t>
  </si>
  <si>
    <t>219.28.c&amp;d</t>
  </si>
  <si>
    <t>Company:</t>
  </si>
  <si>
    <t>True-Up Year:</t>
  </si>
  <si>
    <t>Company</t>
  </si>
  <si>
    <t>(Form 1, p 321, Line 85)</t>
  </si>
  <si>
    <t>Account 561.2</t>
  </si>
  <si>
    <t>(Form 1, p 321, Line 86)</t>
  </si>
  <si>
    <t>Account 561.3</t>
  </si>
  <si>
    <t>(Form 1, p 321, Line 87)</t>
  </si>
  <si>
    <t>Schedule 1 True-Up Adjustment</t>
  </si>
  <si>
    <t>Account 561.1 (Note A)</t>
  </si>
  <si>
    <t xml:space="preserve">   Subtotal (sum lines 1-3)</t>
  </si>
  <si>
    <t>Account 561.BA for Schedule 24 (Note B)</t>
  </si>
  <si>
    <t>(Form 1, footnote to p 321, Lines 85, 86, &amp; 87)</t>
  </si>
  <si>
    <r>
      <t>Account 561 Available excluding revenue credits</t>
    </r>
    <r>
      <rPr>
        <sz val="11"/>
        <color theme="1"/>
        <rFont val="Times New Roman"/>
        <family val="1"/>
      </rPr>
      <t xml:space="preserve"> (Note C)</t>
    </r>
  </si>
  <si>
    <r>
      <t>Revenues including revenue credits (Account 457.1)</t>
    </r>
    <r>
      <rPr>
        <sz val="11"/>
        <color theme="1"/>
        <rFont val="Times New Roman"/>
        <family val="1"/>
      </rPr>
      <t xml:space="preserve"> (Note D)</t>
    </r>
  </si>
  <si>
    <t>(Form 1, footnote to p 300, Line 23)</t>
  </si>
  <si>
    <t>(Over)/Under Collected Amount (Note E)</t>
  </si>
  <si>
    <t>Source references may vary by company; page references are to each company's source document.  Inputs in whole dollars.</t>
  </si>
  <si>
    <t>Scheduling, Control, and Dispatch Service--Balancing Authority.</t>
  </si>
  <si>
    <t>Scheduling, Control, and Dispatch Service--Transmission.</t>
  </si>
  <si>
    <t>Current Year Schedule 1 revenues include revenue credits and exclude True-Up Adjustments.</t>
  </si>
  <si>
    <t>Interest on the (over)/under collected amount will not be know at the time the template is submitted pursuant to the approved FERC methodology.</t>
  </si>
  <si>
    <t/>
  </si>
  <si>
    <t>For the 12 months ended 12/31/2014</t>
  </si>
  <si>
    <t>For the Year Ended December 31, 2014</t>
  </si>
  <si>
    <t>Federal Rate</t>
  </si>
  <si>
    <t>Interest</t>
  </si>
  <si>
    <t>Member Income Tax Rates for Attachment O</t>
  </si>
  <si>
    <t>State Rate:</t>
  </si>
  <si>
    <t>Statutory</t>
  </si>
  <si>
    <t>ATC Apportionment Factor</t>
  </si>
  <si>
    <t>Apportioned Rate</t>
  </si>
  <si>
    <t>Wisconsin</t>
  </si>
  <si>
    <t>Minnesota</t>
  </si>
  <si>
    <t>Illinois</t>
  </si>
  <si>
    <t>District of Columbia</t>
  </si>
  <si>
    <t>Michigan</t>
  </si>
  <si>
    <t>North Carolina</t>
  </si>
  <si>
    <t>Notes:</t>
  </si>
  <si>
    <t>Apportionment formulas for states are not uniform, resulting in an aggregate apportionment that may not equal 100%</t>
  </si>
  <si>
    <t>Combined</t>
  </si>
  <si>
    <t>State Only</t>
  </si>
  <si>
    <t>Annual</t>
  </si>
  <si>
    <t>Permanent Items:</t>
  </si>
  <si>
    <t>Equity AFUDC Depr</t>
  </si>
  <si>
    <t>Tax Rate</t>
  </si>
  <si>
    <t>Description</t>
  </si>
  <si>
    <t>Debt Amount</t>
  </si>
  <si>
    <t>Months O/S during year</t>
  </si>
  <si>
    <t>Weighted Debt Amount</t>
  </si>
  <si>
    <t>Eff. Rate**</t>
  </si>
  <si>
    <t>Weighted Rate</t>
  </si>
  <si>
    <t>Verfied against debt amortization tables</t>
  </si>
  <si>
    <t>12/02 $50.0 M Debt</t>
  </si>
  <si>
    <t>8/29/03 $70M &amp; 10/31/03 $30M Debt</t>
  </si>
  <si>
    <t>3/21/05 $100M Debt</t>
  </si>
  <si>
    <t>4/29/05 $40M &amp; 8/01/05 $60M Debt</t>
  </si>
  <si>
    <t>2/20/07 $75M Debt;5/01/07 $75M; 8/01/07 $100M</t>
  </si>
  <si>
    <t>4/30/08 $200M Debt</t>
  </si>
  <si>
    <t>3/16/09 $115M</t>
  </si>
  <si>
    <t>5/15/09 $35M</t>
  </si>
  <si>
    <t>2/1/10 $100M</t>
  </si>
  <si>
    <t>4/1/10 $50M</t>
  </si>
  <si>
    <t>12/15/10 $75M</t>
  </si>
  <si>
    <t>3/14/11 $75M</t>
  </si>
  <si>
    <t>3/14/11 $150M</t>
  </si>
  <si>
    <t>4/18/12 $150M</t>
  </si>
  <si>
    <t>1/22/14 $50M - 15yr</t>
  </si>
  <si>
    <t>1/22/14 $50M - 30yr</t>
  </si>
  <si>
    <t>12/11/14 $75M</t>
  </si>
  <si>
    <t>12/11/14 $29M</t>
  </si>
  <si>
    <t>12/11/14 $47M</t>
  </si>
  <si>
    <t>Weighted Avg. ST Debt -Jan</t>
  </si>
  <si>
    <t>Weighted Avg. ST Debt -Feb</t>
  </si>
  <si>
    <t>Weighted Avg. ST Debt -Mar</t>
  </si>
  <si>
    <t>Weighted Avg. ST Debt - Apr</t>
  </si>
  <si>
    <t>Weighted Avg. ST Debt - May</t>
  </si>
  <si>
    <t>Weighted Avg. ST Debt - June</t>
  </si>
  <si>
    <t>Weighted Avg. ST Debt - July</t>
  </si>
  <si>
    <t>Weighted Avg. ST Debt - Aug</t>
  </si>
  <si>
    <t>Weighted Avg. ST Debt - Sept</t>
  </si>
  <si>
    <t>Weighted Avg. ST Debt - Oct</t>
  </si>
  <si>
    <t>Weighted Avg. ST Debt - Nov</t>
  </si>
  <si>
    <t>Weighted Avg. ST Debt - Dec</t>
  </si>
  <si>
    <t>Computation of Average Deferred Tax Balances</t>
  </si>
  <si>
    <t>Month Ended</t>
  </si>
  <si>
    <t>True-up</t>
  </si>
  <si>
    <t>Balance to Average</t>
  </si>
  <si>
    <t>Account 190</t>
  </si>
  <si>
    <t>Account 282</t>
  </si>
  <si>
    <t>Account 283</t>
  </si>
  <si>
    <t>2014 Revenue Requirement and True-up</t>
  </si>
  <si>
    <t>For  the 12 months ended 12/31/2014</t>
  </si>
  <si>
    <t>Werner West-Morgan</t>
  </si>
  <si>
    <t>1b</t>
  </si>
  <si>
    <t>Pleasant Valley - St. Lawrence</t>
  </si>
  <si>
    <t>1c</t>
  </si>
  <si>
    <t>Cranberry-Conover-Iron River-Plains</t>
  </si>
  <si>
    <t>1d</t>
  </si>
  <si>
    <t>Rockdale-W.Middleton 345kV</t>
  </si>
  <si>
    <t>1e</t>
  </si>
  <si>
    <t>G507-Cedar Ridge Wind Farm</t>
  </si>
  <si>
    <t>1f</t>
  </si>
  <si>
    <t>GIC706-H012 Glacier Hills Wind Park</t>
  </si>
  <si>
    <t>1g</t>
  </si>
  <si>
    <t>2nd Kewaunee Xfr</t>
  </si>
  <si>
    <t>1h</t>
  </si>
  <si>
    <t>Straits Power Flow Controller</t>
  </si>
  <si>
    <t>1i</t>
  </si>
  <si>
    <t>G834 Interim Upgrades</t>
  </si>
  <si>
    <t>1j</t>
  </si>
  <si>
    <t>G833 Interim Upgrades</t>
  </si>
  <si>
    <t>1k</t>
  </si>
  <si>
    <t>Rebuild Arcadian - Waukesha 138kV lines</t>
  </si>
  <si>
    <t>1l</t>
  </si>
  <si>
    <t>Arnold Transformer</t>
  </si>
  <si>
    <t>1m</t>
  </si>
  <si>
    <t>G833/4 Long Term Solution</t>
  </si>
  <si>
    <t>1n</t>
  </si>
  <si>
    <t>Green Bay to Morgan 345 kV project and Menominee Co to Delta Co 138 kV line</t>
  </si>
  <si>
    <t>Year</t>
  </si>
  <si>
    <t>2012 Projected Revenue Requirement Calculation</t>
  </si>
  <si>
    <t>Revenue Received 4</t>
  </si>
  <si>
    <t>2012 Actual Revenue Requirement</t>
  </si>
  <si>
    <t>2012 Annual True-up Calculation</t>
  </si>
  <si>
    <t>Received</t>
  </si>
  <si>
    <t>Interest Rate</t>
  </si>
  <si>
    <t xml:space="preserve">2012 Annual Expense Factor </t>
  </si>
  <si>
    <t xml:space="preserve">2012 Annual Return Factor </t>
  </si>
  <si>
    <t xml:space="preserve">Annual Expense Factor </t>
  </si>
  <si>
    <t xml:space="preserve">Annual Return Factor </t>
  </si>
  <si>
    <t>C1</t>
  </si>
  <si>
    <t>C2</t>
  </si>
  <si>
    <t>C3</t>
  </si>
  <si>
    <t>C4</t>
  </si>
  <si>
    <t>C5</t>
  </si>
  <si>
    <t>C6</t>
  </si>
  <si>
    <t>C7</t>
  </si>
  <si>
    <t>I1</t>
  </si>
  <si>
    <t>I2</t>
  </si>
  <si>
    <t>I3</t>
  </si>
  <si>
    <t>I4</t>
  </si>
  <si>
    <t>I5</t>
  </si>
  <si>
    <t>I6</t>
  </si>
  <si>
    <t>I7</t>
  </si>
  <si>
    <t>Project Gross Plant 1</t>
  </si>
  <si>
    <t>True-Up Adjustment 2</t>
  </si>
  <si>
    <t>% of Total Rev. Req</t>
  </si>
  <si>
    <t>Revenue Received</t>
  </si>
  <si>
    <t>% of Revenue Received</t>
  </si>
  <si>
    <t>Project Gross Plant 3</t>
  </si>
  <si>
    <t>Net Under/(Over) Collection</t>
  </si>
  <si>
    <t>Interest Income (Expense) 5</t>
  </si>
  <si>
    <t>Total 2012 True-up</t>
  </si>
  <si>
    <t>Lake Delton- Birchwood 138 kV line</t>
  </si>
  <si>
    <t>Horicon-East Beaver Dam 138 kV line</t>
  </si>
  <si>
    <t>GIC J060 Garden City Wind Phase I</t>
  </si>
  <si>
    <t>G282, Darlington Wind Generator</t>
  </si>
  <si>
    <t xml:space="preserve">GIC749 EcoMont Wind Farm </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</si>
  <si>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</si>
  <si>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</si>
  <si>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</si>
  <si>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</si>
  <si>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</si>
  <si>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The cells highlighted in yellow contain the official data, either actual or projected, the cells in highlighted in orange contain placeholder estimates that assume the actual results equal the projected values.</t>
  </si>
  <si>
    <t>Pleasant Prairie - Zion Energy Center 345 kV Line</t>
  </si>
  <si>
    <t>LaCrosse-Madison 345 kV - Dubuque Co - Spring Green 345 kV</t>
  </si>
  <si>
    <t>2012 Annual Schedule 26A True-up Calculation</t>
  </si>
  <si>
    <t>Annual Interest Rate</t>
  </si>
  <si>
    <t>Interest Income(Expense)</t>
  </si>
  <si>
    <t>C8</t>
  </si>
  <si>
    <t>C9</t>
  </si>
  <si>
    <t>C10</t>
  </si>
  <si>
    <t>C11</t>
  </si>
  <si>
    <t>C12</t>
  </si>
  <si>
    <t>I8</t>
  </si>
  <si>
    <t>I9</t>
  </si>
  <si>
    <t>I10</t>
  </si>
  <si>
    <t>I11</t>
  </si>
  <si>
    <t>I12</t>
  </si>
  <si>
    <t>Total  True-up</t>
  </si>
  <si>
    <t>Total Network Revenue Requirement per Attachment O</t>
  </si>
  <si>
    <t>Network Billings</t>
  </si>
  <si>
    <r>
      <t>Monthly</t>
    </r>
    <r>
      <rPr>
        <sz val="12"/>
        <rFont val="Arial"/>
        <family val="2"/>
      </rPr>
      <t xml:space="preserve"> FERC Interest Rate:</t>
    </r>
  </si>
  <si>
    <t>Avg.</t>
  </si>
  <si>
    <t>Avg. Monthly FERC Rate</t>
  </si>
  <si>
    <t>Per Month</t>
  </si>
  <si>
    <t>X  12 months</t>
  </si>
  <si>
    <t>1st Qtr 2014</t>
  </si>
  <si>
    <t>2nd Qtr 2014</t>
  </si>
  <si>
    <t>3rd Qtr 2014</t>
  </si>
  <si>
    <t>Amount being Refunded in 2015, Including Interest</t>
  </si>
  <si>
    <t>Less:  True-up to be refunded in 2016</t>
  </si>
  <si>
    <t>Attachment O revenue requirement</t>
  </si>
  <si>
    <t>Reconciliation to Network True-up</t>
  </si>
  <si>
    <t>Attachment O-ATCLLC, Page 4, Line 37 (sum of lines (2) and (5) above)</t>
  </si>
  <si>
    <r>
      <t xml:space="preserve">Ties to revenue requirement from </t>
    </r>
    <r>
      <rPr>
        <b/>
        <sz val="10"/>
        <rFont val="Arial"/>
        <family val="2"/>
      </rPr>
      <t>Attachment MM-ATCLLC</t>
    </r>
  </si>
  <si>
    <t>Attachment O-ATCLLC, Page 4, Line 36b (sum of lines (8) and (9) above)</t>
  </si>
  <si>
    <r>
      <t xml:space="preserve">Ties to revenue requirement from </t>
    </r>
    <r>
      <rPr>
        <b/>
        <sz val="10"/>
        <rFont val="Arial"/>
        <family val="2"/>
      </rPr>
      <t>Attachment GG-ATCLLC</t>
    </r>
  </si>
  <si>
    <t>Attachment O-ATCLLC, Page 4, Line 36a (sum of lines (6) and (7) above)</t>
  </si>
  <si>
    <t>Attachment O-ATCLLC, Page 4, Line 36 (sum of lines (3) and (4) above)</t>
  </si>
  <si>
    <t>Sum of 456 and 456.1 balances from FERC Form 1</t>
  </si>
  <si>
    <t>Attachment O-ATCLLC, Page 4, Line 34 (line (1) above)</t>
  </si>
  <si>
    <t>FERC Form 1 300.22.b</t>
  </si>
  <si>
    <t>Estimated refund due related to MISO ROE Complaint (no impact on 2014 revenue true-up)</t>
  </si>
  <si>
    <t>456.1 Return on Equity Refund Liability</t>
  </si>
  <si>
    <t>Schedule 26A true-up per Attachment MM-ATCLLC</t>
  </si>
  <si>
    <t>456.1 Revenue-Regional Schedule 26A TrueUp</t>
  </si>
  <si>
    <t>Schedule 26A amounts received</t>
  </si>
  <si>
    <t>456.1 Revenue-Regional Schedule 26A</t>
  </si>
  <si>
    <t>Schedule 26 true-up per Attachment GG-ATCLLC</t>
  </si>
  <si>
    <t>456.1 Revenue-Regional Schedule 26 TrueUp</t>
  </si>
  <si>
    <t>Schedule 26 amounts received</t>
  </si>
  <si>
    <t>456.1 Revenue-Regional Schedule 26</t>
  </si>
  <si>
    <t>Schedules 7&amp;8 amounts received</t>
  </si>
  <si>
    <t>456.1 Revenue-Point to Point</t>
  </si>
  <si>
    <t>Network true-up per Attachment O-ATCLLC</t>
  </si>
  <si>
    <t>456.1 Revenue-Network Service True-up</t>
  </si>
  <si>
    <t>Monthly network billing ($43,997,411.42 x 12 - 2012 under-collection of $2,064,390 + 2013 over-collection of $12,438,987)</t>
  </si>
  <si>
    <t>456.1 Revenue-Network Service</t>
  </si>
  <si>
    <t>FERC Form 1 300.21.b</t>
  </si>
  <si>
    <t>456 Other Electric Revenues</t>
  </si>
  <si>
    <t>FERC Form 1 300.19.b</t>
  </si>
  <si>
    <t>454 Rentals</t>
  </si>
  <si>
    <t>Details to FERC Form 1 Balances in Revenue Accounts</t>
  </si>
  <si>
    <t>Reconciliation of FERC Form 1 to Attachment O-ATCLLC Revenues</t>
  </si>
  <si>
    <t>Less:  2014 network billings</t>
  </si>
  <si>
    <t>2014 Attachment O true-up over-collection</t>
  </si>
  <si>
    <t>Amortization of Excess Deferred Income Taxes</t>
  </si>
  <si>
    <t xml:space="preserve">For Post 2007 </t>
  </si>
  <si>
    <t>Federal</t>
  </si>
  <si>
    <t>State</t>
  </si>
  <si>
    <t>Balance</t>
  </si>
  <si>
    <t>Amortization Period</t>
  </si>
  <si>
    <t>Original 12-31-2005 Excess</t>
  </si>
  <si>
    <t>Revised 12-31-2005 Excess</t>
  </si>
  <si>
    <t>Revised 12-31-2011 Excess/(Shortage)</t>
  </si>
  <si>
    <t>2006 amortization is based upon a 22.5 year remaining book life.</t>
  </si>
  <si>
    <t>2007 and after is based upon 12-31-2006 remaining book life of 24 years.</t>
  </si>
  <si>
    <t xml:space="preserve">2008 amortization is adjusted for a change is the 12-31-2005 excess.  </t>
  </si>
  <si>
    <t xml:space="preserve">        Opening excess revised for a change in effective tax rates.</t>
  </si>
  <si>
    <t>2014 Actual Results</t>
  </si>
  <si>
    <t>Proof of Tax Exempt Ownership % for Attachment O</t>
  </si>
  <si>
    <t>Return on rate base (page 3, line 28)</t>
  </si>
  <si>
    <t>Equity component of return (page 4, line 29)</t>
  </si>
  <si>
    <t>Total return (page 4, line 30)</t>
  </si>
  <si>
    <t>Equity / total return</t>
  </si>
  <si>
    <t>Equity component of return on rate base</t>
  </si>
  <si>
    <t>Total income taxes (page 3, line 27)</t>
  </si>
  <si>
    <t>Earnings before tax from Attachment O</t>
  </si>
  <si>
    <t>Earnings allocated to tax exempt owners</t>
  </si>
  <si>
    <t>Tax exempt ownership percentage (TEP)</t>
  </si>
  <si>
    <t>Attachment O-ATCLLC, Page 4, Line 35 &amp; line (11) above, ROE Refund Liability (sum of lines (2) and (12) above)</t>
  </si>
  <si>
    <t>Calculation of Weighted Avg. Debt Rate</t>
  </si>
  <si>
    <t>Account 107 Balance</t>
  </si>
  <si>
    <t>CWIP not in Rates</t>
  </si>
  <si>
    <t>CWIP in Rate Base</t>
  </si>
  <si>
    <t>13-month average for ratemaking</t>
  </si>
  <si>
    <t>FERC Form No. 1 - Pg200, Line 11, Column c</t>
  </si>
  <si>
    <t>CWIP in Rate Base Detail &amp; Reconciliation to FERC Form No. 1</t>
  </si>
  <si>
    <t>CWIP in Rate Base Detail</t>
  </si>
  <si>
    <t>13 month Average</t>
  </si>
  <si>
    <t>Zoo Interchange</t>
  </si>
  <si>
    <t>Lines 6904-6905 Rebuild 69kV to 138kV</t>
  </si>
  <si>
    <t>Arnold Substation Expansion</t>
  </si>
  <si>
    <t>Western Milwaukee County Electric Reliability</t>
  </si>
  <si>
    <t>Monroe County - Council Creek Conversion</t>
  </si>
  <si>
    <t>Straits Substation - Install Power Flow Control</t>
  </si>
  <si>
    <t>Chandler - Old Mead Road Substation</t>
  </si>
  <si>
    <t>Waukesha - Concord - St Lawrence 138kV Line Rebuild</t>
  </si>
  <si>
    <t>Holmes - Escanaba New 138kV Line</t>
  </si>
  <si>
    <t>Line K115 Conversion</t>
  </si>
  <si>
    <t>Germantown, Bark River and Maple Stability Improvement</t>
  </si>
  <si>
    <t>Lincoln Substation Add 3 Buses</t>
  </si>
  <si>
    <t>Plains Substation - Replace Transformer, Breakers &amp; Switch</t>
  </si>
  <si>
    <t>Line 3124 Albers - Paris Rebuild</t>
  </si>
  <si>
    <t>Line Y105 Hillman - Eden rebuild</t>
  </si>
  <si>
    <t>PowerPlan v10 Phase 2</t>
  </si>
  <si>
    <t>Line Y93 Ripon - Berlin Rebuild Uprate</t>
  </si>
  <si>
    <t>Transformer Dissolved Gas Analysis Installation</t>
  </si>
  <si>
    <t>Study Based Rating Methodology - Henkels and McCoy Group 1</t>
  </si>
  <si>
    <t>Cottage Grove Chiller Addition</t>
  </si>
  <si>
    <t>Presque Isle - Replace CCVT, Wave Trap &amp; Line Tuner</t>
  </si>
  <si>
    <t>Line T124 115kV Rerate</t>
  </si>
  <si>
    <t>Potts Avenue - DIC</t>
  </si>
  <si>
    <t>North Lake - Barnum - DIC</t>
  </si>
  <si>
    <t>Line Y119 Verona - Oregon Rebuild</t>
  </si>
  <si>
    <t>Study Based Rating Methodology - MJ Group 1</t>
  </si>
  <si>
    <t>Petenwell Transformer and Upgrades</t>
  </si>
  <si>
    <t>MINOR PROJECTS (less than $1 million each)</t>
  </si>
  <si>
    <t xml:space="preserve">Network Revenue Requirement True-up </t>
  </si>
  <si>
    <t>True-up being refunded in 2015</t>
  </si>
  <si>
    <t>Account 456.1 in Attachment O-ATCLLC</t>
  </si>
  <si>
    <t>456.1 Revenues from Transmission of Electricity of Others</t>
  </si>
  <si>
    <t>2014 Over-collection</t>
  </si>
  <si>
    <t>Calculation of Tax on Permanent Items</t>
  </si>
  <si>
    <t>MN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</si>
</sst>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124">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m;[Red]_(* \-#,##0.0\¢_m;[Green]_(* 0.0\¢_m;_(@_)_%"/>
    <numFmt numFmtId="166" formatCode="_(* #,##0.00\¢_m;[Red]_(* \-#,##0.00\¢_m;[Green]_(* 0.00\¢_m;_(@_)_%"/>
    <numFmt numFmtId="167" formatCode="_(* #,##0.000\¢_m;[Red]_(* \-#,##0.000\¢_m;[Green]_(* 0.000\¢_m;_(@_)_%"/>
    <numFmt numFmtId="168" formatCode="_(_(\£* #,##0_)_%;[Red]_(\(\£* #,##0\)_%;[Green]_(_(\£* #,##0_)_%;_(@_)_%"/>
    <numFmt numFmtId="169" formatCode="_(_(\£* #,##0.0_)_%;[Red]_(\(\£* #,##0.0\)_%;[Green]_(_(\£* #,##0.0_)_%;_(@_)_%"/>
    <numFmt numFmtId="170" formatCode="_(_(\£* #,##0.00_)_%;[Red]_(\(\£* #,##0.00\)_%;[Green]_(_(\£* #,##0.00_)_%;_(@_)_%"/>
    <numFmt numFmtId="171" formatCode="0.0%_);\(0.0%\)"/>
    <numFmt numFmtId="172" formatCode="\•\ \ @"/>
    <numFmt numFmtId="173" formatCode="_(_(\•_ #0_)_%;[Red]_(_(\•_ \-#0\)_%;[Green]_(_(\•_ #0_)_%;_(_(\•_ @_)_%"/>
    <numFmt numFmtId="174" formatCode="_(_(_•_ \•_ #0_)_%;[Red]_(_(_•_ \•_ \-#0\)_%;[Green]_(_(_•_ \•_ #0_)_%;_(_(_•_ \•_ @_)_%"/>
    <numFmt numFmtId="175" formatCode="_(_(_•_ _•_ \•_ #0_)_%;[Red]_(_(_•_ _•_ \•_ \-#0\)_%;[Green]_(_(_•_ _•_ \•_ #0_)_%;_(_(_•_ \•_ @_)_%"/>
    <numFmt numFmtId="176" formatCode="#,##0,_);\(#,##0,\)"/>
    <numFmt numFmtId="177" formatCode="&quot;$&quot;#,##0.00"/>
    <numFmt numFmtId="178" formatCode="#,##0.0_);\(#,##0.0\)"/>
    <numFmt numFmtId="179" formatCode="0.0,_);\(0.0,\)"/>
    <numFmt numFmtId="180" formatCode="0.00,_);\(0.00,\)"/>
    <numFmt numFmtId="181" formatCode="#,##0.000_);\(#,##0.000\)"/>
    <numFmt numFmtId="182" formatCode="_(_(_$* #,##0.0_)_%;[Red]_(\(_$* #,##0.0\)_%;[Green]_(_(_$* #,##0.0_)_%;_(@_)_%"/>
    <numFmt numFmtId="183" formatCode="_(_(_$* #,##0.00_)_%;[Red]_(\(_$* #,##0.00\)_%;[Green]_(_(_$* #,##0.00_)_%;_(@_)_%"/>
    <numFmt numFmtId="184" formatCode="_(_(_$* #,##0.000_)_%;[Red]_(\(_$* #,##0.000\)_%;[Green]_(_(_$* #,##0.000_)_%;_(@_)_%"/>
    <numFmt numFmtId="185" formatCode="_._.* #,##0.0_)_%;_._.* \(#,##0.0\)_%;_._.* \ ?_)_%"/>
    <numFmt numFmtId="186" formatCode="_._.* #,##0.00_)_%;_._.* \(#,##0.00\)_%;_._.* \ ?_)_%"/>
    <numFmt numFmtId="187" formatCode="_._.* #,##0.000_)_%;_._.* \(#,##0.000\)_%;_._.* \ ?_)_%"/>
    <numFmt numFmtId="188" formatCode="_._.* #,##0.0000_)_%;_._.* \(#,##0.0000\)_%;_._.* \ ?_)_%"/>
    <numFmt numFmtId="189" formatCode="_(_(&quot;$&quot;* #,##0.0_)_%;[Red]_(\(&quot;$&quot;* #,##0.0\)_%;[Green]_(_(&quot;$&quot;* #,##0.0_)_%;_(@_)_%"/>
    <numFmt numFmtId="190" formatCode="_(_(&quot;$&quot;* #,##0.00_)_%;[Red]_(\(&quot;$&quot;* #,##0.00\)_%;[Green]_(_(&quot;$&quot;* #,##0.00_)_%;_(@_)_%"/>
    <numFmt numFmtId="191" formatCode="_(_(&quot;$&quot;* #,##0.000_)_%;[Red]_(\(&quot;$&quot;* #,##0.000\)_%;[Green]_(_(&quot;$&quot;* #,##0.000_)_%;_(@_)_%"/>
    <numFmt numFmtId="192" formatCode="_._.&quot;$&quot;* #,##0.0_)_%;_._.&quot;$&quot;* \(#,##0.0\)_%;_._.&quot;$&quot;* \ ?_)_%"/>
    <numFmt numFmtId="193" formatCode="_._.&quot;$&quot;* #,##0.00_)_%;_._.&quot;$&quot;* \(#,##0.00\)_%;_._.&quot;$&quot;* \ ?_)_%"/>
    <numFmt numFmtId="194" formatCode="_._.&quot;$&quot;* #,##0.000_)_%;_._.&quot;$&quot;* \(#,##0.000\)_%;_._.&quot;$&quot;* \ ?_)_%"/>
    <numFmt numFmtId="195" formatCode="_._.&quot;$&quot;* #,##0.0000_)_%;_._.&quot;$&quot;* \(#,##0.0000\)_%;_._.&quot;$&quot;* \ ?_)_%"/>
    <numFmt numFmtId="196" formatCode="&quot;$&quot;#,##0,_);\(&quot;$&quot;#,##0,\)"/>
    <numFmt numFmtId="197" formatCode="&quot;$&quot;#,##0.0_);\(&quot;$&quot;#,##0.0\)"/>
    <numFmt numFmtId="198" formatCode="&quot;$&quot;0.0,_);\(&quot;$&quot;0.0,\)"/>
    <numFmt numFmtId="199" formatCode="&quot;$&quot;0.00,_);\(&quot;$&quot;0.00,\)"/>
    <numFmt numFmtId="200" formatCode="&quot;$&quot;#,##0.000_);\(&quot;$&quot;#,##0.000\)"/>
    <numFmt numFmtId="201" formatCode="_(* dd\-mmm\-yy_)_%"/>
    <numFmt numFmtId="202" formatCode="_(* dd\ mmmm\ yyyy_)_%"/>
    <numFmt numFmtId="203" formatCode="_(* mmmm\ dd\,\ yyyy_)_%"/>
    <numFmt numFmtId="204" formatCode="_(* dd\.mm\.yyyy_)_%"/>
    <numFmt numFmtId="205" formatCode="_(* mm/dd/yyyy_)_%"/>
    <numFmt numFmtId="206" formatCode="m/d/yy;@"/>
    <numFmt numFmtId="207" formatCode="#,##0.0\x_);\(#,##0.0\x\)"/>
    <numFmt numFmtId="208" formatCode="#,##0.00\x_);\(#,##0.00\x\)"/>
    <numFmt numFmtId="209" formatCode="[$€-2]\ #,##0_);\([$€-2]\ #,##0\)"/>
    <numFmt numFmtId="210" formatCode="[$€-2]\ #,##0.0_);\([$€-2]\ #,##0.0\)"/>
    <numFmt numFmtId="211" formatCode="_([$€-2]* #,##0.00_);_([$€-2]* \(#,##0.00\);_([$€-2]* &quot;-&quot;??_)"/>
    <numFmt numFmtId="212" formatCode="General_)_%"/>
    <numFmt numFmtId="213" formatCode="_(_(#0_)_%;[Red]_(_(\-#0\)_%;[Green]_(_(#0_)_%;_(_(@_)_%"/>
    <numFmt numFmtId="214" formatCode="_(_(_•_ #0_)_%;[Red]_(_(_•_ \-#0\)_%;[Green]_(_(_•_ #0_)_%;_(_(_•_ @_)_%"/>
    <numFmt numFmtId="215" formatCode="_(_(_•_ _•_ #0_)_%;[Red]_(_(_•_ _•_ \-#0\)_%;[Green]_(_(_•_ _•_ #0_)_%;_(_(_•_ _•_ @_)_%"/>
    <numFmt numFmtId="216" formatCode="_(_(_•_ _•_ _•_ #0_)_%;[Red]_(_(_•_ _•_ _•_ \-#0\)_%;[Green]_(_(_•_ _•_ _•_ #0_)_%;_(_(_•_ _•_ _•_ @_)_%"/>
    <numFmt numFmtId="217" formatCode="#,##0\x;\(#,##0\x\)"/>
    <numFmt numFmtId="218" formatCode="0.0\x;\(0.0\x\)"/>
    <numFmt numFmtId="219" formatCode="#,##0.00\x;\(#,##0.00\x\)"/>
    <numFmt numFmtId="220" formatCode="#,##0.000\x;\(#,##0.000\x\)"/>
    <numFmt numFmtId="221" formatCode="0.0_);\(0.0\)"/>
    <numFmt numFmtId="222" formatCode="0%;\(0%\)"/>
    <numFmt numFmtId="223" formatCode="0.00\ \x_);\(0.00\ \x\)"/>
    <numFmt numFmtId="224" formatCode="_(* #,##0_);_(* \(#,##0\);_(* &quot;-&quot;????_);_(@_)"/>
    <numFmt numFmtId="225" formatCode="0__"/>
    <numFmt numFmtId="226" formatCode="h:mmAM/PM"/>
    <numFmt numFmtId="227" formatCode="&quot;$&quot;#,##0"/>
    <numFmt numFmtId="228" formatCode="0&quot; E&quot;"/>
    <numFmt numFmtId="229" formatCode="yyyy"/>
    <numFmt numFmtId="230" formatCode="&quot;$&quot;#,##0.0"/>
    <numFmt numFmtId="231" formatCode="0.0000"/>
    <numFmt numFmtId="232" formatCode="0.0%;\(0.0%\)"/>
    <numFmt numFmtId="233" formatCode="0.00%_);\(0.00%\)"/>
    <numFmt numFmtId="234" formatCode="0.000%_);\(0.000%\)"/>
    <numFmt numFmtId="235" formatCode="_(0_)%;\(0\)%;\ \ ?_)%"/>
    <numFmt numFmtId="236" formatCode="_._._(* 0_)%;_._.* \(0\)%;_._._(* \ ?_)%"/>
    <numFmt numFmtId="237" formatCode="0%_);\(0%\)"/>
    <numFmt numFmtId="238" formatCode="_(* #,##0_)_%;[Red]_(* \(#,##0\)_%;[Green]_(* 0_)_%;_(@_)_%"/>
    <numFmt numFmtId="239" formatCode="_(* #,##0.0%_);[Red]_(* \-#,##0.0%_);[Green]_(* 0.0%_);_(@_)_%"/>
    <numFmt numFmtId="240" formatCode="_(* #,##0.00%_);[Red]_(* \-#,##0.00%_);[Green]_(* 0.00%_);_(@_)_%"/>
    <numFmt numFmtId="241" formatCode="_(* #,##0.000%_);[Red]_(* \-#,##0.000%_);[Green]_(* 0.000%_);_(@_)_%"/>
    <numFmt numFmtId="242" formatCode="_(0.0_)%;\(0.0\)%;\ \ ?_)%"/>
    <numFmt numFmtId="243" formatCode="_._._(* 0.0_)%;_._.* \(0.0\)%;_._._(* \ ?_)%"/>
    <numFmt numFmtId="244" formatCode="_(0.00_)%;\(0.00\)%;\ \ ?_)%"/>
    <numFmt numFmtId="245" formatCode="_._._(* 0.00_)%;_._.* \(0.00\)%;_._._(* \ ?_)%"/>
    <numFmt numFmtId="246" formatCode="_(0.000_)%;\(0.000\)%;\ \ ?_)%"/>
    <numFmt numFmtId="247" formatCode="_._._(* 0.000_)%;_._.* \(0.000\)%;_._._(* \ ?_)%"/>
    <numFmt numFmtId="248" formatCode="_(0.0000_)%;\(0.0000\)%;\ \ ?_)%"/>
    <numFmt numFmtId="249" formatCode="_._._(* 0.0000_)%;_._.* \(0.0000\)%;_._._(* \ ?_)%"/>
    <numFmt numFmtId="250" formatCode="0.0%"/>
    <numFmt numFmtId="251" formatCode="mmmm\ dd\,\ yy"/>
    <numFmt numFmtId="252" formatCode="0.0\x"/>
    <numFmt numFmtId="253" formatCode="_(* #,##0_);_(* \(#,##0\);_(* \ ?_)"/>
    <numFmt numFmtId="254" formatCode="_(* #,##0.0_);_(* \(#,##0.0\);_(* \ ?_)"/>
    <numFmt numFmtId="255" formatCode="_(* #,##0.00_);_(* \(#,##0.00\);_(* \ ?_)"/>
    <numFmt numFmtId="256" formatCode="_(* #,##0.000_);_(* \(#,##0.000\);_(* \ ?_)"/>
    <numFmt numFmtId="257" formatCode="_(&quot;$&quot;* #,##0_);_(&quot;$&quot;* \(#,##0\);_(&quot;$&quot;* \ ?_)"/>
    <numFmt numFmtId="258" formatCode="_(&quot;$&quot;* #,##0.0_);_(&quot;$&quot;* \(#,##0.0\);_(&quot;$&quot;* \ ?_)"/>
    <numFmt numFmtId="259" formatCode="_(&quot;$&quot;* #,##0.00_);_(&quot;$&quot;* \(#,##0.00\);_(&quot;$&quot;* \ ?_)"/>
    <numFmt numFmtId="260" formatCode="_(&quot;$&quot;* #,##0.000_);_(&quot;$&quot;* \(#,##0.000\);_(&quot;$&quot;* \ ?_)"/>
    <numFmt numFmtId="261" formatCode="0000&quot;A&quot;"/>
    <numFmt numFmtId="262" formatCode="0&quot;E&quot;"/>
    <numFmt numFmtId="263" formatCode="0000&quot;E&quot;"/>
    <numFmt numFmtId="264" formatCode="#,##0.000"/>
    <numFmt numFmtId="265" formatCode="0.00000"/>
    <numFmt numFmtId="266" formatCode="0.000%"/>
    <numFmt numFmtId="267" formatCode="#,##0.00000"/>
    <numFmt numFmtId="268" formatCode="#,##0.0000"/>
    <numFmt numFmtId="269" formatCode="#,##0.0"/>
    <numFmt numFmtId="270" formatCode="&quot;$&quot;#,##0.000"/>
    <numFmt numFmtId="271" formatCode="_(&quot;$&quot;* #,##0_);_(&quot;$&quot;* \(#,##0\);_(&quot;$&quot;* &quot;-&quot;??_);_(@_)"/>
    <numFmt numFmtId="272" formatCode="0_);\(0\)"/>
    <numFmt numFmtId="273" formatCode="&quot;$&quot;#,##0;\(&quot;$&quot;#,##0\)"/>
    <numFmt numFmtId="274" formatCode="0.0000%"/>
    <numFmt numFmtId="275" formatCode="0.00000%"/>
    <numFmt numFmtId="276" formatCode="0.000000%"/>
    <numFmt numFmtId="277" formatCode="0.000000000%"/>
    <numFmt numFmtId="278" formatCode="m/d/yy"/>
    <numFmt numFmtId="279" formatCode="_(* #,##0.000_);_(* \(#,##0.000\);_(* &quot;-&quot;??_);_(@_)"/>
    <numFmt numFmtId="280" formatCode="[$-409]mmmm\ d\,\ yyyy;@"/>
  </numFmts>
  <fonts count="13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 Helvetica Condensed"/>
    </font>
    <font>
      <sz val="9"/>
      <name val="Arial"/>
      <family val="2"/>
    </font>
    <font>
      <sz val="10"/>
      <color indexed="12"/>
      <name val="Arial"/>
      <family val="2"/>
    </font>
    <font>
      <sz val="12"/>
      <name val="Times New Roman"/>
      <family val="1"/>
    </font>
    <font>
      <sz val="10"/>
      <color indexed="12"/>
      <name val="Times New Roman"/>
      <family val="1"/>
    </font>
    <font>
      <sz val="10"/>
      <name val="Times New Roman"/>
      <family val="1"/>
    </font>
    <font>
      <b/>
      <sz val="10"/>
      <color indexed="8"/>
      <name val="Times New Roman"/>
      <family val="1"/>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9"/>
      <name val="Arial"/>
      <family val="2"/>
    </font>
    <font>
      <sz val="12"/>
      <name val="Helv"/>
    </font>
    <font>
      <sz val="11"/>
      <name val="Times New Roman"/>
      <family val="1"/>
    </font>
    <font>
      <u val="singleAccounting"/>
      <sz val="11"/>
      <name val="Times New Roman"/>
      <family val="1"/>
    </font>
    <font>
      <sz val="10"/>
      <name val="MS Sans Serif"/>
      <family val="2"/>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name val="Arial"/>
      <family val="2"/>
    </font>
    <font>
      <b/>
      <sz val="14"/>
      <name val="Book Antiqua"/>
      <family val="1"/>
    </font>
    <font>
      <i/>
      <sz val="10"/>
      <name val="Book Antiqua"/>
      <family val="1"/>
    </font>
    <font>
      <b/>
      <sz val="10"/>
      <color indexed="22"/>
      <name val="Arial"/>
      <family val="2"/>
    </font>
    <font>
      <u/>
      <sz val="10"/>
      <color indexed="12"/>
      <name val="Arial"/>
      <family val="2"/>
    </font>
    <font>
      <b/>
      <sz val="10"/>
      <color indexed="12"/>
      <name val="Arial"/>
      <family val="2"/>
    </font>
    <font>
      <sz val="10"/>
      <color indexed="12"/>
      <name val="Book Antiqua"/>
      <family val="1"/>
    </font>
    <font>
      <i/>
      <sz val="16"/>
      <name val="Times New Roman"/>
      <family val="1"/>
    </font>
    <font>
      <sz val="7"/>
      <name val="Small Fonts"/>
      <family val="2"/>
    </font>
    <font>
      <sz val="10"/>
      <name val="Arial Narrow"/>
      <family val="2"/>
    </font>
    <font>
      <sz val="12"/>
      <name val="Arial MT"/>
    </font>
    <font>
      <sz val="10"/>
      <color indexed="8"/>
      <name val="MS Sans Serif"/>
      <family val="2"/>
    </font>
    <font>
      <u/>
      <sz val="10"/>
      <name val="Times New Roman"/>
      <family val="1"/>
    </font>
    <font>
      <b/>
      <sz val="10"/>
      <name val="MS Sans Serif"/>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sz val="10"/>
      <color indexed="40"/>
      <name val="Arial"/>
      <family val="2"/>
    </font>
    <font>
      <sz val="10"/>
      <color indexed="8"/>
      <name val="Times New Roman"/>
      <family val="1"/>
    </font>
    <font>
      <b/>
      <i/>
      <sz val="12"/>
      <name val="Times New Roman"/>
      <family val="1"/>
    </font>
    <font>
      <sz val="10"/>
      <name val="Futura UBS Bk"/>
      <family val="2"/>
    </font>
    <font>
      <sz val="10"/>
      <color indexed="8"/>
      <name val="Arial"/>
      <family val="2"/>
    </font>
    <font>
      <b/>
      <sz val="10"/>
      <color indexed="8"/>
      <name val="Arial"/>
      <family val="2"/>
    </font>
    <font>
      <b/>
      <sz val="9"/>
      <name val="Times New Roman"/>
      <family val="1"/>
    </font>
    <font>
      <b/>
      <sz val="10"/>
      <color indexed="10"/>
      <name val="Arial"/>
      <family val="2"/>
    </font>
    <font>
      <i/>
      <sz val="8"/>
      <name val="Times New Roman"/>
      <family val="1"/>
    </font>
    <font>
      <sz val="10"/>
      <color indexed="21"/>
      <name val="Arial"/>
      <family val="2"/>
    </font>
    <font>
      <b/>
      <sz val="8"/>
      <name val="Arial"/>
      <family val="2"/>
    </font>
    <font>
      <sz val="12"/>
      <color indexed="10"/>
      <name val="Times New Roman"/>
      <family val="1"/>
    </font>
    <font>
      <strike/>
      <sz val="12"/>
      <name val="Times New Roman"/>
      <family val="1"/>
    </font>
    <font>
      <strike/>
      <sz val="12"/>
      <color indexed="10"/>
      <name val="Times New Roman"/>
      <family val="1"/>
    </font>
    <font>
      <b/>
      <sz val="12"/>
      <name val="Times New Roman"/>
      <family val="1"/>
    </font>
    <font>
      <b/>
      <sz val="12"/>
      <color indexed="10"/>
      <name val="Times New Roman"/>
      <family val="1"/>
    </font>
    <font>
      <sz val="10"/>
      <name val="Arial MT"/>
    </font>
    <font>
      <sz val="12"/>
      <color indexed="10"/>
      <name val="Arial MT"/>
    </font>
    <font>
      <b/>
      <sz val="12"/>
      <name val="Arial MT"/>
    </font>
    <font>
      <sz val="12"/>
      <color indexed="10"/>
      <name val="Arial"/>
      <family val="2"/>
    </font>
    <font>
      <b/>
      <u/>
      <sz val="12"/>
      <name val="Arial MT"/>
    </font>
    <font>
      <sz val="12"/>
      <color indexed="17"/>
      <name val="Arial MT"/>
    </font>
    <font>
      <u/>
      <sz val="12"/>
      <name val="Arial"/>
      <family val="2"/>
    </font>
    <font>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alibri"/>
      <family val="2"/>
      <scheme val="minor"/>
    </font>
    <font>
      <sz val="12"/>
      <color rgb="FFFF0000"/>
      <name val="Times New Roman"/>
      <family val="1"/>
    </font>
    <font>
      <sz val="12"/>
      <color theme="1"/>
      <name val="Times New Roman"/>
      <family val="1"/>
    </font>
    <font>
      <sz val="11"/>
      <color theme="1"/>
      <name val="Times New Roman"/>
      <family val="2"/>
    </font>
    <font>
      <b/>
      <sz val="14"/>
      <color theme="1"/>
      <name val="Times New Roman"/>
      <family val="1"/>
    </font>
    <font>
      <i/>
      <sz val="11"/>
      <color rgb="FFFF0000"/>
      <name val="Times New Roman"/>
      <family val="1"/>
    </font>
    <font>
      <b/>
      <sz val="11"/>
      <color theme="1"/>
      <name val="Times New Roman"/>
      <family val="1"/>
    </font>
    <font>
      <sz val="11"/>
      <color theme="1"/>
      <name val="Times New Roman"/>
      <family val="1"/>
    </font>
    <font>
      <b/>
      <sz val="10"/>
      <color theme="0"/>
      <name val="Arial"/>
      <family val="2"/>
    </font>
    <font>
      <b/>
      <sz val="10"/>
      <color theme="0"/>
      <name val="Arial MT"/>
    </font>
    <font>
      <sz val="10"/>
      <color rgb="FFFF0000"/>
      <name val="Arial"/>
      <family val="2"/>
    </font>
    <font>
      <u/>
      <sz val="10"/>
      <name val="Arial"/>
      <family val="2"/>
    </font>
    <font>
      <b/>
      <sz val="9"/>
      <color indexed="81"/>
      <name val="Tahoma"/>
      <family val="2"/>
    </font>
    <font>
      <sz val="9"/>
      <color indexed="81"/>
      <name val="Tahoma"/>
      <family val="2"/>
    </font>
    <font>
      <b/>
      <u/>
      <sz val="10"/>
      <name val="Arial"/>
      <family val="2"/>
    </font>
    <font>
      <b/>
      <sz val="10"/>
      <color rgb="FFFF0000"/>
      <name val="Arial"/>
      <family val="2"/>
    </font>
    <font>
      <sz val="8"/>
      <color indexed="12"/>
      <name val="Arial"/>
      <family val="2"/>
    </font>
    <font>
      <sz val="10"/>
      <color theme="0"/>
      <name val="Arial MT"/>
    </font>
    <font>
      <sz val="12"/>
      <color rgb="FF0000FF"/>
      <name val="Arial MT"/>
    </font>
    <font>
      <u/>
      <sz val="11"/>
      <color theme="1"/>
      <name val="Calibri"/>
      <family val="2"/>
      <scheme val="minor"/>
    </font>
    <font>
      <sz val="12"/>
      <color rgb="FFFF0000"/>
      <name val="Arial"/>
      <family val="2"/>
    </font>
    <font>
      <sz val="10"/>
      <color rgb="FFFF0000"/>
      <name val="Arial MT"/>
    </font>
  </fonts>
  <fills count="42">
    <fill>
      <patternFill patternType="none"/>
    </fill>
    <fill>
      <patternFill patternType="gray125"/>
    </fill>
    <fill>
      <patternFill patternType="solid">
        <fgColor rgb="FFFFFF99"/>
        <bgColor indexed="64"/>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2"/>
        <bgColor indexed="64"/>
      </patternFill>
    </fill>
    <fill>
      <patternFill patternType="solid">
        <fgColor indexed="43"/>
        <bgColor indexed="64"/>
      </patternFill>
    </fill>
    <fill>
      <patternFill patternType="solid">
        <fgColor indexed="8"/>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auto="1"/>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67">
    <xf numFmtId="0" fontId="0" fillId="0" borderId="0"/>
    <xf numFmtId="43"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xf numFmtId="165" fontId="17" fillId="0" borderId="0" applyFont="0" applyFill="0" applyBorder="0" applyAlignment="0" applyProtection="0"/>
    <xf numFmtId="166" fontId="17" fillId="0" borderId="0" applyFont="0" applyFill="0" applyBorder="0" applyAlignment="0" applyProtection="0"/>
    <xf numFmtId="167" fontId="17" fillId="0" borderId="0" applyFont="0" applyFill="0" applyBorder="0" applyAlignment="0" applyProtection="0"/>
    <xf numFmtId="168" fontId="17" fillId="0" borderId="0" applyFont="0" applyFill="0" applyBorder="0" applyAlignment="0" applyProtection="0"/>
    <xf numFmtId="169" fontId="17" fillId="0" borderId="0" applyFont="0" applyFill="0" applyBorder="0" applyAlignment="0" applyProtection="0"/>
    <xf numFmtId="170" fontId="17" fillId="0" borderId="0" applyFont="0" applyFill="0" applyBorder="0" applyAlignment="0" applyProtection="0"/>
    <xf numFmtId="0" fontId="18" fillId="0" borderId="0"/>
    <xf numFmtId="171" fontId="16" fillId="3" borderId="0" applyNumberFormat="0" applyFill="0" applyBorder="0" applyAlignment="0" applyProtection="0">
      <alignment horizontal="right" vertical="center"/>
    </xf>
    <xf numFmtId="171" fontId="19" fillId="0" borderId="0" applyNumberFormat="0" applyFill="0" applyBorder="0" applyAlignment="0" applyProtection="0"/>
    <xf numFmtId="0" fontId="16" fillId="0" borderId="2" applyNumberFormat="0" applyFont="0" applyFill="0" applyAlignment="0" applyProtection="0"/>
    <xf numFmtId="172" fontId="20" fillId="0" borderId="0" applyFont="0" applyFill="0" applyBorder="0" applyAlignment="0" applyProtection="0"/>
    <xf numFmtId="173" fontId="17" fillId="0" borderId="0" applyFont="0" applyFill="0" applyBorder="0" applyProtection="0">
      <alignment horizontal="left"/>
    </xf>
    <xf numFmtId="174" fontId="17" fillId="0" borderId="0" applyFont="0" applyFill="0" applyBorder="0" applyProtection="0">
      <alignment horizontal="left"/>
    </xf>
    <xf numFmtId="175" fontId="17" fillId="0" borderId="0" applyFont="0" applyFill="0" applyBorder="0" applyProtection="0">
      <alignment horizontal="left"/>
    </xf>
    <xf numFmtId="37" fontId="21" fillId="0" borderId="0" applyFont="0" applyFill="0" applyBorder="0" applyAlignment="0" applyProtection="0">
      <alignment vertical="center"/>
      <protection locked="0"/>
    </xf>
    <xf numFmtId="176" fontId="22" fillId="0" borderId="0" applyFont="0" applyFill="0" applyBorder="0" applyAlignment="0" applyProtection="0"/>
    <xf numFmtId="0" fontId="23" fillId="0" borderId="0"/>
    <xf numFmtId="0" fontId="23" fillId="0" borderId="0"/>
    <xf numFmtId="177" fontId="24" fillId="0" borderId="0" applyFill="0"/>
    <xf numFmtId="177" fontId="24" fillId="0" borderId="0">
      <alignment horizontal="center"/>
    </xf>
    <xf numFmtId="0" fontId="24" fillId="0" borderId="0" applyFill="0">
      <alignment horizontal="center"/>
    </xf>
    <xf numFmtId="177" fontId="25" fillId="0" borderId="4" applyFill="0"/>
    <xf numFmtId="0" fontId="16" fillId="0" borderId="0" applyFont="0" applyAlignment="0"/>
    <xf numFmtId="0" fontId="26" fillId="0" borderId="0" applyFill="0">
      <alignment vertical="top"/>
    </xf>
    <xf numFmtId="0" fontId="25" fillId="0" borderId="0" applyFill="0">
      <alignment horizontal="left" vertical="top"/>
    </xf>
    <xf numFmtId="177" fontId="27" fillId="0" borderId="1" applyFill="0"/>
    <xf numFmtId="0" fontId="16" fillId="0" borderId="0" applyNumberFormat="0" applyFont="0" applyAlignment="0"/>
    <xf numFmtId="0" fontId="26" fillId="0" borderId="0" applyFill="0">
      <alignment wrapText="1"/>
    </xf>
    <xf numFmtId="0" fontId="25" fillId="0" borderId="0" applyFill="0">
      <alignment horizontal="left" vertical="top" wrapText="1"/>
    </xf>
    <xf numFmtId="177" fontId="28" fillId="0" borderId="0" applyFill="0"/>
    <xf numFmtId="0" fontId="29" fillId="0" borderId="0" applyNumberFormat="0" applyFont="0" applyAlignment="0">
      <alignment horizontal="center"/>
    </xf>
    <xf numFmtId="0" fontId="30" fillId="0" borderId="0" applyFill="0">
      <alignment vertical="top" wrapText="1"/>
    </xf>
    <xf numFmtId="0" fontId="27" fillId="0" borderId="0" applyFill="0">
      <alignment horizontal="left" vertical="top" wrapText="1"/>
    </xf>
    <xf numFmtId="177" fontId="16" fillId="0" borderId="0" applyFill="0"/>
    <xf numFmtId="0" fontId="29" fillId="0" borderId="0" applyNumberFormat="0" applyFont="0" applyAlignment="0">
      <alignment horizontal="center"/>
    </xf>
    <xf numFmtId="0" fontId="31" fillId="0" borderId="0" applyFill="0">
      <alignment vertical="center" wrapText="1"/>
    </xf>
    <xf numFmtId="0" fontId="32" fillId="0" borderId="0">
      <alignment horizontal="left" vertical="center" wrapText="1"/>
    </xf>
    <xf numFmtId="177" fontId="18" fillId="0" borderId="0" applyFill="0"/>
    <xf numFmtId="0" fontId="29" fillId="0" borderId="0" applyNumberFormat="0" applyFont="0" applyAlignment="0">
      <alignment horizontal="center"/>
    </xf>
    <xf numFmtId="0" fontId="33" fillId="0" borderId="0" applyFill="0">
      <alignment horizontal="center" vertical="center" wrapText="1"/>
    </xf>
    <xf numFmtId="0" fontId="16" fillId="0" borderId="0" applyFill="0">
      <alignment horizontal="center" vertical="center" wrapText="1"/>
    </xf>
    <xf numFmtId="177" fontId="34" fillId="0" borderId="0" applyFill="0"/>
    <xf numFmtId="0" fontId="29" fillId="0" borderId="0" applyNumberFormat="0" applyFont="0" applyAlignment="0">
      <alignment horizontal="center"/>
    </xf>
    <xf numFmtId="0" fontId="35" fillId="0" borderId="0" applyFill="0">
      <alignment horizontal="center" vertical="center" wrapText="1"/>
    </xf>
    <xf numFmtId="0" fontId="36" fillId="0" borderId="0" applyFill="0">
      <alignment horizontal="center" vertical="center" wrapText="1"/>
    </xf>
    <xf numFmtId="177" fontId="37" fillId="0" borderId="0" applyFill="0"/>
    <xf numFmtId="0" fontId="29" fillId="0" borderId="0" applyNumberFormat="0" applyFont="0" applyAlignment="0">
      <alignment horizontal="center"/>
    </xf>
    <xf numFmtId="0" fontId="38" fillId="0" borderId="0">
      <alignment horizontal="center" wrapText="1"/>
    </xf>
    <xf numFmtId="0" fontId="34" fillId="0" borderId="0" applyFill="0">
      <alignment horizontal="center" wrapText="1"/>
    </xf>
    <xf numFmtId="178" fontId="39" fillId="0" borderId="0" applyFont="0" applyFill="0" applyBorder="0" applyAlignment="0" applyProtection="0">
      <protection locked="0"/>
    </xf>
    <xf numFmtId="179" fontId="39" fillId="0" borderId="0" applyFont="0" applyFill="0" applyBorder="0" applyAlignment="0" applyProtection="0">
      <protection locked="0"/>
    </xf>
    <xf numFmtId="39" fontId="16" fillId="0" borderId="0" applyFont="0" applyFill="0" applyBorder="0" applyAlignment="0" applyProtection="0"/>
    <xf numFmtId="180" fontId="40" fillId="0" borderId="0" applyFont="0" applyFill="0" applyBorder="0" applyAlignment="0" applyProtection="0"/>
    <xf numFmtId="181" fontId="22" fillId="0" borderId="0" applyFont="0" applyFill="0" applyBorder="0" applyAlignment="0" applyProtection="0"/>
    <xf numFmtId="0" fontId="16" fillId="0" borderId="2" applyNumberFormat="0" applyFont="0" applyFill="0" applyBorder="0" applyProtection="0">
      <alignment horizontal="centerContinuous" vertical="center"/>
    </xf>
    <xf numFmtId="0" fontId="41" fillId="0" borderId="0" applyFill="0" applyBorder="0" applyProtection="0">
      <alignment horizontal="center"/>
      <protection locked="0"/>
    </xf>
    <xf numFmtId="0" fontId="1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182" fontId="17" fillId="0" borderId="0" applyFont="0" applyFill="0" applyBorder="0" applyAlignment="0" applyProtection="0"/>
    <xf numFmtId="183" fontId="17" fillId="0" borderId="0" applyFont="0" applyFill="0" applyBorder="0" applyAlignment="0" applyProtection="0"/>
    <xf numFmtId="184" fontId="17" fillId="0" borderId="0" applyFont="0" applyFill="0" applyBorder="0" applyAlignment="0" applyProtection="0"/>
    <xf numFmtId="185" fontId="43" fillId="0" borderId="0" applyFont="0" applyFill="0" applyBorder="0" applyAlignment="0" applyProtection="0"/>
    <xf numFmtId="186" fontId="44" fillId="0" borderId="0" applyFont="0" applyFill="0" applyBorder="0" applyAlignment="0" applyProtection="0"/>
    <xf numFmtId="187" fontId="44" fillId="0" borderId="0" applyFont="0" applyFill="0" applyBorder="0" applyAlignment="0" applyProtection="0"/>
    <xf numFmtId="188" fontId="28" fillId="0" borderId="0" applyFont="0" applyFill="0" applyBorder="0" applyAlignment="0" applyProtection="0">
      <protection locked="0"/>
    </xf>
    <xf numFmtId="43" fontId="4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37" fontId="46" fillId="0" borderId="0" applyFill="0" applyBorder="0" applyAlignment="0" applyProtection="0"/>
    <xf numFmtId="3" fontId="16" fillId="0" borderId="0" applyFont="0" applyFill="0" applyBorder="0" applyAlignment="0" applyProtection="0"/>
    <xf numFmtId="0" fontId="25" fillId="0" borderId="0" applyFill="0" applyBorder="0" applyAlignment="0" applyProtection="0">
      <protection locked="0"/>
    </xf>
    <xf numFmtId="189" fontId="17" fillId="0" borderId="0" applyFont="0" applyFill="0" applyBorder="0" applyAlignment="0" applyProtection="0"/>
    <xf numFmtId="190" fontId="17" fillId="0" borderId="0" applyFont="0" applyFill="0" applyBorder="0" applyAlignment="0" applyProtection="0"/>
    <xf numFmtId="191" fontId="17"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194" fontId="44" fillId="0" borderId="0" applyFont="0" applyFill="0" applyBorder="0" applyAlignment="0" applyProtection="0"/>
    <xf numFmtId="195" fontId="28" fillId="0" borderId="0" applyFont="0" applyFill="0" applyBorder="0" applyAlignment="0" applyProtection="0">
      <protection locked="0"/>
    </xf>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5" fontId="46" fillId="0" borderId="0" applyFill="0" applyBorder="0" applyAlignment="0" applyProtection="0"/>
    <xf numFmtId="5" fontId="16" fillId="0" borderId="0" applyFont="0" applyFill="0" applyBorder="0" applyAlignment="0" applyProtection="0"/>
    <xf numFmtId="5" fontId="16" fillId="0" borderId="0" applyFont="0" applyFill="0" applyBorder="0" applyAlignment="0" applyProtection="0"/>
    <xf numFmtId="196" fontId="22" fillId="0" borderId="0" applyFont="0" applyFill="0" applyBorder="0" applyAlignment="0" applyProtection="0"/>
    <xf numFmtId="197" fontId="16" fillId="0" borderId="0" applyFont="0" applyFill="0" applyBorder="0" applyAlignment="0" applyProtection="0"/>
    <xf numFmtId="198" fontId="39" fillId="0" borderId="0" applyFont="0" applyFill="0" applyBorder="0" applyAlignment="0" applyProtection="0">
      <protection locked="0"/>
    </xf>
    <xf numFmtId="7" fontId="24" fillId="0" borderId="0" applyFont="0" applyFill="0" applyBorder="0" applyAlignment="0" applyProtection="0"/>
    <xf numFmtId="199" fontId="40" fillId="0" borderId="0" applyFont="0" applyFill="0" applyBorder="0" applyAlignment="0" applyProtection="0"/>
    <xf numFmtId="200" fontId="47" fillId="0" borderId="0" applyFont="0" applyFill="0" applyBorder="0" applyAlignment="0" applyProtection="0"/>
    <xf numFmtId="0" fontId="48" fillId="4" borderId="5" applyNumberFormat="0" applyFont="0" applyFill="0" applyAlignment="0" applyProtection="0">
      <alignment horizontal="left" indent="1"/>
    </xf>
    <xf numFmtId="14" fontId="16" fillId="0" borderId="0" applyFont="0" applyFill="0" applyBorder="0" applyAlignment="0" applyProtection="0"/>
    <xf numFmtId="201" fontId="17" fillId="0" borderId="0" applyFont="0" applyFill="0" applyBorder="0" applyProtection="0"/>
    <xf numFmtId="202" fontId="17" fillId="0" borderId="0" applyFont="0" applyFill="0" applyBorder="0" applyProtection="0"/>
    <xf numFmtId="203" fontId="17" fillId="0" borderId="0" applyFont="0" applyFill="0" applyBorder="0" applyAlignment="0" applyProtection="0"/>
    <xf numFmtId="204" fontId="17" fillId="0" borderId="0" applyFont="0" applyFill="0" applyBorder="0" applyAlignment="0" applyProtection="0"/>
    <xf numFmtId="205" fontId="17" fillId="0" borderId="0" applyFont="0" applyFill="0" applyBorder="0" applyAlignment="0" applyProtection="0"/>
    <xf numFmtId="206" fontId="49" fillId="0" borderId="0" applyFont="0" applyFill="0" applyBorder="0" applyAlignment="0" applyProtection="0"/>
    <xf numFmtId="5" fontId="50" fillId="0" borderId="0" applyBorder="0"/>
    <xf numFmtId="197" fontId="50" fillId="0" borderId="0" applyBorder="0"/>
    <xf numFmtId="7" fontId="50" fillId="0" borderId="0" applyBorder="0"/>
    <xf numFmtId="37" fontId="50" fillId="0" borderId="0" applyBorder="0"/>
    <xf numFmtId="178" fontId="50" fillId="0" borderId="0" applyBorder="0"/>
    <xf numFmtId="207" fontId="50" fillId="0" borderId="0" applyBorder="0"/>
    <xf numFmtId="39" fontId="50" fillId="0" borderId="0" applyBorder="0"/>
    <xf numFmtId="208" fontId="50" fillId="0" borderId="0" applyBorder="0"/>
    <xf numFmtId="7" fontId="16" fillId="0" borderId="0" applyFont="0" applyFill="0" applyBorder="0" applyAlignment="0" applyProtection="0"/>
    <xf numFmtId="209" fontId="22" fillId="0" borderId="0" applyFont="0" applyFill="0" applyBorder="0" applyAlignment="0" applyProtection="0"/>
    <xf numFmtId="210" fontId="22" fillId="0" borderId="0" applyFont="0" applyFill="0" applyAlignment="0" applyProtection="0"/>
    <xf numFmtId="209" fontId="22" fillId="0" borderId="0" applyFont="0" applyFill="0" applyBorder="0" applyAlignment="0" applyProtection="0"/>
    <xf numFmtId="211" fontId="16" fillId="0" borderId="0" applyFont="0" applyFill="0" applyBorder="0" applyAlignment="0" applyProtection="0"/>
    <xf numFmtId="2" fontId="16" fillId="0" borderId="0" applyFont="0" applyFill="0" applyBorder="0" applyAlignment="0" applyProtection="0"/>
    <xf numFmtId="0" fontId="51" fillId="0" borderId="0"/>
    <xf numFmtId="178" fontId="52" fillId="0" borderId="0" applyNumberFormat="0" applyFill="0" applyBorder="0" applyAlignment="0" applyProtection="0"/>
    <xf numFmtId="0" fontId="24" fillId="0" borderId="0" applyFont="0" applyFill="0" applyBorder="0" applyAlignment="0" applyProtection="0"/>
    <xf numFmtId="0" fontId="17" fillId="0" borderId="0" applyFont="0" applyFill="0" applyBorder="0" applyProtection="0">
      <alignment horizontal="center" wrapText="1"/>
    </xf>
    <xf numFmtId="212" fontId="17" fillId="0" borderId="0" applyFont="0" applyFill="0" applyBorder="0" applyProtection="0">
      <alignment horizontal="right"/>
    </xf>
    <xf numFmtId="0" fontId="52" fillId="0" borderId="0" applyNumberFormat="0" applyFill="0" applyBorder="0" applyAlignment="0" applyProtection="0"/>
    <xf numFmtId="0" fontId="53" fillId="5" borderId="0" applyNumberFormat="0" applyFill="0" applyBorder="0" applyAlignment="0" applyProtection="0"/>
    <xf numFmtId="0" fontId="27" fillId="0" borderId="6" applyNumberFormat="0" applyAlignment="0" applyProtection="0">
      <alignment horizontal="left" vertical="center"/>
    </xf>
    <xf numFmtId="0" fontId="27" fillId="0" borderId="3">
      <alignment horizontal="left" vertical="center"/>
    </xf>
    <xf numFmtId="14" fontId="54" fillId="6" borderId="7">
      <alignment horizontal="center" vertical="center" wrapText="1"/>
    </xf>
    <xf numFmtId="0" fontId="41" fillId="0" borderId="0" applyFill="0" applyAlignment="0" applyProtection="0">
      <protection locked="0"/>
    </xf>
    <xf numFmtId="0" fontId="41" fillId="0" borderId="2" applyFill="0" applyAlignment="0" applyProtection="0">
      <protection locked="0"/>
    </xf>
    <xf numFmtId="0" fontId="55" fillId="0" borderId="7"/>
    <xf numFmtId="0" fontId="56" fillId="0" borderId="0"/>
    <xf numFmtId="0" fontId="57" fillId="0" borderId="2" applyNumberFormat="0" applyFill="0" applyAlignment="0" applyProtection="0"/>
    <xf numFmtId="0" fontId="49" fillId="7" borderId="0" applyNumberFormat="0" applyFont="0" applyBorder="0" applyAlignment="0" applyProtection="0"/>
    <xf numFmtId="0" fontId="58" fillId="0" borderId="0" applyNumberFormat="0" applyFill="0" applyBorder="0" applyAlignment="0" applyProtection="0">
      <alignment vertical="top"/>
      <protection locked="0"/>
    </xf>
    <xf numFmtId="0" fontId="59" fillId="8" borderId="8" applyNumberFormat="0" applyAlignment="0" applyProtection="0"/>
    <xf numFmtId="213" fontId="17" fillId="0" borderId="0" applyFont="0" applyFill="0" applyBorder="0" applyProtection="0">
      <alignment horizontal="left"/>
    </xf>
    <xf numFmtId="214" fontId="17" fillId="0" borderId="0" applyFont="0" applyFill="0" applyBorder="0" applyProtection="0">
      <alignment horizontal="left"/>
    </xf>
    <xf numFmtId="215" fontId="17" fillId="0" borderId="0" applyFont="0" applyFill="0" applyBorder="0" applyProtection="0">
      <alignment horizontal="left"/>
    </xf>
    <xf numFmtId="216" fontId="17" fillId="0" borderId="0" applyFont="0" applyFill="0" applyBorder="0" applyProtection="0">
      <alignment horizontal="left"/>
    </xf>
    <xf numFmtId="10" fontId="24" fillId="9" borderId="8" applyNumberFormat="0" applyBorder="0" applyAlignment="0" applyProtection="0"/>
    <xf numFmtId="5" fontId="60" fillId="0" borderId="0" applyBorder="0"/>
    <xf numFmtId="197" fontId="60" fillId="0" borderId="0" applyBorder="0"/>
    <xf numFmtId="7" fontId="60" fillId="0" borderId="0" applyBorder="0"/>
    <xf numFmtId="37" fontId="60" fillId="0" borderId="0" applyBorder="0"/>
    <xf numFmtId="178" fontId="60" fillId="0" borderId="0" applyBorder="0"/>
    <xf numFmtId="207" fontId="60" fillId="0" borderId="0" applyBorder="0"/>
    <xf numFmtId="39" fontId="60" fillId="0" borderId="0" applyBorder="0"/>
    <xf numFmtId="208" fontId="60" fillId="0" borderId="0" applyBorder="0"/>
    <xf numFmtId="0" fontId="49" fillId="0" borderId="9" applyNumberFormat="0" applyFont="0" applyFill="0" applyAlignment="0" applyProtection="0"/>
    <xf numFmtId="0" fontId="61" fillId="0" borderId="0"/>
    <xf numFmtId="217" fontId="16" fillId="0" borderId="0" applyFont="0" applyFill="0" applyBorder="0" applyAlignment="0" applyProtection="0"/>
    <xf numFmtId="218" fontId="16" fillId="0" borderId="0" applyFont="0" applyFill="0" applyBorder="0" applyAlignment="0" applyProtection="0"/>
    <xf numFmtId="219" fontId="16" fillId="0" borderId="0" applyFont="0" applyFill="0" applyBorder="0" applyAlignment="0" applyProtection="0"/>
    <xf numFmtId="220" fontId="16" fillId="0" borderId="0" applyFont="0" applyFill="0" applyBorder="0" applyAlignment="0" applyProtection="0"/>
    <xf numFmtId="0" fontId="16" fillId="0" borderId="0" applyFont="0" applyFill="0" applyBorder="0" applyAlignment="0" applyProtection="0">
      <alignment horizontal="right"/>
    </xf>
    <xf numFmtId="221" fontId="16" fillId="0" borderId="0" applyFont="0" applyFill="0" applyBorder="0" applyAlignment="0" applyProtection="0"/>
    <xf numFmtId="37" fontId="62" fillId="0" borderId="0"/>
    <xf numFmtId="0" fontId="22" fillId="0" borderId="0"/>
    <xf numFmtId="0" fontId="63" fillId="0" borderId="0">
      <alignment vertical="top"/>
    </xf>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177" fontId="64" fillId="0" borderId="0" applyProtection="0"/>
    <xf numFmtId="177" fontId="64" fillId="0" borderId="0" applyProtection="0"/>
    <xf numFmtId="177" fontId="64" fillId="0" borderId="0" applyProtection="0"/>
    <xf numFmtId="0" fontId="20" fillId="10" borderId="0" applyNumberFormat="0" applyFont="0" applyBorder="0" applyAlignment="0"/>
    <xf numFmtId="222" fontId="16" fillId="0" borderId="0" applyFont="0" applyFill="0" applyBorder="0" applyAlignment="0" applyProtection="0"/>
    <xf numFmtId="223" fontId="66" fillId="0" borderId="0"/>
    <xf numFmtId="222" fontId="16" fillId="0" borderId="0" applyFont="0" applyFill="0" applyBorder="0" applyAlignment="0" applyProtection="0"/>
    <xf numFmtId="222" fontId="16" fillId="0" borderId="0" applyFont="0" applyFill="0" applyBorder="0" applyAlignment="0" applyProtection="0"/>
    <xf numFmtId="222" fontId="16" fillId="0" borderId="0" applyFont="0" applyFill="0" applyBorder="0" applyAlignment="0" applyProtection="0"/>
    <xf numFmtId="224" fontId="16" fillId="0" borderId="0"/>
    <xf numFmtId="225" fontId="22" fillId="0" borderId="0"/>
    <xf numFmtId="225" fontId="22" fillId="0" borderId="0"/>
    <xf numFmtId="223" fontId="66" fillId="0" borderId="0"/>
    <xf numFmtId="0" fontId="22" fillId="0" borderId="0"/>
    <xf numFmtId="223" fontId="46" fillId="0" borderId="0"/>
    <xf numFmtId="224" fontId="16" fillId="0" borderId="0"/>
    <xf numFmtId="225" fontId="22" fillId="0" borderId="0"/>
    <xf numFmtId="225" fontId="22" fillId="0" borderId="0"/>
    <xf numFmtId="0" fontId="22" fillId="0" borderId="0"/>
    <xf numFmtId="0" fontId="22" fillId="0" borderId="0"/>
    <xf numFmtId="226" fontId="22" fillId="0" borderId="0"/>
    <xf numFmtId="227" fontId="22" fillId="0" borderId="0"/>
    <xf numFmtId="228" fontId="22" fillId="0" borderId="0"/>
    <xf numFmtId="226" fontId="22" fillId="0" borderId="0"/>
    <xf numFmtId="227" fontId="22" fillId="0" borderId="0"/>
    <xf numFmtId="229" fontId="22" fillId="0" borderId="0"/>
    <xf numFmtId="229" fontId="22" fillId="0" borderId="0"/>
    <xf numFmtId="230" fontId="22" fillId="0" borderId="0"/>
    <xf numFmtId="228" fontId="22" fillId="0" borderId="0"/>
    <xf numFmtId="231" fontId="22" fillId="0" borderId="0"/>
    <xf numFmtId="230" fontId="22" fillId="0" borderId="0"/>
    <xf numFmtId="230" fontId="22" fillId="0" borderId="0"/>
    <xf numFmtId="0" fontId="22" fillId="0" borderId="0"/>
    <xf numFmtId="222" fontId="16" fillId="0" borderId="0" applyFont="0" applyFill="0" applyBorder="0" applyAlignment="0" applyProtection="0"/>
    <xf numFmtId="222" fontId="16" fillId="0" borderId="0" applyFont="0" applyFill="0" applyBorder="0" applyAlignment="0" applyProtection="0"/>
    <xf numFmtId="222" fontId="16" fillId="0" borderId="0" applyFont="0" applyFill="0" applyBorder="0" applyAlignment="0" applyProtection="0"/>
    <xf numFmtId="223" fontId="66" fillId="0" borderId="0"/>
    <xf numFmtId="223" fontId="66" fillId="0" borderId="0"/>
    <xf numFmtId="222" fontId="16" fillId="0" borderId="0" applyFont="0" applyFill="0" applyBorder="0" applyAlignment="0" applyProtection="0"/>
    <xf numFmtId="223" fontId="66" fillId="0" borderId="0"/>
    <xf numFmtId="223" fontId="66" fillId="0" borderId="0"/>
    <xf numFmtId="226" fontId="22" fillId="0" borderId="0"/>
    <xf numFmtId="227" fontId="22" fillId="0" borderId="0"/>
    <xf numFmtId="228" fontId="22" fillId="0" borderId="0"/>
    <xf numFmtId="226" fontId="22" fillId="0" borderId="0"/>
    <xf numFmtId="227" fontId="22" fillId="0" borderId="0"/>
    <xf numFmtId="229" fontId="22" fillId="0" borderId="0"/>
    <xf numFmtId="229" fontId="22" fillId="0" borderId="0"/>
    <xf numFmtId="230" fontId="22" fillId="0" borderId="0"/>
    <xf numFmtId="228" fontId="22" fillId="0" borderId="0"/>
    <xf numFmtId="231" fontId="22" fillId="0" borderId="0"/>
    <xf numFmtId="230" fontId="22" fillId="0" borderId="0"/>
    <xf numFmtId="230" fontId="22" fillId="0" borderId="0"/>
    <xf numFmtId="232" fontId="18" fillId="11" borderId="0" applyFont="0" applyFill="0" applyBorder="0" applyAlignment="0" applyProtection="0"/>
    <xf numFmtId="233" fontId="18" fillId="11" borderId="0" applyFont="0" applyFill="0" applyBorder="0" applyAlignment="0" applyProtection="0"/>
    <xf numFmtId="234" fontId="16" fillId="0" borderId="0" applyFont="0" applyFill="0" applyBorder="0" applyAlignment="0" applyProtection="0"/>
    <xf numFmtId="235" fontId="44" fillId="0" borderId="0" applyFont="0" applyFill="0" applyBorder="0" applyAlignment="0" applyProtection="0"/>
    <xf numFmtId="236" fontId="43" fillId="0" borderId="0" applyFont="0" applyFill="0" applyBorder="0" applyAlignment="0" applyProtection="0"/>
    <xf numFmtId="237" fontId="16" fillId="0" borderId="0" applyFont="0" applyFill="0" applyBorder="0" applyAlignment="0" applyProtection="0"/>
    <xf numFmtId="238" fontId="17" fillId="0" borderId="0" applyFont="0" applyFill="0" applyBorder="0" applyAlignment="0" applyProtection="0"/>
    <xf numFmtId="239" fontId="17" fillId="0" borderId="0" applyFont="0" applyFill="0" applyBorder="0" applyAlignment="0" applyProtection="0"/>
    <xf numFmtId="240" fontId="17" fillId="0" borderId="0" applyFont="0" applyFill="0" applyBorder="0" applyAlignment="0" applyProtection="0"/>
    <xf numFmtId="241" fontId="17" fillId="0" borderId="0" applyFont="0" applyFill="0" applyBorder="0" applyAlignment="0" applyProtection="0"/>
    <xf numFmtId="242" fontId="44" fillId="0" borderId="0" applyFont="0" applyFill="0" applyBorder="0" applyAlignment="0" applyProtection="0"/>
    <xf numFmtId="243" fontId="43" fillId="0" borderId="0" applyFont="0" applyFill="0" applyBorder="0" applyAlignment="0" applyProtection="0"/>
    <xf numFmtId="244" fontId="44" fillId="0" borderId="0" applyFont="0" applyFill="0" applyBorder="0" applyAlignment="0" applyProtection="0"/>
    <xf numFmtId="245" fontId="43" fillId="0" borderId="0" applyFont="0" applyFill="0" applyBorder="0" applyAlignment="0" applyProtection="0"/>
    <xf numFmtId="246" fontId="44" fillId="0" borderId="0" applyFont="0" applyFill="0" applyBorder="0" applyAlignment="0" applyProtection="0"/>
    <xf numFmtId="247" fontId="43" fillId="0" borderId="0" applyFont="0" applyFill="0" applyBorder="0" applyAlignment="0" applyProtection="0"/>
    <xf numFmtId="248" fontId="28" fillId="0" borderId="0" applyFont="0" applyFill="0" applyBorder="0" applyAlignment="0" applyProtection="0">
      <protection locked="0"/>
    </xf>
    <xf numFmtId="249" fontId="4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71" fontId="46" fillId="0" borderId="0" applyFill="0" applyBorder="0" applyAlignment="0" applyProtection="0"/>
    <xf numFmtId="9" fontId="50" fillId="0" borderId="0" applyBorder="0"/>
    <xf numFmtId="250" fontId="50" fillId="0" borderId="0" applyBorder="0"/>
    <xf numFmtId="10" fontId="50" fillId="0" borderId="0" applyBorder="0"/>
    <xf numFmtId="0"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3" fontId="16" fillId="0" borderId="0">
      <alignment horizontal="left" vertical="top"/>
    </xf>
    <xf numFmtId="0" fontId="67" fillId="0" borderId="7">
      <alignment horizontal="center"/>
    </xf>
    <xf numFmtId="3" fontId="45" fillId="0" borderId="0" applyFont="0" applyFill="0" applyBorder="0" applyAlignment="0" applyProtection="0"/>
    <xf numFmtId="0" fontId="45" fillId="12" borderId="0" applyNumberFormat="0" applyFont="0" applyBorder="0" applyAlignment="0" applyProtection="0"/>
    <xf numFmtId="3" fontId="16" fillId="0" borderId="0">
      <alignment horizontal="right" vertical="top"/>
    </xf>
    <xf numFmtId="41" fontId="32" fillId="13" borderId="10" applyFill="0"/>
    <xf numFmtId="0" fontId="68" fillId="0" borderId="0">
      <alignment horizontal="left" indent="7"/>
    </xf>
    <xf numFmtId="41" fontId="32" fillId="0" borderId="10" applyFill="0">
      <alignment horizontal="left" indent="2"/>
    </xf>
    <xf numFmtId="177" fontId="41" fillId="0" borderId="2" applyFill="0">
      <alignment horizontal="right"/>
    </xf>
    <xf numFmtId="0" fontId="54" fillId="0" borderId="8" applyNumberFormat="0" applyFont="0" applyBorder="0">
      <alignment horizontal="right"/>
    </xf>
    <xf numFmtId="0" fontId="69" fillId="0" borderId="0" applyFill="0"/>
    <xf numFmtId="0" fontId="27" fillId="0" borderId="0" applyFill="0"/>
    <xf numFmtId="4" fontId="41" fillId="0" borderId="2" applyFill="0"/>
    <xf numFmtId="0" fontId="16" fillId="0" borderId="0" applyNumberFormat="0" applyFont="0" applyBorder="0" applyAlignment="0"/>
    <xf numFmtId="0" fontId="30" fillId="0" borderId="0" applyFill="0">
      <alignment horizontal="left" indent="1"/>
    </xf>
    <xf numFmtId="0" fontId="70" fillId="0" borderId="0" applyFill="0">
      <alignment horizontal="left" indent="1"/>
    </xf>
    <xf numFmtId="4" fontId="18" fillId="0" borderId="0" applyFill="0"/>
    <xf numFmtId="0" fontId="16" fillId="0" borderId="0" applyNumberFormat="0" applyFont="0" applyFill="0" applyBorder="0" applyAlignment="0"/>
    <xf numFmtId="0" fontId="30" fillId="0" borderId="0" applyFill="0">
      <alignment horizontal="left" indent="2"/>
    </xf>
    <xf numFmtId="0" fontId="27" fillId="0" borderId="0" applyFill="0">
      <alignment horizontal="left" indent="2"/>
    </xf>
    <xf numFmtId="4" fontId="18" fillId="0" borderId="0" applyFill="0"/>
    <xf numFmtId="0" fontId="16" fillId="0" borderId="0" applyNumberFormat="0" applyFont="0" applyBorder="0" applyAlignment="0"/>
    <xf numFmtId="0" fontId="71" fillId="0" borderId="0">
      <alignment horizontal="left" indent="3"/>
    </xf>
    <xf numFmtId="0" fontId="72" fillId="0" borderId="0" applyFill="0">
      <alignment horizontal="left" indent="3"/>
    </xf>
    <xf numFmtId="4" fontId="18" fillId="0" borderId="0" applyFill="0"/>
    <xf numFmtId="0" fontId="16" fillId="0" borderId="0" applyNumberFormat="0" applyFont="0" applyBorder="0" applyAlignment="0"/>
    <xf numFmtId="0" fontId="33" fillId="0" borderId="0">
      <alignment horizontal="left" indent="4"/>
    </xf>
    <xf numFmtId="0" fontId="16" fillId="0" borderId="0" applyFill="0">
      <alignment horizontal="left" indent="4"/>
    </xf>
    <xf numFmtId="4" fontId="34" fillId="0" borderId="0" applyFill="0"/>
    <xf numFmtId="0" fontId="16" fillId="0" borderId="0" applyNumberFormat="0" applyFont="0" applyBorder="0" applyAlignment="0"/>
    <xf numFmtId="0" fontId="35" fillId="0" borderId="0">
      <alignment horizontal="left" indent="5"/>
    </xf>
    <xf numFmtId="0" fontId="36" fillId="0" borderId="0" applyFill="0">
      <alignment horizontal="left" indent="5"/>
    </xf>
    <xf numFmtId="4" fontId="37" fillId="0" borderId="0" applyFill="0"/>
    <xf numFmtId="0" fontId="16" fillId="0" borderId="0" applyNumberFormat="0" applyFont="0" applyFill="0" applyBorder="0" applyAlignment="0"/>
    <xf numFmtId="0" fontId="38" fillId="0" borderId="0" applyFill="0">
      <alignment horizontal="left" indent="6"/>
    </xf>
    <xf numFmtId="0" fontId="34" fillId="0" borderId="0" applyFill="0">
      <alignment horizontal="left" indent="6"/>
    </xf>
    <xf numFmtId="0" fontId="49" fillId="0" borderId="11" applyNumberFormat="0" applyFont="0" applyFill="0" applyAlignment="0" applyProtection="0"/>
    <xf numFmtId="0" fontId="73" fillId="0" borderId="0" applyNumberFormat="0" applyFill="0" applyBorder="0" applyAlignment="0" applyProtection="0"/>
    <xf numFmtId="0" fontId="74" fillId="0" borderId="0"/>
    <xf numFmtId="0" fontId="74" fillId="0" borderId="0"/>
    <xf numFmtId="0" fontId="75" fillId="0" borderId="7">
      <alignment horizontal="right"/>
    </xf>
    <xf numFmtId="251" fontId="47" fillId="0" borderId="0">
      <alignment horizontal="center"/>
    </xf>
    <xf numFmtId="252" fontId="76" fillId="0" borderId="0">
      <alignment horizontal="center"/>
    </xf>
    <xf numFmtId="0" fontId="65" fillId="0" borderId="0" applyNumberFormat="0" applyFill="0" applyBorder="0" applyAlignment="0" applyProtection="0"/>
    <xf numFmtId="0" fontId="77" fillId="0" borderId="0" applyNumberFormat="0" applyBorder="0" applyAlignment="0"/>
    <xf numFmtId="0" fontId="78" fillId="0" borderId="0" applyNumberFormat="0" applyBorder="0" applyAlignment="0"/>
    <xf numFmtId="0" fontId="49" fillId="4" borderId="0" applyNumberFormat="0" applyFont="0" applyBorder="0" applyAlignment="0" applyProtection="0"/>
    <xf numFmtId="232" fontId="79" fillId="0" borderId="3" applyNumberFormat="0" applyFont="0" applyFill="0" applyAlignment="0" applyProtection="0"/>
    <xf numFmtId="0" fontId="80" fillId="0" borderId="0" applyFill="0" applyBorder="0" applyProtection="0">
      <alignment horizontal="left" vertical="top"/>
    </xf>
    <xf numFmtId="0" fontId="81" fillId="0" borderId="0" applyAlignment="0">
      <alignment horizontal="centerContinuous"/>
    </xf>
    <xf numFmtId="0" fontId="16" fillId="0" borderId="1" applyNumberFormat="0" applyFont="0" applyFill="0" applyAlignment="0" applyProtection="0"/>
    <xf numFmtId="0" fontId="82" fillId="0" borderId="0" applyNumberFormat="0" applyFill="0" applyBorder="0" applyAlignment="0" applyProtection="0"/>
    <xf numFmtId="253" fontId="43" fillId="0" borderId="0" applyFont="0" applyFill="0" applyBorder="0" applyAlignment="0" applyProtection="0"/>
    <xf numFmtId="254" fontId="43" fillId="0" borderId="0" applyFont="0" applyFill="0" applyBorder="0" applyAlignment="0" applyProtection="0"/>
    <xf numFmtId="255" fontId="43" fillId="0" borderId="0" applyFont="0" applyFill="0" applyBorder="0" applyAlignment="0" applyProtection="0"/>
    <xf numFmtId="256" fontId="43" fillId="0" borderId="0" applyFont="0" applyFill="0" applyBorder="0" applyAlignment="0" applyProtection="0"/>
    <xf numFmtId="257" fontId="43" fillId="0" borderId="0" applyFont="0" applyFill="0" applyBorder="0" applyAlignment="0" applyProtection="0"/>
    <xf numFmtId="258" fontId="43" fillId="0" borderId="0" applyFont="0" applyFill="0" applyBorder="0" applyAlignment="0" applyProtection="0"/>
    <xf numFmtId="259" fontId="43" fillId="0" borderId="0" applyFont="0" applyFill="0" applyBorder="0" applyAlignment="0" applyProtection="0"/>
    <xf numFmtId="260" fontId="43" fillId="0" borderId="0" applyFont="0" applyFill="0" applyBorder="0" applyAlignment="0" applyProtection="0"/>
    <xf numFmtId="261" fontId="83" fillId="4" borderId="12" applyFont="0" applyFill="0" applyBorder="0" applyAlignment="0" applyProtection="0"/>
    <xf numFmtId="261" fontId="22" fillId="0" borderId="0" applyFont="0" applyFill="0" applyBorder="0" applyAlignment="0" applyProtection="0"/>
    <xf numFmtId="262" fontId="40" fillId="0" borderId="0" applyFont="0" applyFill="0" applyBorder="0" applyAlignment="0" applyProtection="0"/>
    <xf numFmtId="263" fontId="47" fillId="0" borderId="3" applyFont="0" applyFill="0" applyBorder="0" applyAlignment="0" applyProtection="0">
      <alignment horizontal="right"/>
      <protection locked="0"/>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177" fontId="64" fillId="0" borderId="0" applyProtection="0"/>
    <xf numFmtId="0" fontId="63" fillId="0" borderId="0">
      <alignment vertical="top"/>
    </xf>
    <xf numFmtId="0" fontId="63" fillId="0" borderId="0">
      <alignment vertical="top"/>
    </xf>
    <xf numFmtId="0" fontId="13" fillId="0" borderId="0"/>
    <xf numFmtId="0" fontId="12" fillId="0" borderId="0"/>
    <xf numFmtId="177" fontId="64" fillId="0" borderId="0" applyProtection="0"/>
    <xf numFmtId="0" fontId="97" fillId="17" borderId="0" applyNumberFormat="0" applyBorder="0" applyAlignment="0" applyProtection="0"/>
    <xf numFmtId="0" fontId="97" fillId="18" borderId="0" applyNumberFormat="0" applyBorder="0" applyAlignment="0" applyProtection="0"/>
    <xf numFmtId="0" fontId="97" fillId="19" borderId="0" applyNumberFormat="0" applyBorder="0" applyAlignment="0" applyProtection="0"/>
    <xf numFmtId="0" fontId="97" fillId="20" borderId="0" applyNumberFormat="0" applyBorder="0" applyAlignment="0" applyProtection="0"/>
    <xf numFmtId="0" fontId="97" fillId="21" borderId="0" applyNumberFormat="0" applyBorder="0" applyAlignment="0" applyProtection="0"/>
    <xf numFmtId="0" fontId="97" fillId="22" borderId="0" applyNumberFormat="0" applyBorder="0" applyAlignment="0" applyProtection="0"/>
    <xf numFmtId="0" fontId="97" fillId="23" borderId="0" applyNumberFormat="0" applyBorder="0" applyAlignment="0" applyProtection="0"/>
    <xf numFmtId="0" fontId="97" fillId="24" borderId="0" applyNumberFormat="0" applyBorder="0" applyAlignment="0" applyProtection="0"/>
    <xf numFmtId="0" fontId="97" fillId="25" borderId="0" applyNumberFormat="0" applyBorder="0" applyAlignment="0" applyProtection="0"/>
    <xf numFmtId="0" fontId="97" fillId="20" borderId="0" applyNumberFormat="0" applyBorder="0" applyAlignment="0" applyProtection="0"/>
    <xf numFmtId="0" fontId="97" fillId="23" borderId="0" applyNumberFormat="0" applyBorder="0" applyAlignment="0" applyProtection="0"/>
    <xf numFmtId="0" fontId="97" fillId="26" borderId="0" applyNumberFormat="0" applyBorder="0" applyAlignment="0" applyProtection="0"/>
    <xf numFmtId="0" fontId="98" fillId="27" borderId="0" applyNumberFormat="0" applyBorder="0" applyAlignment="0" applyProtection="0"/>
    <xf numFmtId="0" fontId="98" fillId="24" borderId="0" applyNumberFormat="0" applyBorder="0" applyAlignment="0" applyProtection="0"/>
    <xf numFmtId="0" fontId="98" fillId="25" borderId="0" applyNumberFormat="0" applyBorder="0" applyAlignment="0" applyProtection="0"/>
    <xf numFmtId="0" fontId="98" fillId="28" borderId="0" applyNumberFormat="0" applyBorder="0" applyAlignment="0" applyProtection="0"/>
    <xf numFmtId="0" fontId="98" fillId="29" borderId="0" applyNumberFormat="0" applyBorder="0" applyAlignment="0" applyProtection="0"/>
    <xf numFmtId="0" fontId="98" fillId="30" borderId="0" applyNumberFormat="0" applyBorder="0" applyAlignment="0" applyProtection="0"/>
    <xf numFmtId="0" fontId="98" fillId="31" borderId="0" applyNumberFormat="0" applyBorder="0" applyAlignment="0" applyProtection="0"/>
    <xf numFmtId="0" fontId="98" fillId="32" borderId="0" applyNumberFormat="0" applyBorder="0" applyAlignment="0" applyProtection="0"/>
    <xf numFmtId="0" fontId="98" fillId="33" borderId="0" applyNumberFormat="0" applyBorder="0" applyAlignment="0" applyProtection="0"/>
    <xf numFmtId="0" fontId="98" fillId="28" borderId="0" applyNumberFormat="0" applyBorder="0" applyAlignment="0" applyProtection="0"/>
    <xf numFmtId="0" fontId="98" fillId="29" borderId="0" applyNumberFormat="0" applyBorder="0" applyAlignment="0" applyProtection="0"/>
    <xf numFmtId="0" fontId="98" fillId="34" borderId="0" applyNumberFormat="0" applyBorder="0" applyAlignment="0" applyProtection="0"/>
    <xf numFmtId="0" fontId="99" fillId="18" borderId="0" applyNumberFormat="0" applyBorder="0" applyAlignment="0" applyProtection="0"/>
    <xf numFmtId="0" fontId="100" fillId="35" borderId="21" applyNumberFormat="0" applyAlignment="0" applyProtection="0"/>
    <xf numFmtId="0" fontId="101" fillId="36" borderId="22" applyNumberFormat="0" applyAlignment="0" applyProtection="0"/>
    <xf numFmtId="44" fontId="16" fillId="0" borderId="0" applyFont="0" applyFill="0" applyBorder="0" applyAlignment="0" applyProtection="0"/>
    <xf numFmtId="0" fontId="102" fillId="0" borderId="0" applyNumberFormat="0" applyFill="0" applyBorder="0" applyAlignment="0" applyProtection="0"/>
    <xf numFmtId="0" fontId="103" fillId="19" borderId="0" applyNumberFormat="0" applyBorder="0" applyAlignment="0" applyProtection="0"/>
    <xf numFmtId="0" fontId="104" fillId="0" borderId="23" applyNumberFormat="0" applyFill="0" applyAlignment="0" applyProtection="0"/>
    <xf numFmtId="0" fontId="105" fillId="0" borderId="24" applyNumberFormat="0" applyFill="0" applyAlignment="0" applyProtection="0"/>
    <xf numFmtId="0" fontId="106" fillId="0" borderId="25" applyNumberFormat="0" applyFill="0" applyAlignment="0" applyProtection="0"/>
    <xf numFmtId="0" fontId="106" fillId="0" borderId="0" applyNumberFormat="0" applyFill="0" applyBorder="0" applyAlignment="0" applyProtection="0"/>
    <xf numFmtId="0" fontId="107" fillId="22" borderId="21" applyNumberFormat="0" applyAlignment="0" applyProtection="0"/>
    <xf numFmtId="0" fontId="108" fillId="0" borderId="26" applyNumberFormat="0" applyFill="0" applyAlignment="0" applyProtection="0"/>
    <xf numFmtId="0" fontId="109" fillId="37" borderId="0" applyNumberFormat="0" applyBorder="0" applyAlignment="0" applyProtection="0"/>
    <xf numFmtId="0" fontId="64" fillId="38" borderId="20" applyNumberFormat="0" applyFont="0" applyAlignment="0" applyProtection="0"/>
    <xf numFmtId="0" fontId="110" fillId="35" borderId="27" applyNumberFormat="0" applyAlignment="0" applyProtection="0"/>
    <xf numFmtId="0" fontId="111" fillId="0" borderId="0" applyNumberFormat="0" applyFill="0" applyBorder="0" applyAlignment="0" applyProtection="0"/>
    <xf numFmtId="0" fontId="112" fillId="0" borderId="28" applyNumberFormat="0" applyFill="0" applyAlignment="0" applyProtection="0"/>
    <xf numFmtId="0" fontId="113" fillId="0" borderId="0" applyNumberFormat="0" applyFill="0" applyBorder="0" applyAlignment="0" applyProtection="0"/>
    <xf numFmtId="0" fontId="11" fillId="0" borderId="0"/>
    <xf numFmtId="0" fontId="10" fillId="0" borderId="0"/>
    <xf numFmtId="41" fontId="16"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0" fontId="24" fillId="0" borderId="0"/>
    <xf numFmtId="0" fontId="16" fillId="0" borderId="0"/>
    <xf numFmtId="9" fontId="24"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117" fillId="0" borderId="0"/>
    <xf numFmtId="43" fontId="16" fillId="0" borderId="0" applyFont="0" applyFill="0" applyBorder="0" applyAlignment="0" applyProtection="0"/>
    <xf numFmtId="0" fontId="16"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16" fillId="0" borderId="0"/>
    <xf numFmtId="0" fontId="16" fillId="0" borderId="0"/>
    <xf numFmtId="177" fontId="64" fillId="0" borderId="0" applyProtection="0"/>
    <xf numFmtId="0" fontId="3" fillId="0" borderId="0"/>
    <xf numFmtId="0" fontId="3" fillId="0" borderId="0"/>
    <xf numFmtId="0" fontId="2" fillId="0" borderId="0"/>
    <xf numFmtId="0" fontId="16" fillId="0" borderId="0"/>
    <xf numFmtId="0" fontId="16" fillId="0" borderId="0"/>
    <xf numFmtId="0" fontId="16" fillId="0" borderId="0"/>
    <xf numFmtId="0" fontId="16" fillId="0" borderId="0"/>
    <xf numFmtId="0" fontId="1" fillId="0" borderId="0"/>
  </cellStyleXfs>
  <cellXfs count="884">
    <xf numFmtId="0" fontId="0" fillId="0" borderId="0" xfId="0"/>
    <xf numFmtId="0" fontId="20" fillId="0" borderId="0" xfId="170" applyFont="1"/>
    <xf numFmtId="0" fontId="20" fillId="0" borderId="0" xfId="178" applyNumberFormat="1" applyFont="1" applyAlignment="1" applyProtection="1">
      <alignment horizontal="center"/>
      <protection locked="0"/>
    </xf>
    <xf numFmtId="3" fontId="20" fillId="0" borderId="0" xfId="178" applyNumberFormat="1" applyFont="1" applyFill="1" applyAlignment="1" applyProtection="1"/>
    <xf numFmtId="3" fontId="20" fillId="0" borderId="0" xfId="178" applyNumberFormat="1" applyFont="1" applyAlignment="1" applyProtection="1"/>
    <xf numFmtId="227" fontId="20" fillId="0" borderId="0" xfId="178" applyNumberFormat="1" applyFont="1" applyFill="1" applyBorder="1" applyAlignment="1" applyProtection="1"/>
    <xf numFmtId="0" fontId="20" fillId="0" borderId="0" xfId="178" applyNumberFormat="1" applyFont="1" applyProtection="1">
      <protection locked="0"/>
    </xf>
    <xf numFmtId="0" fontId="20" fillId="0" borderId="0" xfId="170" applyNumberFormat="1" applyFont="1"/>
    <xf numFmtId="0" fontId="20" fillId="0" borderId="0" xfId="170" applyNumberFormat="1" applyFont="1" applyFill="1"/>
    <xf numFmtId="0" fontId="20" fillId="0" borderId="0" xfId="170" applyFont="1" applyAlignment="1">
      <alignment horizontal="center"/>
    </xf>
    <xf numFmtId="0" fontId="20" fillId="0" borderId="0" xfId="170" applyFont="1" applyAlignment="1">
      <alignment horizontal="center" vertical="top" wrapText="1"/>
    </xf>
    <xf numFmtId="0" fontId="84" fillId="0" borderId="0" xfId="170" applyFont="1" applyAlignment="1">
      <alignment vertical="top" wrapText="1"/>
    </xf>
    <xf numFmtId="0" fontId="84" fillId="0" borderId="0" xfId="170" applyFont="1" applyFill="1" applyAlignment="1">
      <alignment vertical="top" wrapText="1"/>
    </xf>
    <xf numFmtId="0" fontId="20" fillId="0" borderId="0" xfId="170" applyFont="1" applyFill="1"/>
    <xf numFmtId="0" fontId="20" fillId="0" borderId="0" xfId="178" applyNumberFormat="1" applyFont="1" applyFill="1" applyAlignment="1" applyProtection="1">
      <alignment horizontal="center"/>
      <protection locked="0"/>
    </xf>
    <xf numFmtId="0" fontId="20" fillId="0" borderId="0" xfId="170" applyFont="1" applyFill="1" applyAlignment="1">
      <alignment horizontal="center" vertical="top" wrapText="1"/>
    </xf>
    <xf numFmtId="0" fontId="20" fillId="0" borderId="0" xfId="178" applyNumberFormat="1" applyFont="1" applyFill="1"/>
    <xf numFmtId="177" fontId="20" fillId="0" borderId="0" xfId="178" applyFont="1" applyFill="1" applyAlignment="1">
      <alignment horizontal="center" vertical="top" wrapText="1"/>
    </xf>
    <xf numFmtId="0" fontId="20" fillId="0" borderId="0" xfId="178" applyNumberFormat="1" applyFont="1" applyFill="1" applyAlignment="1" applyProtection="1">
      <alignment horizontal="center" vertical="top" wrapText="1"/>
      <protection locked="0"/>
    </xf>
    <xf numFmtId="0" fontId="20" fillId="0" borderId="0" xfId="178" applyNumberFormat="1" applyFont="1" applyFill="1" applyProtection="1">
      <protection locked="0"/>
    </xf>
    <xf numFmtId="0" fontId="20" fillId="0" borderId="0" xfId="170" applyFont="1" applyAlignment="1">
      <alignment vertical="top" wrapText="1"/>
    </xf>
    <xf numFmtId="0" fontId="20" fillId="0" borderId="0" xfId="178" applyNumberFormat="1" applyFont="1" applyAlignment="1" applyProtection="1">
      <alignment horizontal="center" vertical="top" wrapText="1"/>
      <protection locked="0"/>
    </xf>
    <xf numFmtId="3" fontId="20" fillId="0" borderId="0" xfId="178" applyNumberFormat="1" applyFont="1" applyFill="1" applyAlignment="1">
      <alignment horizontal="center" vertical="top" wrapText="1"/>
    </xf>
    <xf numFmtId="3" fontId="20" fillId="0" borderId="0" xfId="178" applyNumberFormat="1" applyFont="1" applyAlignment="1">
      <alignment vertical="top" wrapText="1"/>
    </xf>
    <xf numFmtId="0" fontId="20" fillId="0" borderId="0" xfId="178" applyNumberFormat="1" applyFont="1" applyAlignment="1" applyProtection="1">
      <alignment vertical="top" wrapText="1"/>
      <protection locked="0"/>
    </xf>
    <xf numFmtId="3" fontId="20" fillId="0" borderId="0" xfId="178" applyNumberFormat="1" applyFont="1" applyAlignment="1"/>
    <xf numFmtId="0" fontId="20" fillId="0" borderId="0" xfId="178" applyNumberFormat="1" applyFont="1" applyAlignment="1" applyProtection="1">
      <protection locked="0"/>
    </xf>
    <xf numFmtId="0" fontId="20" fillId="0" borderId="0" xfId="178" applyNumberFormat="1" applyFont="1" applyAlignment="1" applyProtection="1">
      <alignment horizontal="left" indent="8"/>
      <protection locked="0"/>
    </xf>
    <xf numFmtId="177" fontId="20" fillId="0" borderId="0" xfId="178" applyFont="1" applyFill="1" applyAlignment="1" applyProtection="1"/>
    <xf numFmtId="227" fontId="20" fillId="0" borderId="0" xfId="178" applyNumberFormat="1" applyFont="1" applyProtection="1">
      <protection locked="0"/>
    </xf>
    <xf numFmtId="177" fontId="20" fillId="0" borderId="0" xfId="178" applyNumberFormat="1" applyFont="1" applyAlignment="1" applyProtection="1">
      <protection locked="0"/>
    </xf>
    <xf numFmtId="0" fontId="20" fillId="0" borderId="0" xfId="178" applyNumberFormat="1" applyFont="1"/>
    <xf numFmtId="0" fontId="20" fillId="0" borderId="0" xfId="178" applyNumberFormat="1" applyFont="1" applyAlignment="1"/>
    <xf numFmtId="3" fontId="20" fillId="0" borderId="0" xfId="178" applyNumberFormat="1" applyFont="1" applyAlignment="1">
      <alignment horizontal="right"/>
    </xf>
    <xf numFmtId="0" fontId="20" fillId="0" borderId="0" xfId="170" applyFont="1" applyAlignment="1"/>
    <xf numFmtId="0" fontId="84" fillId="0" borderId="0" xfId="170" applyFont="1" applyAlignment="1"/>
    <xf numFmtId="3" fontId="84" fillId="0" borderId="0" xfId="170" applyNumberFormat="1" applyFont="1" applyFill="1" applyAlignment="1" applyProtection="1">
      <alignment horizontal="right"/>
      <protection locked="0"/>
    </xf>
    <xf numFmtId="0" fontId="20" fillId="0" borderId="0" xfId="170" applyNumberFormat="1" applyFont="1" applyBorder="1"/>
    <xf numFmtId="0" fontId="20" fillId="0" borderId="0" xfId="170" applyNumberFormat="1" applyFont="1" applyAlignment="1">
      <alignment horizontal="center"/>
    </xf>
    <xf numFmtId="3" fontId="20" fillId="0" borderId="0" xfId="178" applyNumberFormat="1" applyFont="1" applyFill="1" applyAlignment="1" applyProtection="1">
      <alignment horizontal="right"/>
      <protection locked="0"/>
    </xf>
    <xf numFmtId="177" fontId="20" fillId="0" borderId="0" xfId="178" applyFont="1" applyAlignment="1"/>
    <xf numFmtId="227" fontId="20" fillId="14" borderId="0" xfId="178" applyNumberFormat="1" applyFont="1" applyFill="1" applyBorder="1" applyAlignment="1" applyProtection="1">
      <protection locked="0"/>
    </xf>
    <xf numFmtId="0" fontId="20" fillId="0" borderId="0" xfId="178" applyNumberFormat="1" applyFont="1" applyBorder="1" applyProtection="1">
      <protection locked="0"/>
    </xf>
    <xf numFmtId="0" fontId="20" fillId="0" borderId="0" xfId="178" applyNumberFormat="1" applyFont="1" applyBorder="1" applyAlignment="1" applyProtection="1">
      <protection locked="0"/>
    </xf>
    <xf numFmtId="3" fontId="20" fillId="0" borderId="0" xfId="178" applyNumberFormat="1" applyFont="1" applyAlignment="1">
      <alignment horizontal="center"/>
    </xf>
    <xf numFmtId="1" fontId="20" fillId="0" borderId="0" xfId="178" applyNumberFormat="1" applyFont="1" applyFill="1" applyAlignment="1" applyProtection="1"/>
    <xf numFmtId="1" fontId="20" fillId="0" borderId="0" xfId="178" applyNumberFormat="1" applyFont="1" applyFill="1" applyProtection="1"/>
    <xf numFmtId="227" fontId="20" fillId="0" borderId="0" xfId="178" applyNumberFormat="1" applyFont="1" applyFill="1" applyBorder="1" applyProtection="1"/>
    <xf numFmtId="227" fontId="20" fillId="14" borderId="0" xfId="178" applyNumberFormat="1" applyFont="1" applyFill="1" applyBorder="1" applyProtection="1"/>
    <xf numFmtId="264" fontId="20" fillId="0" borderId="0" xfId="178" applyNumberFormat="1" applyFont="1" applyProtection="1">
      <protection locked="0"/>
    </xf>
    <xf numFmtId="38" fontId="20" fillId="0" borderId="0" xfId="178" applyNumberFormat="1" applyFont="1" applyAlignment="1" applyProtection="1"/>
    <xf numFmtId="38" fontId="20" fillId="0" borderId="0" xfId="178" applyNumberFormat="1" applyFont="1" applyFill="1" applyBorder="1" applyProtection="1"/>
    <xf numFmtId="38" fontId="20" fillId="0" borderId="0" xfId="178" applyNumberFormat="1" applyFont="1" applyAlignment="1"/>
    <xf numFmtId="177" fontId="20" fillId="0" borderId="0" xfId="178" applyFont="1" applyBorder="1" applyAlignment="1"/>
    <xf numFmtId="38" fontId="20" fillId="14" borderId="0" xfId="178" applyNumberFormat="1" applyFont="1" applyFill="1" applyBorder="1" applyProtection="1">
      <protection locked="0"/>
    </xf>
    <xf numFmtId="177" fontId="84" fillId="0" borderId="0" xfId="178" applyFont="1" applyAlignment="1"/>
    <xf numFmtId="0" fontId="84" fillId="0" borderId="0" xfId="178" applyNumberFormat="1" applyFont="1" applyProtection="1">
      <protection locked="0"/>
    </xf>
    <xf numFmtId="0" fontId="20" fillId="0" borderId="0" xfId="178" applyNumberFormat="1" applyFont="1" applyBorder="1" applyAlignment="1" applyProtection="1">
      <alignment horizontal="center"/>
      <protection locked="0"/>
    </xf>
    <xf numFmtId="3" fontId="20" fillId="0" borderId="0" xfId="178" quotePrefix="1" applyNumberFormat="1" applyFont="1" applyAlignment="1"/>
    <xf numFmtId="231" fontId="20" fillId="0" borderId="0" xfId="178" applyNumberFormat="1" applyFont="1" applyAlignment="1"/>
    <xf numFmtId="3" fontId="20" fillId="0" borderId="0" xfId="178" applyNumberFormat="1" applyFont="1" applyFill="1" applyAlignment="1">
      <alignment horizontal="center"/>
    </xf>
    <xf numFmtId="231" fontId="20" fillId="14" borderId="0" xfId="178" applyNumberFormat="1" applyFont="1" applyFill="1" applyAlignment="1"/>
    <xf numFmtId="9" fontId="20" fillId="0" borderId="0" xfId="178" applyNumberFormat="1" applyFont="1" applyAlignment="1"/>
    <xf numFmtId="231" fontId="20" fillId="0" borderId="0" xfId="170" applyNumberFormat="1" applyFont="1" applyAlignment="1"/>
    <xf numFmtId="3" fontId="20" fillId="14" borderId="0" xfId="178" applyNumberFormat="1" applyFont="1" applyFill="1" applyAlignment="1">
      <alignment horizontal="center"/>
    </xf>
    <xf numFmtId="3" fontId="20" fillId="0" borderId="0" xfId="178" applyNumberFormat="1" applyFont="1" applyFill="1" applyAlignment="1" applyProtection="1">
      <alignment horizontal="center"/>
      <protection locked="0"/>
    </xf>
    <xf numFmtId="42" fontId="20" fillId="14" borderId="0" xfId="178" applyNumberFormat="1" applyFont="1" applyFill="1" applyAlignment="1">
      <alignment horizontal="center"/>
    </xf>
    <xf numFmtId="3" fontId="20" fillId="0" borderId="0" xfId="178" applyNumberFormat="1" applyFont="1" applyFill="1" applyAlignment="1"/>
    <xf numFmtId="227" fontId="20" fillId="14" borderId="0" xfId="178" applyNumberFormat="1" applyFont="1" applyFill="1" applyAlignment="1">
      <alignment horizontal="center"/>
    </xf>
    <xf numFmtId="3" fontId="20" fillId="0" borderId="0" xfId="170" applyNumberFormat="1" applyFont="1" applyAlignment="1"/>
    <xf numFmtId="265" fontId="20" fillId="0" borderId="0" xfId="170" applyNumberFormat="1" applyFont="1" applyAlignment="1"/>
    <xf numFmtId="265" fontId="20" fillId="0" borderId="0" xfId="178" applyNumberFormat="1" applyFont="1" applyAlignment="1">
      <alignment horizontal="center"/>
    </xf>
    <xf numFmtId="265" fontId="20" fillId="0" borderId="0" xfId="178" applyNumberFormat="1" applyFont="1" applyAlignment="1"/>
    <xf numFmtId="3" fontId="20" fillId="14" borderId="0" xfId="178" applyNumberFormat="1" applyFont="1" applyFill="1" applyAlignment="1"/>
    <xf numFmtId="0" fontId="20" fillId="0" borderId="0" xfId="178" applyNumberFormat="1" applyFont="1" applyAlignment="1">
      <alignment horizontal="center"/>
    </xf>
    <xf numFmtId="265" fontId="20" fillId="0" borderId="0" xfId="178" applyNumberFormat="1" applyFont="1" applyAlignment="1" applyProtection="1">
      <alignment horizontal="center"/>
      <protection locked="0"/>
    </xf>
    <xf numFmtId="266" fontId="20" fillId="0" borderId="0" xfId="178" applyNumberFormat="1" applyFont="1" applyAlignment="1">
      <alignment horizontal="center"/>
    </xf>
    <xf numFmtId="3" fontId="87" fillId="0" borderId="0" xfId="178" applyNumberFormat="1" applyFont="1" applyAlignment="1">
      <alignment horizontal="center"/>
    </xf>
    <xf numFmtId="267" fontId="20" fillId="0" borderId="0" xfId="170" applyNumberFormat="1" applyFont="1" applyAlignment="1"/>
    <xf numFmtId="4" fontId="20" fillId="0" borderId="0" xfId="178" applyNumberFormat="1" applyFont="1" applyAlignment="1"/>
    <xf numFmtId="3" fontId="20" fillId="0" borderId="0" xfId="170" applyNumberFormat="1" applyFont="1" applyBorder="1" applyAlignment="1">
      <alignment horizontal="center"/>
    </xf>
    <xf numFmtId="4" fontId="20" fillId="0" borderId="0" xfId="170" applyNumberFormat="1" applyFont="1" applyAlignment="1"/>
    <xf numFmtId="177" fontId="20" fillId="0" borderId="0" xfId="178" applyFont="1" applyFill="1" applyAlignment="1"/>
    <xf numFmtId="265" fontId="20" fillId="0" borderId="0" xfId="170" applyNumberFormat="1" applyFont="1" applyFill="1"/>
    <xf numFmtId="267" fontId="20" fillId="0" borderId="0" xfId="170" applyNumberFormat="1" applyFont="1" applyFill="1"/>
    <xf numFmtId="267" fontId="20" fillId="0" borderId="0" xfId="170" applyNumberFormat="1" applyFont="1" applyFill="1" applyAlignment="1"/>
    <xf numFmtId="3" fontId="20" fillId="0" borderId="0" xfId="170" applyNumberFormat="1" applyFont="1" applyFill="1" applyAlignment="1"/>
    <xf numFmtId="49" fontId="20" fillId="0" borderId="0" xfId="178" applyNumberFormat="1" applyFont="1" applyFill="1" applyAlignment="1"/>
    <xf numFmtId="49" fontId="20" fillId="0" borderId="0" xfId="178" applyNumberFormat="1" applyFont="1" applyFill="1" applyAlignment="1">
      <alignment horizontal="center"/>
    </xf>
    <xf numFmtId="49" fontId="20" fillId="0" borderId="0" xfId="178" applyNumberFormat="1" applyFont="1" applyFill="1"/>
    <xf numFmtId="3" fontId="20" fillId="0" borderId="0" xfId="178" applyNumberFormat="1" applyFont="1" applyFill="1" applyBorder="1" applyAlignment="1"/>
    <xf numFmtId="0" fontId="20" fillId="0" borderId="0" xfId="178" applyNumberFormat="1" applyFont="1" applyFill="1" applyAlignment="1">
      <alignment horizontal="center"/>
    </xf>
    <xf numFmtId="177" fontId="84" fillId="0" borderId="0" xfId="178" applyFont="1" applyFill="1" applyAlignment="1"/>
    <xf numFmtId="0" fontId="20" fillId="0" borderId="0" xfId="178" applyNumberFormat="1" applyFont="1" applyFill="1" applyAlignment="1"/>
    <xf numFmtId="267" fontId="20" fillId="0" borderId="0" xfId="170" applyNumberFormat="1" applyFont="1" applyFill="1" applyAlignment="1">
      <alignment horizontal="right"/>
    </xf>
    <xf numFmtId="0" fontId="20" fillId="0" borderId="0" xfId="178" applyNumberFormat="1" applyFont="1" applyFill="1" applyAlignment="1" applyProtection="1">
      <protection locked="0"/>
    </xf>
    <xf numFmtId="0" fontId="87" fillId="0" borderId="0" xfId="178" applyNumberFormat="1" applyFont="1" applyAlignment="1"/>
    <xf numFmtId="3" fontId="20" fillId="0" borderId="0" xfId="170" applyNumberFormat="1" applyFont="1" applyBorder="1" applyAlignment="1"/>
    <xf numFmtId="266" fontId="20" fillId="0" borderId="0" xfId="170" applyNumberFormat="1" applyFont="1" applyAlignment="1">
      <alignment horizontal="center"/>
    </xf>
    <xf numFmtId="0" fontId="84" fillId="0" borderId="0" xfId="170" applyNumberFormat="1" applyFont="1" applyFill="1"/>
    <xf numFmtId="0" fontId="84" fillId="0" borderId="0" xfId="170" applyNumberFormat="1" applyFont="1"/>
    <xf numFmtId="3" fontId="84" fillId="0" borderId="0" xfId="170" applyNumberFormat="1" applyFont="1" applyBorder="1" applyAlignment="1"/>
    <xf numFmtId="3" fontId="84" fillId="0" borderId="0" xfId="170" applyNumberFormat="1" applyFont="1" applyAlignment="1"/>
    <xf numFmtId="0" fontId="20" fillId="0" borderId="0" xfId="170" applyNumberFormat="1" applyFont="1" applyAlignment="1"/>
    <xf numFmtId="3" fontId="20" fillId="0" borderId="13" xfId="170" applyNumberFormat="1" applyFont="1" applyBorder="1" applyAlignment="1"/>
    <xf numFmtId="265" fontId="20" fillId="0" borderId="0" xfId="170" applyNumberFormat="1" applyFont="1" applyAlignment="1">
      <alignment horizontal="center"/>
    </xf>
    <xf numFmtId="266" fontId="20" fillId="0" borderId="0" xfId="178" applyNumberFormat="1" applyFont="1" applyAlignment="1" applyProtection="1">
      <alignment horizontal="left"/>
      <protection locked="0"/>
    </xf>
    <xf numFmtId="164" fontId="20" fillId="0" borderId="0" xfId="1" applyNumberFormat="1" applyFont="1" applyAlignment="1"/>
    <xf numFmtId="268" fontId="20" fillId="0" borderId="0" xfId="178" applyNumberFormat="1" applyFont="1" applyAlignment="1"/>
    <xf numFmtId="3" fontId="20" fillId="0" borderId="0" xfId="170" applyNumberFormat="1" applyFont="1" applyFill="1" applyAlignment="1">
      <alignment horizontal="right"/>
    </xf>
    <xf numFmtId="3" fontId="20" fillId="0" borderId="0" xfId="178" applyNumberFormat="1" applyFont="1" applyAlignment="1">
      <alignment horizontal="left"/>
    </xf>
    <xf numFmtId="10" fontId="20" fillId="0" borderId="0" xfId="178" applyNumberFormat="1" applyFont="1" applyAlignment="1">
      <alignment horizontal="left"/>
    </xf>
    <xf numFmtId="266" fontId="20" fillId="0" borderId="0" xfId="178" applyNumberFormat="1" applyFont="1" applyAlignment="1">
      <alignment horizontal="left"/>
    </xf>
    <xf numFmtId="3" fontId="20" fillId="14" borderId="0" xfId="1" applyNumberFormat="1" applyFont="1" applyFill="1" applyAlignment="1"/>
    <xf numFmtId="164" fontId="20" fillId="0" borderId="0" xfId="1" applyNumberFormat="1" applyFont="1" applyBorder="1" applyAlignment="1"/>
    <xf numFmtId="231" fontId="20" fillId="0" borderId="0" xfId="170" applyNumberFormat="1" applyFont="1" applyFill="1" applyAlignment="1">
      <alignment horizontal="right"/>
    </xf>
    <xf numFmtId="10" fontId="20" fillId="0" borderId="0" xfId="170" applyNumberFormat="1" applyFont="1" applyFill="1" applyAlignment="1">
      <alignment horizontal="right"/>
    </xf>
    <xf numFmtId="0" fontId="20" fillId="0" borderId="0" xfId="178" applyNumberFormat="1" applyFont="1" applyAlignment="1">
      <alignment horizontal="fill"/>
    </xf>
    <xf numFmtId="265" fontId="20" fillId="0" borderId="0" xfId="170" applyNumberFormat="1" applyFont="1" applyFill="1" applyAlignment="1">
      <alignment horizontal="right"/>
    </xf>
    <xf numFmtId="3" fontId="20" fillId="0" borderId="0" xfId="178" quotePrefix="1" applyNumberFormat="1" applyFont="1" applyAlignment="1">
      <alignment horizontal="left"/>
    </xf>
    <xf numFmtId="0" fontId="20" fillId="0" borderId="0" xfId="178" quotePrefix="1" applyNumberFormat="1" applyFont="1" applyAlignment="1">
      <alignment horizontal="left"/>
    </xf>
    <xf numFmtId="269" fontId="20" fillId="0" borderId="0" xfId="178" applyNumberFormat="1" applyFont="1" applyFill="1" applyAlignment="1">
      <alignment horizontal="left"/>
    </xf>
    <xf numFmtId="3" fontId="85" fillId="0" borderId="0" xfId="178" applyNumberFormat="1" applyFont="1" applyFill="1" applyAlignment="1"/>
    <xf numFmtId="0" fontId="87" fillId="0" borderId="0" xfId="178" applyNumberFormat="1" applyFont="1" applyAlignment="1" applyProtection="1">
      <alignment horizontal="center"/>
      <protection locked="0"/>
    </xf>
    <xf numFmtId="3" fontId="87" fillId="0" borderId="0" xfId="178" applyNumberFormat="1" applyFont="1" applyAlignment="1"/>
    <xf numFmtId="177" fontId="87" fillId="0" borderId="0" xfId="178" applyFont="1" applyAlignment="1">
      <alignment horizontal="center"/>
    </xf>
    <xf numFmtId="49" fontId="20" fillId="0" borderId="0" xfId="178" applyNumberFormat="1" applyFont="1" applyAlignment="1">
      <alignment horizontal="left"/>
    </xf>
    <xf numFmtId="3" fontId="20" fillId="14" borderId="0" xfId="178" applyNumberFormat="1" applyFont="1" applyFill="1" applyBorder="1" applyAlignment="1"/>
    <xf numFmtId="3" fontId="20" fillId="14" borderId="0" xfId="1" applyNumberFormat="1" applyFont="1" applyFill="1" applyBorder="1" applyAlignment="1"/>
    <xf numFmtId="3" fontId="20" fillId="0" borderId="0" xfId="178" applyNumberFormat="1" applyFont="1" applyAlignment="1">
      <alignment horizontal="fill"/>
    </xf>
    <xf numFmtId="0" fontId="20" fillId="0" borderId="0" xfId="178" applyNumberFormat="1" applyFont="1" applyAlignment="1">
      <alignment horizontal="left"/>
    </xf>
    <xf numFmtId="267" fontId="20" fillId="0" borderId="0" xfId="178" applyNumberFormat="1" applyFont="1" applyAlignment="1"/>
    <xf numFmtId="0" fontId="20" fillId="0" borderId="0" xfId="178" applyNumberFormat="1" applyFont="1" applyAlignment="1">
      <alignment horizontal="right"/>
    </xf>
    <xf numFmtId="231" fontId="20" fillId="0" borderId="0" xfId="178" applyNumberFormat="1" applyFont="1"/>
    <xf numFmtId="270" fontId="20" fillId="0" borderId="0" xfId="178" applyNumberFormat="1" applyFont="1" applyProtection="1">
      <protection locked="0"/>
    </xf>
    <xf numFmtId="270" fontId="20" fillId="0" borderId="0" xfId="178" applyNumberFormat="1" applyFont="1" applyFill="1" applyProtection="1">
      <protection locked="0"/>
    </xf>
    <xf numFmtId="270" fontId="20" fillId="14" borderId="0" xfId="178" applyNumberFormat="1" applyFont="1" applyFill="1" applyProtection="1">
      <protection locked="0"/>
    </xf>
    <xf numFmtId="270" fontId="20" fillId="0" borderId="0" xfId="170" applyNumberFormat="1" applyFont="1" applyAlignment="1"/>
    <xf numFmtId="264" fontId="20" fillId="0" borderId="0" xfId="170" applyNumberFormat="1" applyFont="1"/>
    <xf numFmtId="264" fontId="20" fillId="0" borderId="0" xfId="178" applyNumberFormat="1" applyFont="1" applyAlignment="1">
      <alignment horizontal="center"/>
    </xf>
    <xf numFmtId="264" fontId="20" fillId="0" borderId="0" xfId="178" applyNumberFormat="1" applyFont="1"/>
    <xf numFmtId="3" fontId="20" fillId="0" borderId="0" xfId="178" applyNumberFormat="1" applyFont="1"/>
    <xf numFmtId="3" fontId="20" fillId="0" borderId="0" xfId="178" applyNumberFormat="1" applyFont="1" applyFill="1" applyBorder="1"/>
    <xf numFmtId="3" fontId="20" fillId="14" borderId="0" xfId="178" applyNumberFormat="1" applyFont="1" applyFill="1" applyBorder="1"/>
    <xf numFmtId="3" fontId="20" fillId="14" borderId="0" xfId="178" applyNumberFormat="1" applyFont="1" applyFill="1"/>
    <xf numFmtId="42" fontId="20" fillId="0" borderId="13" xfId="178" applyNumberFormat="1" applyFont="1" applyBorder="1" applyAlignment="1" applyProtection="1">
      <alignment horizontal="right"/>
      <protection locked="0"/>
    </xf>
    <xf numFmtId="42" fontId="20" fillId="0" borderId="0" xfId="170" applyNumberFormat="1" applyFont="1"/>
    <xf numFmtId="49" fontId="20" fillId="0" borderId="0" xfId="178" applyNumberFormat="1" applyFont="1"/>
    <xf numFmtId="0" fontId="75" fillId="0" borderId="0" xfId="178" applyNumberFormat="1" applyFont="1"/>
    <xf numFmtId="0" fontId="20" fillId="14" borderId="0" xfId="170" applyNumberFormat="1" applyFont="1" applyFill="1" applyAlignment="1">
      <alignment horizontal="right"/>
    </xf>
    <xf numFmtId="0" fontId="20" fillId="14" borderId="0" xfId="178" applyNumberFormat="1" applyFont="1" applyFill="1"/>
    <xf numFmtId="0" fontId="20" fillId="14" borderId="0" xfId="170" applyFont="1" applyFill="1"/>
    <xf numFmtId="0" fontId="20" fillId="14" borderId="0" xfId="178" applyNumberFormat="1" applyFont="1" applyFill="1" applyProtection="1">
      <protection locked="0"/>
    </xf>
    <xf numFmtId="0" fontId="20" fillId="14" borderId="0" xfId="178" applyNumberFormat="1" applyFont="1" applyFill="1" applyAlignment="1" applyProtection="1">
      <protection locked="0"/>
    </xf>
    <xf numFmtId="0" fontId="20" fillId="0" borderId="0" xfId="178" applyNumberFormat="1" applyFont="1" applyAlignment="1" applyProtection="1">
      <alignment horizontal="left"/>
      <protection locked="0"/>
    </xf>
    <xf numFmtId="0" fontId="20" fillId="0" borderId="0" xfId="170" applyFont="1" applyAlignment="1">
      <alignment horizontal="right"/>
    </xf>
    <xf numFmtId="177" fontId="64" fillId="0" borderId="0" xfId="176" applyFill="1" applyBorder="1" applyAlignment="1"/>
    <xf numFmtId="177" fontId="89" fillId="0" borderId="0" xfId="176" applyFont="1" applyFill="1" applyBorder="1" applyAlignment="1"/>
    <xf numFmtId="10" fontId="27" fillId="0" borderId="0" xfId="176" applyNumberFormat="1" applyFont="1" applyFill="1" applyBorder="1" applyAlignment="1"/>
    <xf numFmtId="3" fontId="32" fillId="0" borderId="0" xfId="176" applyNumberFormat="1" applyFont="1" applyFill="1" applyBorder="1" applyAlignment="1"/>
    <xf numFmtId="177" fontId="32" fillId="0" borderId="0" xfId="176" applyFont="1" applyFill="1" applyBorder="1" applyAlignment="1"/>
    <xf numFmtId="10" fontId="32" fillId="0" borderId="0" xfId="176" applyNumberFormat="1" applyFont="1" applyFill="1" applyBorder="1" applyAlignment="1"/>
    <xf numFmtId="177" fontId="32" fillId="0" borderId="0" xfId="176" applyFont="1" applyFill="1" applyBorder="1" applyAlignment="1">
      <alignment horizontal="center"/>
    </xf>
    <xf numFmtId="49" fontId="64" fillId="0" borderId="0" xfId="176" applyNumberFormat="1" applyFont="1" applyFill="1" applyBorder="1" applyAlignment="1">
      <alignment horizontal="center"/>
    </xf>
    <xf numFmtId="49" fontId="20" fillId="0" borderId="0" xfId="176" applyNumberFormat="1" applyFont="1" applyFill="1" applyBorder="1" applyAlignment="1">
      <alignment horizontal="center"/>
    </xf>
    <xf numFmtId="177" fontId="20" fillId="0" borderId="0" xfId="176" applyFont="1" applyFill="1" applyBorder="1" applyAlignment="1"/>
    <xf numFmtId="49" fontId="20" fillId="0" borderId="0" xfId="176" applyNumberFormat="1" applyFont="1" applyFill="1" applyBorder="1" applyAlignment="1">
      <alignment horizontal="left"/>
    </xf>
    <xf numFmtId="177" fontId="64" fillId="0" borderId="0" xfId="176" applyFont="1" applyFill="1" applyBorder="1" applyAlignment="1"/>
    <xf numFmtId="177" fontId="64" fillId="0" borderId="0" xfId="176" applyFont="1" applyFill="1" applyBorder="1" applyAlignment="1">
      <alignment horizontal="center"/>
    </xf>
    <xf numFmtId="177" fontId="64" fillId="0" borderId="0" xfId="176" applyFont="1" applyFill="1" applyBorder="1" applyAlignment="1">
      <alignment horizontal="center" vertical="top"/>
    </xf>
    <xf numFmtId="1" fontId="32" fillId="0" borderId="0" xfId="1" applyNumberFormat="1" applyFont="1" applyFill="1" applyBorder="1" applyAlignment="1">
      <alignment horizontal="center"/>
    </xf>
    <xf numFmtId="177" fontId="16" fillId="0" borderId="0" xfId="176" applyFont="1" applyFill="1" applyBorder="1" applyAlignment="1"/>
    <xf numFmtId="0" fontId="32" fillId="0" borderId="0" xfId="176" applyNumberFormat="1" applyFont="1" applyFill="1" applyBorder="1" applyAlignment="1"/>
    <xf numFmtId="177" fontId="90" fillId="0" borderId="0" xfId="176" applyFont="1" applyFill="1" applyBorder="1" applyAlignment="1"/>
    <xf numFmtId="49" fontId="32" fillId="0" borderId="0" xfId="176" applyNumberFormat="1" applyFont="1" applyFill="1" applyBorder="1" applyAlignment="1">
      <alignment horizontal="center"/>
    </xf>
    <xf numFmtId="10" fontId="32" fillId="0" borderId="0" xfId="2" applyNumberFormat="1" applyFont="1" applyFill="1" applyBorder="1" applyAlignment="1"/>
    <xf numFmtId="0" fontId="64" fillId="0" borderId="0" xfId="176" applyNumberFormat="1" applyFont="1" applyFill="1" applyBorder="1" applyAlignment="1"/>
    <xf numFmtId="3" fontId="64" fillId="0" borderId="0" xfId="176" applyNumberFormat="1" applyFont="1" applyFill="1" applyBorder="1" applyAlignment="1"/>
    <xf numFmtId="0" fontId="64" fillId="0" borderId="0" xfId="176" applyNumberFormat="1" applyFont="1" applyFill="1" applyBorder="1"/>
    <xf numFmtId="3" fontId="32" fillId="0" borderId="10" xfId="176" applyNumberFormat="1" applyFont="1" applyFill="1" applyBorder="1" applyAlignment="1"/>
    <xf numFmtId="0" fontId="32" fillId="0" borderId="10" xfId="176" applyNumberFormat="1" applyFont="1" applyFill="1" applyBorder="1"/>
    <xf numFmtId="0" fontId="32" fillId="0" borderId="0" xfId="176" applyNumberFormat="1" applyFont="1" applyFill="1" applyBorder="1"/>
    <xf numFmtId="0" fontId="32" fillId="0" borderId="9" xfId="176" applyNumberFormat="1" applyFont="1" applyFill="1" applyBorder="1"/>
    <xf numFmtId="0" fontId="32" fillId="0" borderId="3" xfId="176" applyNumberFormat="1" applyFont="1" applyFill="1" applyBorder="1"/>
    <xf numFmtId="0" fontId="32" fillId="0" borderId="16" xfId="176" applyNumberFormat="1" applyFont="1" applyFill="1" applyBorder="1"/>
    <xf numFmtId="3" fontId="91" fillId="0" borderId="0" xfId="176" applyNumberFormat="1" applyFont="1" applyFill="1" applyBorder="1" applyAlignment="1"/>
    <xf numFmtId="3" fontId="27" fillId="0" borderId="8" xfId="176" applyNumberFormat="1" applyFont="1" applyFill="1" applyBorder="1" applyAlignment="1">
      <alignment horizontal="center" wrapText="1"/>
    </xf>
    <xf numFmtId="3" fontId="27" fillId="0" borderId="3" xfId="176" applyNumberFormat="1" applyFont="1" applyFill="1" applyBorder="1" applyAlignment="1">
      <alignment horizontal="center" wrapText="1"/>
    </xf>
    <xf numFmtId="0" fontId="27" fillId="0" borderId="3" xfId="176" applyNumberFormat="1" applyFont="1" applyFill="1" applyBorder="1" applyAlignment="1">
      <alignment horizontal="center" wrapText="1"/>
    </xf>
    <xf numFmtId="177" fontId="91" fillId="0" borderId="8" xfId="176" applyFont="1" applyFill="1" applyBorder="1" applyAlignment="1">
      <alignment horizontal="center" wrapText="1"/>
    </xf>
    <xf numFmtId="177" fontId="91" fillId="0" borderId="3" xfId="176" applyFont="1" applyFill="1" applyBorder="1" applyAlignment="1">
      <alignment horizontal="center" wrapText="1"/>
    </xf>
    <xf numFmtId="177" fontId="91" fillId="0" borderId="3" xfId="176" applyFont="1" applyFill="1" applyBorder="1" applyAlignment="1"/>
    <xf numFmtId="177" fontId="91" fillId="0" borderId="16" xfId="176" applyFont="1" applyFill="1" applyBorder="1" applyAlignment="1">
      <alignment horizontal="center" wrapText="1"/>
    </xf>
    <xf numFmtId="0" fontId="64" fillId="0" borderId="0" xfId="176" applyNumberFormat="1" applyFill="1" applyBorder="1" applyAlignment="1" applyProtection="1">
      <alignment horizontal="center"/>
      <protection locked="0"/>
    </xf>
    <xf numFmtId="0" fontId="27" fillId="0" borderId="0" xfId="176" applyNumberFormat="1" applyFont="1" applyFill="1" applyBorder="1" applyAlignment="1"/>
    <xf numFmtId="177" fontId="64" fillId="0" borderId="0" xfId="176" applyFill="1" applyBorder="1" applyAlignment="1">
      <alignment horizontal="right"/>
    </xf>
    <xf numFmtId="0" fontId="64" fillId="0" borderId="0" xfId="176" applyNumberFormat="1" applyFont="1" applyFill="1" applyBorder="1" applyAlignment="1">
      <alignment horizontal="center"/>
    </xf>
    <xf numFmtId="3" fontId="64" fillId="0" borderId="0" xfId="176" applyNumberFormat="1" applyFont="1" applyFill="1" applyBorder="1" applyAlignment="1">
      <alignment horizontal="center"/>
    </xf>
    <xf numFmtId="0" fontId="92" fillId="0" borderId="0" xfId="176" applyNumberFormat="1" applyFont="1" applyFill="1" applyBorder="1"/>
    <xf numFmtId="266" fontId="32" fillId="0" borderId="0" xfId="176" applyNumberFormat="1" applyFont="1" applyFill="1" applyBorder="1" applyAlignment="1">
      <alignment horizontal="center"/>
    </xf>
    <xf numFmtId="10" fontId="27" fillId="0" borderId="0" xfId="2" applyNumberFormat="1" applyFont="1" applyFill="1" applyBorder="1" applyAlignment="1"/>
    <xf numFmtId="3" fontId="27" fillId="0" borderId="0" xfId="176" applyNumberFormat="1" applyFont="1" applyFill="1" applyBorder="1" applyAlignment="1"/>
    <xf numFmtId="3" fontId="27" fillId="0" borderId="0" xfId="176" applyNumberFormat="1" applyFont="1" applyFill="1" applyBorder="1" applyAlignment="1">
      <alignment horizontal="center"/>
    </xf>
    <xf numFmtId="177" fontId="91" fillId="0" borderId="0" xfId="176" applyFont="1" applyFill="1" applyBorder="1" applyAlignment="1"/>
    <xf numFmtId="49" fontId="91" fillId="0" borderId="0" xfId="176" applyNumberFormat="1" applyFont="1" applyFill="1" applyBorder="1" applyAlignment="1">
      <alignment horizontal="center"/>
    </xf>
    <xf numFmtId="3" fontId="32" fillId="0" borderId="0" xfId="176" applyNumberFormat="1" applyFont="1" applyFill="1" applyBorder="1" applyAlignment="1">
      <alignment horizontal="center"/>
    </xf>
    <xf numFmtId="227" fontId="64" fillId="0" borderId="0" xfId="176" applyNumberFormat="1" applyFill="1" applyBorder="1" applyAlignment="1"/>
    <xf numFmtId="10" fontId="0" fillId="0" borderId="0" xfId="2" applyNumberFormat="1" applyFont="1" applyFill="1" applyBorder="1" applyAlignment="1"/>
    <xf numFmtId="3" fontId="32" fillId="14" borderId="0" xfId="176" applyNumberFormat="1" applyFont="1" applyFill="1" applyBorder="1" applyAlignment="1"/>
    <xf numFmtId="3" fontId="92" fillId="0" borderId="0" xfId="176" applyNumberFormat="1" applyFont="1" applyFill="1" applyBorder="1" applyAlignment="1"/>
    <xf numFmtId="0" fontId="64" fillId="0" borderId="0" xfId="176" applyNumberFormat="1" applyFont="1" applyFill="1" applyBorder="1" applyAlignment="1">
      <alignment horizontal="fill"/>
    </xf>
    <xf numFmtId="267" fontId="27" fillId="0" borderId="0" xfId="176" applyNumberFormat="1" applyFont="1" applyFill="1" applyBorder="1" applyAlignment="1"/>
    <xf numFmtId="0" fontId="27" fillId="0" borderId="0" xfId="176" applyNumberFormat="1" applyFont="1" applyFill="1" applyBorder="1" applyAlignment="1">
      <alignment horizontal="center"/>
    </xf>
    <xf numFmtId="0" fontId="93" fillId="0" borderId="0" xfId="176" applyNumberFormat="1" applyFont="1" applyFill="1" applyBorder="1" applyAlignment="1" applyProtection="1">
      <alignment horizontal="center"/>
      <protection locked="0"/>
    </xf>
    <xf numFmtId="0" fontId="91" fillId="0" borderId="0" xfId="176" applyNumberFormat="1" applyFont="1" applyFill="1" applyBorder="1" applyAlignment="1">
      <alignment horizontal="center"/>
    </xf>
    <xf numFmtId="0" fontId="27" fillId="0" borderId="0" xfId="176" applyNumberFormat="1" applyFont="1" applyFill="1" applyBorder="1" applyAlignment="1" applyProtection="1">
      <alignment horizontal="center"/>
      <protection locked="0"/>
    </xf>
    <xf numFmtId="177" fontId="27" fillId="0" borderId="0" xfId="176" applyFont="1" applyFill="1" applyBorder="1" applyAlignment="1">
      <alignment horizontal="center"/>
    </xf>
    <xf numFmtId="0" fontId="32" fillId="0" borderId="0" xfId="176" applyNumberFormat="1" applyFont="1" applyFill="1" applyBorder="1" applyAlignment="1">
      <alignment horizontal="center"/>
    </xf>
    <xf numFmtId="3" fontId="32" fillId="0" borderId="0" xfId="176" applyNumberFormat="1" applyFont="1" applyFill="1" applyBorder="1"/>
    <xf numFmtId="49" fontId="32" fillId="0" borderId="0" xfId="176" applyNumberFormat="1" applyFont="1" applyFill="1" applyBorder="1"/>
    <xf numFmtId="0" fontId="94" fillId="0" borderId="0" xfId="176" applyNumberFormat="1" applyFont="1" applyFill="1" applyBorder="1"/>
    <xf numFmtId="0" fontId="94" fillId="0" borderId="0" xfId="176" applyNumberFormat="1" applyFont="1" applyFill="1" applyBorder="1" applyAlignment="1">
      <alignment horizontal="center"/>
    </xf>
    <xf numFmtId="0" fontId="32" fillId="0" borderId="0" xfId="176" applyNumberFormat="1" applyFont="1" applyFill="1" applyBorder="1" applyProtection="1">
      <protection locked="0"/>
    </xf>
    <xf numFmtId="0" fontId="32" fillId="0" borderId="0" xfId="176" applyNumberFormat="1" applyFont="1" applyFill="1" applyBorder="1" applyAlignment="1" applyProtection="1">
      <protection locked="0"/>
    </xf>
    <xf numFmtId="0" fontId="20" fillId="14" borderId="0" xfId="176" applyNumberFormat="1" applyFont="1" applyFill="1" applyAlignment="1">
      <alignment horizontal="right"/>
    </xf>
    <xf numFmtId="0" fontId="32" fillId="0" borderId="0" xfId="176" applyNumberFormat="1" applyFont="1" applyFill="1" applyBorder="1" applyAlignment="1" applyProtection="1">
      <alignment horizontal="left"/>
      <protection locked="0"/>
    </xf>
    <xf numFmtId="0" fontId="16" fillId="0" borderId="0" xfId="3" applyFont="1"/>
    <xf numFmtId="177" fontId="64" fillId="0" borderId="0" xfId="176" applyFont="1" applyFill="1" applyBorder="1" applyAlignment="1">
      <alignment horizontal="left" indent="1"/>
    </xf>
    <xf numFmtId="177" fontId="64" fillId="0" borderId="0" xfId="176" applyFill="1" applyBorder="1" applyAlignment="1">
      <alignment horizontal="left" vertical="top" indent="1"/>
    </xf>
    <xf numFmtId="271" fontId="32" fillId="0" borderId="10" xfId="336" applyNumberFormat="1" applyFont="1" applyFill="1" applyBorder="1" applyAlignment="1"/>
    <xf numFmtId="0" fontId="32" fillId="0" borderId="3" xfId="176" quotePrefix="1" applyNumberFormat="1" applyFont="1" applyFill="1" applyBorder="1" applyAlignment="1">
      <alignment horizontal="center"/>
    </xf>
    <xf numFmtId="177" fontId="91" fillId="0" borderId="17" xfId="176" applyFont="1" applyFill="1" applyBorder="1" applyAlignment="1">
      <alignment horizontal="center" wrapText="1"/>
    </xf>
    <xf numFmtId="272" fontId="27" fillId="0" borderId="0" xfId="176" quotePrefix="1" applyNumberFormat="1" applyFont="1" applyFill="1" applyBorder="1" applyAlignment="1">
      <alignment horizontal="center"/>
    </xf>
    <xf numFmtId="0" fontId="64" fillId="0" borderId="0" xfId="176" quotePrefix="1" applyNumberFormat="1" applyFill="1" applyBorder="1" applyAlignment="1" applyProtection="1">
      <alignment horizontal="center"/>
      <protection locked="0"/>
    </xf>
    <xf numFmtId="164" fontId="32" fillId="14" borderId="0" xfId="1" applyNumberFormat="1" applyFont="1" applyFill="1" applyBorder="1" applyAlignment="1"/>
    <xf numFmtId="164" fontId="32" fillId="0" borderId="0" xfId="1" applyNumberFormat="1" applyFont="1" applyFill="1" applyBorder="1" applyAlignment="1"/>
    <xf numFmtId="10" fontId="91" fillId="0" borderId="0" xfId="2" applyNumberFormat="1" applyFont="1" applyFill="1" applyBorder="1" applyAlignment="1"/>
    <xf numFmtId="3" fontId="95" fillId="0" borderId="0" xfId="176" applyNumberFormat="1" applyFont="1" applyFill="1" applyBorder="1" applyAlignment="1"/>
    <xf numFmtId="164" fontId="32" fillId="14" borderId="2" xfId="1" applyNumberFormat="1" applyFont="1" applyFill="1" applyBorder="1" applyAlignment="1"/>
    <xf numFmtId="41" fontId="32" fillId="0" borderId="0" xfId="176" applyNumberFormat="1" applyFont="1" applyFill="1" applyBorder="1" applyAlignment="1"/>
    <xf numFmtId="0" fontId="25" fillId="0" borderId="0" xfId="375" applyFont="1">
      <alignment vertical="top"/>
    </xf>
    <xf numFmtId="0" fontId="96" fillId="0" borderId="0" xfId="3" applyFont="1"/>
    <xf numFmtId="0" fontId="96" fillId="0" borderId="0" xfId="3" applyFont="1" applyFill="1"/>
    <xf numFmtId="0" fontId="54" fillId="0" borderId="0" xfId="375" applyFont="1">
      <alignment vertical="top"/>
    </xf>
    <xf numFmtId="0" fontId="54" fillId="0" borderId="0" xfId="376" applyFont="1" applyFill="1" applyBorder="1">
      <alignment vertical="top"/>
    </xf>
    <xf numFmtId="0" fontId="16" fillId="0" borderId="0" xfId="375" applyFont="1">
      <alignment vertical="top"/>
    </xf>
    <xf numFmtId="0" fontId="54" fillId="0" borderId="2" xfId="376" applyFont="1" applyFill="1" applyBorder="1">
      <alignment vertical="top"/>
    </xf>
    <xf numFmtId="0" fontId="16" fillId="0" borderId="0" xfId="375" applyFont="1" applyAlignment="1">
      <alignment horizontal="center" vertical="top"/>
    </xf>
    <xf numFmtId="0" fontId="54" fillId="11" borderId="18" xfId="375" applyFont="1" applyFill="1" applyBorder="1">
      <alignment vertical="top"/>
    </xf>
    <xf numFmtId="0" fontId="16" fillId="0" borderId="18" xfId="4" quotePrefix="1" applyFont="1" applyFill="1" applyBorder="1" applyAlignment="1">
      <alignment horizontal="left"/>
    </xf>
    <xf numFmtId="3" fontId="16" fillId="16" borderId="9" xfId="336" applyNumberFormat="1" applyFont="1" applyFill="1" applyBorder="1" applyAlignment="1">
      <alignment horizontal="right" vertical="top"/>
    </xf>
    <xf numFmtId="3" fontId="16" fillId="0" borderId="9" xfId="336" applyNumberFormat="1" applyFont="1" applyFill="1" applyBorder="1" applyAlignment="1">
      <alignment horizontal="right" vertical="top"/>
    </xf>
    <xf numFmtId="3" fontId="16" fillId="16" borderId="10" xfId="336" applyNumberFormat="1" applyFont="1" applyFill="1" applyBorder="1" applyAlignment="1">
      <alignment horizontal="right" vertical="top"/>
    </xf>
    <xf numFmtId="0" fontId="54" fillId="11" borderId="10" xfId="375" applyFont="1" applyFill="1" applyBorder="1">
      <alignment vertical="top"/>
    </xf>
    <xf numFmtId="0" fontId="16" fillId="0" borderId="10" xfId="4" quotePrefix="1" applyFont="1" applyFill="1" applyBorder="1" applyAlignment="1">
      <alignment horizontal="left"/>
    </xf>
    <xf numFmtId="0" fontId="16" fillId="0" borderId="10" xfId="4" applyFont="1" applyFill="1" applyBorder="1"/>
    <xf numFmtId="0" fontId="54" fillId="11" borderId="14" xfId="375" applyFont="1" applyFill="1" applyBorder="1">
      <alignment vertical="top"/>
    </xf>
    <xf numFmtId="17" fontId="16" fillId="0" borderId="14" xfId="4" quotePrefix="1" applyNumberFormat="1" applyFont="1" applyFill="1" applyBorder="1"/>
    <xf numFmtId="0" fontId="54" fillId="11" borderId="0" xfId="375" applyFont="1" applyFill="1">
      <alignment vertical="top"/>
    </xf>
    <xf numFmtId="0" fontId="54" fillId="0" borderId="0" xfId="4" applyFont="1" applyBorder="1" applyAlignment="1">
      <alignment horizontal="right"/>
    </xf>
    <xf numFmtId="227" fontId="16" fillId="0" borderId="3" xfId="375" applyNumberFormat="1" applyFont="1" applyFill="1" applyBorder="1" applyAlignment="1">
      <alignment horizontal="right" vertical="top"/>
    </xf>
    <xf numFmtId="227" fontId="16" fillId="0" borderId="17" xfId="375" applyNumberFormat="1" applyFont="1" applyFill="1" applyBorder="1" applyAlignment="1">
      <alignment horizontal="right" vertical="top"/>
    </xf>
    <xf numFmtId="3" fontId="16" fillId="16" borderId="19" xfId="336" applyNumberFormat="1" applyFont="1" applyFill="1" applyBorder="1" applyAlignment="1">
      <alignment horizontal="right" vertical="top"/>
    </xf>
    <xf numFmtId="3" fontId="16" fillId="0" borderId="19" xfId="336" applyNumberFormat="1" applyFont="1" applyFill="1" applyBorder="1" applyAlignment="1">
      <alignment horizontal="right" vertical="top"/>
    </xf>
    <xf numFmtId="3" fontId="16" fillId="16" borderId="18" xfId="336" applyNumberFormat="1" applyFont="1" applyFill="1" applyBorder="1" applyAlignment="1">
      <alignment horizontal="right" vertical="top"/>
    </xf>
    <xf numFmtId="3" fontId="16" fillId="16" borderId="15" xfId="336" applyNumberFormat="1" applyFont="1" applyFill="1" applyBorder="1" applyAlignment="1">
      <alignment horizontal="right" vertical="top"/>
    </xf>
    <xf numFmtId="3" fontId="16" fillId="0" borderId="15" xfId="336" applyNumberFormat="1" applyFont="1" applyFill="1" applyBorder="1" applyAlignment="1">
      <alignment horizontal="right" vertical="top"/>
    </xf>
    <xf numFmtId="3" fontId="16" fillId="16" borderId="14" xfId="336" applyNumberFormat="1" applyFont="1" applyFill="1" applyBorder="1" applyAlignment="1">
      <alignment horizontal="right" vertical="top"/>
    </xf>
    <xf numFmtId="0" fontId="54" fillId="0" borderId="1" xfId="4" applyFont="1" applyBorder="1" applyAlignment="1">
      <alignment horizontal="right"/>
    </xf>
    <xf numFmtId="0" fontId="54" fillId="0" borderId="0" xfId="375" applyFont="1" applyFill="1">
      <alignment vertical="top"/>
    </xf>
    <xf numFmtId="0" fontId="54" fillId="0" borderId="0" xfId="4" applyFont="1" applyFill="1" applyAlignment="1">
      <alignment horizontal="right"/>
    </xf>
    <xf numFmtId="227" fontId="16" fillId="0" borderId="0" xfId="375" applyNumberFormat="1" applyFont="1" applyFill="1" applyBorder="1" applyAlignment="1">
      <alignment horizontal="right" vertical="top"/>
    </xf>
    <xf numFmtId="0" fontId="16" fillId="0" borderId="0" xfId="375" applyFont="1" applyFill="1" applyBorder="1" applyAlignment="1">
      <alignment horizontal="right" vertical="top"/>
    </xf>
    <xf numFmtId="0" fontId="16" fillId="11" borderId="0" xfId="4" applyFont="1" applyFill="1" applyAlignment="1">
      <alignment horizontal="right"/>
    </xf>
    <xf numFmtId="37" fontId="16" fillId="11" borderId="0" xfId="4" applyNumberFormat="1" applyFont="1" applyFill="1" applyBorder="1" applyAlignment="1">
      <alignment horizontal="right"/>
    </xf>
    <xf numFmtId="37" fontId="16" fillId="0" borderId="0" xfId="4" applyNumberFormat="1" applyFont="1" applyFill="1" applyBorder="1" applyAlignment="1">
      <alignment horizontal="right"/>
    </xf>
    <xf numFmtId="0" fontId="54" fillId="11" borderId="2" xfId="375" applyFont="1" applyFill="1" applyBorder="1">
      <alignment vertical="top"/>
    </xf>
    <xf numFmtId="0" fontId="16" fillId="11" borderId="2" xfId="4" applyFont="1" applyFill="1" applyBorder="1"/>
    <xf numFmtId="3" fontId="16" fillId="11" borderId="2" xfId="4" applyNumberFormat="1" applyFont="1" applyFill="1" applyBorder="1" applyAlignment="1">
      <alignment horizontal="right"/>
    </xf>
    <xf numFmtId="0" fontId="16" fillId="11" borderId="2" xfId="4" applyFont="1" applyFill="1" applyBorder="1" applyAlignment="1">
      <alignment horizontal="right"/>
    </xf>
    <xf numFmtId="0" fontId="16" fillId="0" borderId="2" xfId="4" applyFont="1" applyFill="1" applyBorder="1" applyAlignment="1">
      <alignment horizontal="right"/>
    </xf>
    <xf numFmtId="0" fontId="16" fillId="0" borderId="10" xfId="4" quotePrefix="1" applyFont="1" applyBorder="1" applyAlignment="1">
      <alignment horizontal="left"/>
    </xf>
    <xf numFmtId="0" fontId="54" fillId="11" borderId="1" xfId="375" applyFont="1" applyFill="1" applyBorder="1">
      <alignment vertical="top"/>
    </xf>
    <xf numFmtId="227" fontId="16" fillId="11" borderId="0" xfId="375" applyNumberFormat="1" applyFont="1" applyFill="1" applyBorder="1" applyAlignment="1">
      <alignment horizontal="right" vertical="top"/>
    </xf>
    <xf numFmtId="0" fontId="16" fillId="11" borderId="0" xfId="375" applyFont="1" applyFill="1" applyBorder="1" applyAlignment="1">
      <alignment horizontal="right" vertical="top"/>
    </xf>
    <xf numFmtId="0" fontId="16" fillId="11" borderId="2" xfId="3" applyFont="1" applyFill="1" applyBorder="1" applyAlignment="1">
      <alignment horizontal="right"/>
    </xf>
    <xf numFmtId="0" fontId="16" fillId="0" borderId="2" xfId="3" applyFont="1" applyFill="1" applyBorder="1" applyAlignment="1">
      <alignment horizontal="right"/>
    </xf>
    <xf numFmtId="0" fontId="54" fillId="0" borderId="18" xfId="3" applyFont="1" applyBorder="1"/>
    <xf numFmtId="0" fontId="16" fillId="0" borderId="18" xfId="375" applyFont="1" applyBorder="1">
      <alignment vertical="top"/>
    </xf>
    <xf numFmtId="0" fontId="16" fillId="0" borderId="14" xfId="375" applyFont="1" applyBorder="1">
      <alignment vertical="top"/>
    </xf>
    <xf numFmtId="0" fontId="54" fillId="0" borderId="0" xfId="4" applyFont="1" applyAlignment="1">
      <alignment horizontal="right"/>
    </xf>
    <xf numFmtId="227" fontId="16" fillId="0" borderId="16" xfId="375" applyNumberFormat="1" applyFont="1" applyFill="1" applyBorder="1" applyAlignment="1">
      <alignment horizontal="right" vertical="top"/>
    </xf>
    <xf numFmtId="227" fontId="16" fillId="0" borderId="8" xfId="375" applyNumberFormat="1" applyFont="1" applyFill="1" applyBorder="1" applyAlignment="1">
      <alignment horizontal="right" vertical="top"/>
    </xf>
    <xf numFmtId="0" fontId="16" fillId="0" borderId="0" xfId="3" applyFont="1" applyBorder="1"/>
    <xf numFmtId="0" fontId="16" fillId="0" borderId="0" xfId="3" applyFont="1" applyFill="1"/>
    <xf numFmtId="3" fontId="16" fillId="0" borderId="10" xfId="336" applyNumberFormat="1" applyFont="1" applyFill="1" applyBorder="1" applyAlignment="1">
      <alignment horizontal="right" vertical="top"/>
    </xf>
    <xf numFmtId="3" fontId="16" fillId="0" borderId="18" xfId="336" applyNumberFormat="1" applyFont="1" applyFill="1" applyBorder="1" applyAlignment="1">
      <alignment horizontal="right" vertical="top"/>
    </xf>
    <xf numFmtId="3" fontId="16" fillId="0" borderId="14" xfId="336" applyNumberFormat="1" applyFont="1" applyFill="1" applyBorder="1" applyAlignment="1">
      <alignment horizontal="right" vertical="top"/>
    </xf>
    <xf numFmtId="271" fontId="32" fillId="0" borderId="0" xfId="336" applyNumberFormat="1" applyFont="1" applyFill="1" applyBorder="1" applyAlignment="1"/>
    <xf numFmtId="0" fontId="32" fillId="0" borderId="3" xfId="176" applyNumberFormat="1" applyFont="1" applyFill="1" applyBorder="1" applyAlignment="1">
      <alignment vertical="top" wrapText="1"/>
    </xf>
    <xf numFmtId="0" fontId="32" fillId="0" borderId="3" xfId="176" quotePrefix="1" applyNumberFormat="1" applyFont="1" applyFill="1" applyBorder="1" applyAlignment="1">
      <alignment horizontal="center" vertical="top" wrapText="1"/>
    </xf>
    <xf numFmtId="0" fontId="32" fillId="0" borderId="3" xfId="176" applyNumberFormat="1" applyFont="1" applyFill="1" applyBorder="1" applyAlignment="1">
      <alignment horizontal="center" vertical="top" wrapText="1"/>
    </xf>
    <xf numFmtId="0" fontId="32" fillId="0" borderId="8" xfId="176" quotePrefix="1" applyNumberFormat="1" applyFont="1" applyFill="1" applyBorder="1" applyAlignment="1">
      <alignment horizontal="center" vertical="top" wrapText="1"/>
    </xf>
    <xf numFmtId="0" fontId="32" fillId="0" borderId="8" xfId="176" applyNumberFormat="1" applyFont="1" applyFill="1" applyBorder="1" applyAlignment="1">
      <alignment horizontal="center" vertical="top" wrapText="1"/>
    </xf>
    <xf numFmtId="3" fontId="32" fillId="0" borderId="3" xfId="176" applyNumberFormat="1" applyFont="1" applyFill="1" applyBorder="1" applyAlignment="1">
      <alignment horizontal="center" vertical="top" wrapText="1"/>
    </xf>
    <xf numFmtId="3" fontId="32" fillId="0" borderId="8" xfId="176" applyNumberFormat="1" applyFont="1" applyFill="1" applyBorder="1" applyAlignment="1">
      <alignment horizontal="center" vertical="top" wrapText="1"/>
    </xf>
    <xf numFmtId="49" fontId="32" fillId="14" borderId="0" xfId="176" applyNumberFormat="1" applyFont="1" applyFill="1" applyBorder="1" applyAlignment="1">
      <alignment horizontal="right"/>
    </xf>
    <xf numFmtId="0" fontId="33" fillId="0" borderId="0" xfId="3" applyFont="1"/>
    <xf numFmtId="177" fontId="64" fillId="0" borderId="0" xfId="176" applyFont="1" applyFill="1" applyBorder="1" applyAlignment="1">
      <alignment vertical="top"/>
    </xf>
    <xf numFmtId="0" fontId="64" fillId="0" borderId="0" xfId="176" applyNumberFormat="1" applyFont="1" applyFill="1" applyBorder="1" applyAlignment="1">
      <alignment horizontal="left" vertical="top" wrapText="1"/>
    </xf>
    <xf numFmtId="271" fontId="32" fillId="14" borderId="0" xfId="336" applyNumberFormat="1" applyFont="1" applyFill="1" applyBorder="1" applyAlignment="1">
      <alignment vertical="top"/>
    </xf>
    <xf numFmtId="271" fontId="64" fillId="0" borderId="10" xfId="92" applyNumberFormat="1" applyFont="1" applyFill="1" applyBorder="1" applyAlignment="1">
      <alignment vertical="top"/>
    </xf>
    <xf numFmtId="0" fontId="89" fillId="0" borderId="0" xfId="176" applyNumberFormat="1" applyFont="1" applyFill="1" applyBorder="1" applyAlignment="1">
      <alignment horizontal="center" vertical="top"/>
    </xf>
    <xf numFmtId="0" fontId="64" fillId="0" borderId="0" xfId="177" applyNumberFormat="1" applyFill="1" applyBorder="1" applyAlignment="1">
      <alignment horizontal="center" vertical="top"/>
    </xf>
    <xf numFmtId="3" fontId="32" fillId="0" borderId="0" xfId="379" applyNumberFormat="1" applyFont="1" applyFill="1" applyBorder="1" applyAlignment="1">
      <alignment horizontal="center"/>
    </xf>
    <xf numFmtId="177" fontId="89" fillId="0" borderId="0" xfId="379" applyFont="1" applyFill="1" applyBorder="1" applyAlignment="1"/>
    <xf numFmtId="10" fontId="27" fillId="0" borderId="0" xfId="379" applyNumberFormat="1" applyFont="1" applyFill="1" applyBorder="1" applyAlignment="1"/>
    <xf numFmtId="3" fontId="32" fillId="0" borderId="0" xfId="379" applyNumberFormat="1" applyFont="1" applyFill="1" applyBorder="1" applyAlignment="1"/>
    <xf numFmtId="177" fontId="32" fillId="0" borderId="0" xfId="379" applyFont="1" applyFill="1" applyBorder="1" applyAlignment="1"/>
    <xf numFmtId="10" fontId="32" fillId="0" borderId="0" xfId="379" applyNumberFormat="1" applyFont="1" applyFill="1" applyBorder="1" applyAlignment="1"/>
    <xf numFmtId="177" fontId="32" fillId="0" borderId="0" xfId="379" applyFont="1" applyFill="1" applyBorder="1" applyAlignment="1">
      <alignment horizontal="center"/>
    </xf>
    <xf numFmtId="49" fontId="64" fillId="0" borderId="0" xfId="379" applyNumberFormat="1" applyFont="1" applyFill="1" applyBorder="1" applyAlignment="1">
      <alignment horizontal="center"/>
    </xf>
    <xf numFmtId="49" fontId="20" fillId="0" borderId="0" xfId="379" applyNumberFormat="1" applyFont="1" applyFill="1" applyBorder="1" applyAlignment="1">
      <alignment horizontal="center"/>
    </xf>
    <xf numFmtId="177" fontId="20" fillId="0" borderId="0" xfId="379" applyFont="1" applyFill="1" applyBorder="1" applyAlignment="1"/>
    <xf numFmtId="49" fontId="20" fillId="0" borderId="0" xfId="379" applyNumberFormat="1" applyFont="1" applyFill="1" applyBorder="1" applyAlignment="1">
      <alignment horizontal="left"/>
    </xf>
    <xf numFmtId="0" fontId="20" fillId="0" borderId="0" xfId="379" applyNumberFormat="1" applyFont="1" applyFill="1" applyBorder="1" applyAlignment="1">
      <alignment horizontal="right"/>
    </xf>
    <xf numFmtId="177" fontId="64" fillId="0" borderId="0" xfId="379" applyFont="1" applyFill="1" applyBorder="1" applyAlignment="1"/>
    <xf numFmtId="177" fontId="64" fillId="0" borderId="0" xfId="379" applyFont="1" applyFill="1" applyBorder="1" applyAlignment="1">
      <alignment horizontal="center"/>
    </xf>
    <xf numFmtId="177" fontId="64" fillId="0" borderId="0" xfId="379" applyFont="1" applyFill="1" applyBorder="1" applyAlignment="1">
      <alignment horizontal="center" vertical="top"/>
    </xf>
    <xf numFmtId="227" fontId="32" fillId="0" borderId="0" xfId="379" applyNumberFormat="1" applyFont="1" applyFill="1" applyBorder="1" applyAlignment="1"/>
    <xf numFmtId="177" fontId="16" fillId="0" borderId="0" xfId="379" applyFont="1" applyFill="1" applyBorder="1" applyAlignment="1"/>
    <xf numFmtId="0" fontId="32" fillId="0" borderId="0" xfId="379" applyNumberFormat="1" applyFont="1" applyFill="1" applyBorder="1" applyAlignment="1"/>
    <xf numFmtId="49" fontId="32" fillId="0" borderId="0" xfId="379" applyNumberFormat="1" applyFont="1" applyFill="1" applyBorder="1" applyAlignment="1">
      <alignment horizontal="center"/>
    </xf>
    <xf numFmtId="3" fontId="32" fillId="0" borderId="10" xfId="379" applyNumberFormat="1" applyFont="1" applyFill="1" applyBorder="1" applyAlignment="1"/>
    <xf numFmtId="271" fontId="32" fillId="14" borderId="0" xfId="336" applyNumberFormat="1" applyFont="1" applyFill="1" applyBorder="1" applyAlignment="1"/>
    <xf numFmtId="0" fontId="64" fillId="0" borderId="0" xfId="379" applyNumberFormat="1" applyFont="1" applyFill="1" applyBorder="1" applyAlignment="1"/>
    <xf numFmtId="3" fontId="64" fillId="0" borderId="0" xfId="379" applyNumberFormat="1" applyFont="1" applyFill="1" applyBorder="1" applyAlignment="1"/>
    <xf numFmtId="0" fontId="64" fillId="0" borderId="0" xfId="379" applyNumberFormat="1" applyFont="1" applyFill="1" applyBorder="1"/>
    <xf numFmtId="0" fontId="32" fillId="0" borderId="10" xfId="379" applyNumberFormat="1" applyFont="1" applyFill="1" applyBorder="1"/>
    <xf numFmtId="0" fontId="32" fillId="0" borderId="0" xfId="379" applyNumberFormat="1" applyFont="1" applyFill="1" applyBorder="1"/>
    <xf numFmtId="0" fontId="32" fillId="0" borderId="9" xfId="379" applyNumberFormat="1" applyFont="1" applyFill="1" applyBorder="1"/>
    <xf numFmtId="3" fontId="32" fillId="0" borderId="8" xfId="379" applyNumberFormat="1" applyFont="1" applyFill="1" applyBorder="1" applyAlignment="1">
      <alignment horizontal="center" wrapText="1"/>
    </xf>
    <xf numFmtId="3" fontId="32" fillId="0" borderId="3" xfId="379" applyNumberFormat="1" applyFont="1" applyFill="1" applyBorder="1" applyAlignment="1">
      <alignment horizontal="center"/>
    </xf>
    <xf numFmtId="0" fontId="32" fillId="0" borderId="8" xfId="379" applyNumberFormat="1" applyFont="1" applyFill="1" applyBorder="1" applyAlignment="1">
      <alignment horizontal="center"/>
    </xf>
    <xf numFmtId="0" fontId="32" fillId="0" borderId="3" xfId="379" applyNumberFormat="1" applyFont="1" applyFill="1" applyBorder="1" applyAlignment="1">
      <alignment horizontal="center"/>
    </xf>
    <xf numFmtId="0" fontId="32" fillId="0" borderId="3" xfId="379" applyNumberFormat="1" applyFont="1" applyFill="1" applyBorder="1"/>
    <xf numFmtId="0" fontId="32" fillId="0" borderId="16" xfId="379" applyNumberFormat="1" applyFont="1" applyFill="1" applyBorder="1"/>
    <xf numFmtId="3" fontId="91" fillId="0" borderId="0" xfId="379" applyNumberFormat="1" applyFont="1" applyFill="1" applyBorder="1" applyAlignment="1"/>
    <xf numFmtId="3" fontId="27" fillId="0" borderId="8" xfId="379" applyNumberFormat="1" applyFont="1" applyFill="1" applyBorder="1" applyAlignment="1">
      <alignment horizontal="center" wrapText="1"/>
    </xf>
    <xf numFmtId="3" fontId="27" fillId="0" borderId="3" xfId="379" applyNumberFormat="1" applyFont="1" applyFill="1" applyBorder="1" applyAlignment="1">
      <alignment horizontal="center" wrapText="1"/>
    </xf>
    <xf numFmtId="0" fontId="27" fillId="0" borderId="3" xfId="379" applyNumberFormat="1" applyFont="1" applyFill="1" applyBorder="1" applyAlignment="1">
      <alignment horizontal="center" wrapText="1"/>
    </xf>
    <xf numFmtId="177" fontId="91" fillId="0" borderId="8" xfId="379" applyFont="1" applyFill="1" applyBorder="1" applyAlignment="1">
      <alignment horizontal="center" wrapText="1"/>
    </xf>
    <xf numFmtId="177" fontId="91" fillId="0" borderId="3" xfId="379" applyFont="1" applyFill="1" applyBorder="1" applyAlignment="1">
      <alignment horizontal="center" wrapText="1"/>
    </xf>
    <xf numFmtId="177" fontId="91" fillId="0" borderId="3" xfId="379" applyFont="1" applyFill="1" applyBorder="1" applyAlignment="1"/>
    <xf numFmtId="177" fontId="91" fillId="0" borderId="16" xfId="379" applyFont="1" applyFill="1" applyBorder="1" applyAlignment="1">
      <alignment horizontal="center" wrapText="1"/>
    </xf>
    <xf numFmtId="272" fontId="27" fillId="0" borderId="0" xfId="379" applyNumberFormat="1" applyFont="1" applyFill="1" applyBorder="1" applyAlignment="1">
      <alignment horizontal="center"/>
    </xf>
    <xf numFmtId="0" fontId="27" fillId="0" borderId="0" xfId="379" applyNumberFormat="1" applyFont="1" applyFill="1" applyBorder="1" applyAlignment="1"/>
    <xf numFmtId="177" fontId="32" fillId="0" borderId="0" xfId="379" applyFont="1" applyFill="1" applyBorder="1" applyAlignment="1">
      <alignment horizontal="right"/>
    </xf>
    <xf numFmtId="0" fontId="64" fillId="0" borderId="0" xfId="379" applyNumberFormat="1" applyFont="1" applyFill="1" applyBorder="1" applyAlignment="1">
      <alignment horizontal="center"/>
    </xf>
    <xf numFmtId="3" fontId="64" fillId="0" borderId="0" xfId="379" applyNumberFormat="1" applyFont="1" applyFill="1" applyBorder="1" applyAlignment="1">
      <alignment horizontal="center"/>
    </xf>
    <xf numFmtId="0" fontId="64" fillId="0" borderId="0" xfId="379" applyNumberFormat="1" applyFont="1" applyFill="1" applyBorder="1" applyAlignment="1">
      <alignment horizontal="right"/>
    </xf>
    <xf numFmtId="266" fontId="32" fillId="0" borderId="0" xfId="379" applyNumberFormat="1" applyFont="1" applyFill="1" applyBorder="1" applyAlignment="1">
      <alignment horizontal="center"/>
    </xf>
    <xf numFmtId="3" fontId="27" fillId="0" borderId="0" xfId="379" applyNumberFormat="1" applyFont="1" applyFill="1" applyBorder="1" applyAlignment="1"/>
    <xf numFmtId="3" fontId="27" fillId="0" borderId="0" xfId="379" applyNumberFormat="1" applyFont="1" applyFill="1" applyBorder="1" applyAlignment="1">
      <alignment horizontal="center"/>
    </xf>
    <xf numFmtId="177" fontId="91" fillId="0" borderId="0" xfId="379" applyFont="1" applyFill="1" applyBorder="1" applyAlignment="1"/>
    <xf numFmtId="49" fontId="91" fillId="0" borderId="0" xfId="379" applyNumberFormat="1" applyFont="1" applyFill="1" applyBorder="1" applyAlignment="1">
      <alignment horizontal="center"/>
    </xf>
    <xf numFmtId="0" fontId="27" fillId="0" borderId="0" xfId="379" applyNumberFormat="1" applyFont="1" applyFill="1" applyBorder="1" applyAlignment="1">
      <alignment horizontal="center"/>
    </xf>
    <xf numFmtId="0" fontId="93" fillId="0" borderId="0" xfId="379" applyNumberFormat="1" applyFont="1" applyFill="1" applyBorder="1" applyAlignment="1" applyProtection="1">
      <alignment horizontal="center"/>
      <protection locked="0"/>
    </xf>
    <xf numFmtId="0" fontId="27" fillId="0" borderId="0" xfId="379" applyNumberFormat="1" applyFont="1" applyFill="1" applyBorder="1" applyAlignment="1" applyProtection="1">
      <alignment horizontal="center"/>
      <protection locked="0"/>
    </xf>
    <xf numFmtId="177" fontId="27" fillId="0" borderId="0" xfId="379" applyFont="1" applyFill="1" applyBorder="1" applyAlignment="1">
      <alignment horizontal="center"/>
    </xf>
    <xf numFmtId="0" fontId="32" fillId="0" borderId="0" xfId="379" applyNumberFormat="1" applyFont="1" applyFill="1" applyBorder="1" applyAlignment="1">
      <alignment horizontal="center"/>
    </xf>
    <xf numFmtId="3" fontId="32" fillId="0" borderId="0" xfId="379" applyNumberFormat="1" applyFont="1" applyFill="1" applyBorder="1"/>
    <xf numFmtId="49" fontId="32" fillId="0" borderId="0" xfId="379" applyNumberFormat="1" applyFont="1" applyFill="1" applyBorder="1"/>
    <xf numFmtId="0" fontId="32" fillId="0" borderId="0" xfId="379" applyNumberFormat="1" applyFont="1" applyFill="1" applyBorder="1" applyProtection="1">
      <protection locked="0"/>
    </xf>
    <xf numFmtId="0" fontId="32" fillId="0" borderId="0" xfId="379" applyNumberFormat="1" applyFont="1" applyFill="1" applyBorder="1" applyAlignment="1" applyProtection="1">
      <protection locked="0"/>
    </xf>
    <xf numFmtId="0" fontId="32" fillId="0" borderId="0" xfId="379" applyNumberFormat="1" applyFont="1" applyFill="1" applyBorder="1" applyAlignment="1" applyProtection="1">
      <alignment horizontal="left"/>
      <protection locked="0"/>
    </xf>
    <xf numFmtId="177" fontId="64" fillId="0" borderId="0" xfId="379" applyFill="1" applyBorder="1" applyAlignment="1">
      <alignment vertical="top"/>
    </xf>
    <xf numFmtId="273" fontId="32" fillId="0" borderId="0" xfId="379" applyNumberFormat="1" applyFont="1" applyFill="1" applyBorder="1" applyAlignment="1"/>
    <xf numFmtId="0" fontId="32" fillId="2" borderId="0" xfId="379" applyNumberFormat="1" applyFont="1" applyFill="1" applyBorder="1"/>
    <xf numFmtId="49" fontId="32" fillId="2" borderId="0" xfId="379" applyNumberFormat="1" applyFont="1" applyFill="1" applyBorder="1" applyAlignment="1">
      <alignment horizontal="center"/>
    </xf>
    <xf numFmtId="177" fontId="32" fillId="0" borderId="29" xfId="176" applyFont="1" applyFill="1" applyBorder="1" applyAlignment="1"/>
    <xf numFmtId="227" fontId="32" fillId="0" borderId="0" xfId="176" applyNumberFormat="1" applyFont="1" applyFill="1" applyBorder="1" applyAlignment="1"/>
    <xf numFmtId="177" fontId="89" fillId="0" borderId="14" xfId="176" applyFont="1" applyFill="1" applyBorder="1" applyAlignment="1"/>
    <xf numFmtId="177" fontId="89" fillId="0" borderId="2" xfId="176" applyFont="1" applyFill="1" applyBorder="1" applyAlignment="1"/>
    <xf numFmtId="177" fontId="64" fillId="0" borderId="2" xfId="176" applyFill="1" applyBorder="1" applyAlignment="1"/>
    <xf numFmtId="177" fontId="64" fillId="0" borderId="15" xfId="176" applyFill="1" applyBorder="1" applyAlignment="1"/>
    <xf numFmtId="177" fontId="64" fillId="0" borderId="9" xfId="176" applyFont="1" applyFill="1" applyBorder="1" applyAlignment="1"/>
    <xf numFmtId="177" fontId="64" fillId="0" borderId="0" xfId="176" applyFont="1" applyFill="1" applyBorder="1" applyAlignment="1">
      <alignment horizontal="left" wrapText="1"/>
    </xf>
    <xf numFmtId="177" fontId="64" fillId="0" borderId="0" xfId="176" applyFill="1" applyBorder="1" applyAlignment="1">
      <alignment horizontal="left" vertical="top" wrapText="1"/>
    </xf>
    <xf numFmtId="177" fontId="64" fillId="0" borderId="0" xfId="176" applyFont="1" applyFill="1" applyBorder="1" applyAlignment="1">
      <alignment horizontal="left" vertical="top" wrapText="1"/>
    </xf>
    <xf numFmtId="177" fontId="89" fillId="0" borderId="0" xfId="176" applyFont="1" applyFill="1" applyBorder="1" applyAlignment="1">
      <alignment horizontal="center"/>
    </xf>
    <xf numFmtId="0" fontId="64" fillId="0" borderId="0" xfId="176" applyNumberFormat="1" applyFont="1" applyFill="1" applyBorder="1" applyAlignment="1" applyProtection="1">
      <alignment horizontal="center"/>
      <protection locked="0"/>
    </xf>
    <xf numFmtId="0" fontId="32" fillId="0" borderId="0" xfId="423" applyNumberFormat="1" applyFont="1" applyFill="1" applyBorder="1"/>
    <xf numFmtId="49" fontId="32" fillId="0" borderId="0" xfId="176" applyNumberFormat="1" applyFont="1" applyFill="1" applyBorder="1" applyAlignment="1">
      <alignment horizontal="centerContinuous"/>
    </xf>
    <xf numFmtId="49" fontId="32" fillId="2" borderId="0" xfId="176" applyNumberFormat="1" applyFont="1" applyFill="1" applyBorder="1" applyAlignment="1">
      <alignment horizontal="right"/>
    </xf>
    <xf numFmtId="164" fontId="32" fillId="0" borderId="0" xfId="1" applyNumberFormat="1" applyFont="1" applyFill="1" applyBorder="1" applyAlignment="1">
      <alignment horizontal="right"/>
    </xf>
    <xf numFmtId="177" fontId="64" fillId="0" borderId="0" xfId="176" applyFont="1" applyFill="1" applyBorder="1" applyAlignment="1">
      <alignment horizontal="right"/>
    </xf>
    <xf numFmtId="271" fontId="64" fillId="14" borderId="0" xfId="92" applyNumberFormat="1" applyFont="1" applyFill="1" applyBorder="1" applyAlignment="1">
      <alignment vertical="top"/>
    </xf>
    <xf numFmtId="271" fontId="32" fillId="14" borderId="0" xfId="92" applyNumberFormat="1" applyFont="1" applyFill="1" applyBorder="1" applyAlignment="1">
      <alignment vertical="top"/>
    </xf>
    <xf numFmtId="0" fontId="64" fillId="0" borderId="0" xfId="177" applyNumberFormat="1" applyFill="1" applyBorder="1" applyAlignment="1">
      <alignment horizontal="left" vertical="top" wrapText="1"/>
    </xf>
    <xf numFmtId="10" fontId="32" fillId="0" borderId="0" xfId="2" applyNumberFormat="1" applyFont="1" applyFill="1" applyBorder="1" applyAlignment="1">
      <alignment vertical="top"/>
    </xf>
    <xf numFmtId="177" fontId="89" fillId="0" borderId="2" xfId="379" applyFont="1" applyFill="1" applyBorder="1" applyAlignment="1">
      <alignment vertical="top"/>
    </xf>
    <xf numFmtId="177" fontId="89" fillId="0" borderId="14" xfId="379" applyFont="1" applyFill="1" applyBorder="1" applyAlignment="1">
      <alignment vertical="top"/>
    </xf>
    <xf numFmtId="3" fontId="16" fillId="0" borderId="0" xfId="375" applyNumberFormat="1" applyFont="1" applyAlignment="1">
      <alignment horizontal="center" vertical="top"/>
    </xf>
    <xf numFmtId="1" fontId="64" fillId="0" borderId="0" xfId="379" applyNumberFormat="1" applyFill="1" applyBorder="1" applyAlignment="1">
      <alignment horizontal="center"/>
    </xf>
    <xf numFmtId="0" fontId="64" fillId="0" borderId="0" xfId="176" applyNumberFormat="1" applyFont="1" applyFill="1" applyBorder="1" applyAlignment="1">
      <alignment horizontal="center" vertical="top" wrapText="1"/>
    </xf>
    <xf numFmtId="0" fontId="16" fillId="0" borderId="0" xfId="3" applyFont="1" applyAlignment="1">
      <alignment horizontal="center"/>
    </xf>
    <xf numFmtId="3" fontId="32" fillId="2" borderId="0" xfId="379" applyNumberFormat="1" applyFont="1" applyFill="1" applyBorder="1" applyAlignment="1"/>
    <xf numFmtId="0" fontId="32" fillId="0" borderId="3" xfId="176" applyNumberFormat="1" applyFont="1" applyFill="1" applyBorder="1" applyAlignment="1">
      <alignment horizontal="center" wrapText="1"/>
    </xf>
    <xf numFmtId="0" fontId="20" fillId="0" borderId="29" xfId="178" applyNumberFormat="1" applyFont="1" applyBorder="1" applyAlignment="1" applyProtection="1">
      <alignment horizontal="center"/>
      <protection locked="0"/>
    </xf>
    <xf numFmtId="38" fontId="20" fillId="14" borderId="29" xfId="178" applyNumberFormat="1" applyFont="1" applyFill="1" applyBorder="1" applyProtection="1">
      <protection locked="0"/>
    </xf>
    <xf numFmtId="0" fontId="20" fillId="0" borderId="29" xfId="178" applyNumberFormat="1" applyFont="1" applyBorder="1"/>
    <xf numFmtId="177" fontId="20" fillId="0" borderId="29" xfId="178" applyFont="1" applyBorder="1" applyAlignment="1"/>
    <xf numFmtId="231" fontId="20" fillId="0" borderId="29" xfId="178" applyNumberFormat="1" applyFont="1" applyBorder="1" applyAlignment="1"/>
    <xf numFmtId="3" fontId="20" fillId="0" borderId="29" xfId="178" applyNumberFormat="1" applyFont="1" applyBorder="1" applyAlignment="1">
      <alignment horizontal="center"/>
    </xf>
    <xf numFmtId="3" fontId="20" fillId="14" borderId="29" xfId="178" applyNumberFormat="1" applyFont="1" applyFill="1" applyBorder="1" applyAlignment="1">
      <alignment horizontal="center"/>
    </xf>
    <xf numFmtId="3" fontId="20" fillId="14" borderId="29" xfId="178" applyNumberFormat="1" applyFont="1" applyFill="1" applyBorder="1" applyAlignment="1"/>
    <xf numFmtId="3" fontId="20" fillId="0" borderId="29" xfId="178" applyNumberFormat="1" applyFont="1" applyBorder="1" applyAlignment="1"/>
    <xf numFmtId="0" fontId="20" fillId="0" borderId="29" xfId="178" applyNumberFormat="1" applyFont="1" applyBorder="1" applyAlignment="1"/>
    <xf numFmtId="0" fontId="20" fillId="0" borderId="29" xfId="178" applyNumberFormat="1" applyFont="1" applyFill="1" applyBorder="1"/>
    <xf numFmtId="0" fontId="20" fillId="0" borderId="29" xfId="178" applyNumberFormat="1" applyFont="1" applyFill="1" applyBorder="1" applyProtection="1">
      <protection locked="0"/>
    </xf>
    <xf numFmtId="3" fontId="20" fillId="14" borderId="29" xfId="178" applyNumberFormat="1" applyFont="1" applyFill="1" applyBorder="1"/>
    <xf numFmtId="0" fontId="20" fillId="0" borderId="29" xfId="178" applyNumberFormat="1" applyFont="1" applyBorder="1" applyAlignment="1" applyProtection="1">
      <alignment horizontal="centerContinuous"/>
      <protection locked="0"/>
    </xf>
    <xf numFmtId="177" fontId="32" fillId="0" borderId="29" xfId="379" applyFont="1" applyFill="1" applyBorder="1" applyAlignment="1"/>
    <xf numFmtId="177" fontId="64" fillId="0" borderId="2" xfId="379" applyFont="1" applyFill="1" applyBorder="1" applyAlignment="1">
      <alignment vertical="top"/>
    </xf>
    <xf numFmtId="177" fontId="64" fillId="0" borderId="15" xfId="379" applyFont="1" applyFill="1" applyBorder="1" applyAlignment="1">
      <alignment vertical="top"/>
    </xf>
    <xf numFmtId="271" fontId="32" fillId="0" borderId="0" xfId="92" applyNumberFormat="1" applyFont="1" applyFill="1" applyBorder="1" applyAlignment="1">
      <alignment vertical="top"/>
    </xf>
    <xf numFmtId="271" fontId="64" fillId="0" borderId="0" xfId="92" applyNumberFormat="1" applyFont="1" applyFill="1" applyBorder="1" applyAlignment="1">
      <alignment vertical="top"/>
    </xf>
    <xf numFmtId="0" fontId="64" fillId="0" borderId="0" xfId="177" applyNumberFormat="1" applyFont="1" applyFill="1" applyBorder="1" applyAlignment="1">
      <alignment horizontal="center" vertical="top"/>
    </xf>
    <xf numFmtId="0" fontId="64" fillId="0" borderId="0" xfId="177" applyNumberFormat="1" applyFont="1" applyFill="1" applyBorder="1" applyAlignment="1">
      <alignment horizontal="left" vertical="top" wrapText="1"/>
    </xf>
    <xf numFmtId="177" fontId="64" fillId="0" borderId="0" xfId="379" applyFont="1" applyFill="1" applyBorder="1" applyAlignment="1">
      <alignment vertical="top"/>
    </xf>
    <xf numFmtId="177" fontId="64" fillId="0" borderId="9" xfId="379" applyFont="1" applyFill="1" applyBorder="1" applyAlignment="1">
      <alignment vertical="top"/>
    </xf>
    <xf numFmtId="0" fontId="32" fillId="0" borderId="8" xfId="379" applyNumberFormat="1" applyFont="1" applyFill="1" applyBorder="1" applyAlignment="1">
      <alignment horizontal="center" wrapText="1"/>
    </xf>
    <xf numFmtId="0" fontId="64" fillId="0" borderId="0" xfId="379" applyNumberFormat="1" applyFont="1" applyFill="1" applyBorder="1" applyAlignment="1" applyProtection="1">
      <alignment horizontal="center"/>
      <protection locked="0"/>
    </xf>
    <xf numFmtId="177" fontId="20" fillId="0" borderId="0" xfId="379" applyFont="1" applyFill="1" applyBorder="1" applyAlignment="1">
      <alignment horizontal="right"/>
    </xf>
    <xf numFmtId="177" fontId="64" fillId="0" borderId="0" xfId="379" applyFont="1" applyFill="1" applyBorder="1" applyAlignment="1">
      <alignment horizontal="right"/>
    </xf>
    <xf numFmtId="49" fontId="64" fillId="0" borderId="0" xfId="379" applyNumberFormat="1" applyFont="1" applyFill="1" applyBorder="1" applyAlignment="1">
      <alignment horizontal="left"/>
    </xf>
    <xf numFmtId="10" fontId="114" fillId="0" borderId="0" xfId="2" applyNumberFormat="1" applyFont="1" applyFill="1" applyBorder="1" applyAlignment="1"/>
    <xf numFmtId="3" fontId="32" fillId="0" borderId="1" xfId="176" applyNumberFormat="1" applyFont="1" applyFill="1" applyBorder="1" applyAlignment="1"/>
    <xf numFmtId="177" fontId="64" fillId="2" borderId="0" xfId="379" applyFont="1" applyFill="1" applyBorder="1" applyAlignment="1"/>
    <xf numFmtId="0" fontId="20" fillId="0" borderId="29" xfId="170" applyNumberFormat="1" applyFont="1" applyBorder="1"/>
    <xf numFmtId="0" fontId="20" fillId="0" borderId="29" xfId="170" quotePrefix="1" applyNumberFormat="1" applyFont="1" applyBorder="1" applyAlignment="1">
      <alignment horizontal="left"/>
    </xf>
    <xf numFmtId="0" fontId="20" fillId="0" borderId="0" xfId="170" quotePrefix="1" applyNumberFormat="1" applyFont="1" applyBorder="1" applyAlignment="1">
      <alignment horizontal="left"/>
    </xf>
    <xf numFmtId="3" fontId="115" fillId="0" borderId="0" xfId="178" applyNumberFormat="1" applyFont="1" applyAlignment="1"/>
    <xf numFmtId="0" fontId="20" fillId="0" borderId="29" xfId="170" applyNumberFormat="1" applyFont="1" applyBorder="1" applyAlignment="1">
      <alignment horizontal="center"/>
    </xf>
    <xf numFmtId="3" fontId="20" fillId="0" borderId="29" xfId="170" applyNumberFormat="1" applyFont="1" applyBorder="1" applyAlignment="1"/>
    <xf numFmtId="0" fontId="20" fillId="0" borderId="0" xfId="170" quotePrefix="1" applyNumberFormat="1" applyFont="1" applyAlignment="1">
      <alignment horizontal="left"/>
    </xf>
    <xf numFmtId="3" fontId="20" fillId="0" borderId="0" xfId="170" applyNumberFormat="1" applyFont="1"/>
    <xf numFmtId="3" fontId="116" fillId="14" borderId="0" xfId="178" applyNumberFormat="1" applyFont="1" applyFill="1" applyAlignment="1"/>
    <xf numFmtId="164" fontId="116" fillId="0" borderId="0" xfId="1" applyNumberFormat="1" applyFont="1" applyAlignment="1"/>
    <xf numFmtId="3" fontId="116" fillId="0" borderId="0" xfId="1" applyNumberFormat="1" applyFont="1" applyAlignment="1"/>
    <xf numFmtId="3" fontId="116" fillId="0" borderId="0" xfId="178" applyNumberFormat="1" applyFont="1" applyAlignment="1"/>
    <xf numFmtId="42" fontId="20" fillId="0" borderId="0" xfId="178" applyNumberFormat="1" applyFont="1"/>
    <xf numFmtId="42" fontId="20" fillId="0" borderId="0" xfId="178" applyNumberFormat="1" applyFont="1" applyFill="1"/>
    <xf numFmtId="1" fontId="64" fillId="0" borderId="0" xfId="379" applyNumberFormat="1" applyFill="1" applyBorder="1" applyAlignment="1">
      <alignment horizontal="center" vertical="top"/>
    </xf>
    <xf numFmtId="0" fontId="64" fillId="0" borderId="0" xfId="379" applyNumberFormat="1" applyFont="1" applyFill="1" applyBorder="1" applyAlignment="1">
      <alignment vertical="top"/>
    </xf>
    <xf numFmtId="0" fontId="64" fillId="0" borderId="0" xfId="379" applyNumberFormat="1" applyFont="1" applyFill="1" applyBorder="1" applyAlignment="1">
      <alignment horizontal="center" vertical="top"/>
    </xf>
    <xf numFmtId="49" fontId="32" fillId="0" borderId="0" xfId="379" applyNumberFormat="1" applyFont="1" applyFill="1" applyBorder="1" applyAlignment="1">
      <alignment horizontal="center" vertical="top"/>
    </xf>
    <xf numFmtId="0" fontId="91" fillId="0" borderId="0" xfId="379" applyNumberFormat="1" applyFont="1" applyFill="1" applyBorder="1" applyAlignment="1">
      <alignment horizontal="center" vertical="top"/>
    </xf>
    <xf numFmtId="3" fontId="64" fillId="0" borderId="0" xfId="379" applyNumberFormat="1" applyFont="1" applyFill="1" applyBorder="1" applyAlignment="1">
      <alignment vertical="top"/>
    </xf>
    <xf numFmtId="267" fontId="27" fillId="0" borderId="0" xfId="379" applyNumberFormat="1" applyFont="1" applyFill="1" applyBorder="1" applyAlignment="1">
      <alignment vertical="top"/>
    </xf>
    <xf numFmtId="3" fontId="32" fillId="0" borderId="0" xfId="379" applyNumberFormat="1" applyFont="1" applyFill="1" applyBorder="1" applyAlignment="1">
      <alignment vertical="top"/>
    </xf>
    <xf numFmtId="3" fontId="64" fillId="0" borderId="0" xfId="379" applyNumberFormat="1" applyFont="1" applyFill="1" applyBorder="1" applyAlignment="1">
      <alignment horizontal="center" vertical="top"/>
    </xf>
    <xf numFmtId="0" fontId="64" fillId="0" borderId="0" xfId="379" applyNumberFormat="1" applyFont="1" applyFill="1" applyBorder="1" applyAlignment="1">
      <alignment horizontal="fill" vertical="top"/>
    </xf>
    <xf numFmtId="227" fontId="64" fillId="0" borderId="0" xfId="379" applyNumberFormat="1" applyFont="1" applyFill="1" applyBorder="1" applyAlignment="1">
      <alignment vertical="top"/>
    </xf>
    <xf numFmtId="177" fontId="89" fillId="0" borderId="0" xfId="379" applyFont="1" applyFill="1" applyBorder="1" applyAlignment="1">
      <alignment vertical="top"/>
    </xf>
    <xf numFmtId="0" fontId="96" fillId="39" borderId="0" xfId="3" applyFont="1" applyFill="1"/>
    <xf numFmtId="0" fontId="16" fillId="39" borderId="0" xfId="375" applyFont="1" applyFill="1">
      <alignment vertical="top"/>
    </xf>
    <xf numFmtId="3" fontId="16" fillId="39" borderId="0" xfId="375" applyNumberFormat="1" applyFont="1" applyFill="1" applyAlignment="1">
      <alignment horizontal="center" vertical="top"/>
    </xf>
    <xf numFmtId="0" fontId="54" fillId="39" borderId="0" xfId="4" applyFont="1" applyFill="1" applyBorder="1" applyAlignment="1">
      <alignment horizontal="right"/>
    </xf>
    <xf numFmtId="0" fontId="54" fillId="39" borderId="0" xfId="4" applyFont="1" applyFill="1" applyAlignment="1">
      <alignment horizontal="right"/>
    </xf>
    <xf numFmtId="227" fontId="16" fillId="39" borderId="0" xfId="375" applyNumberFormat="1" applyFont="1" applyFill="1" applyBorder="1" applyAlignment="1">
      <alignment horizontal="right" vertical="top"/>
    </xf>
    <xf numFmtId="0" fontId="16" fillId="39" borderId="0" xfId="375" applyFont="1" applyFill="1" applyBorder="1" applyAlignment="1">
      <alignment horizontal="right" vertical="top"/>
    </xf>
    <xf numFmtId="0" fontId="16" fillId="39" borderId="0" xfId="4" applyFont="1" applyFill="1" applyAlignment="1">
      <alignment horizontal="right"/>
    </xf>
    <xf numFmtId="37" fontId="16" fillId="39" borderId="0" xfId="4" applyNumberFormat="1" applyFont="1" applyFill="1" applyBorder="1" applyAlignment="1">
      <alignment horizontal="right"/>
    </xf>
    <xf numFmtId="0" fontId="16" fillId="39" borderId="2" xfId="4" applyFont="1" applyFill="1" applyBorder="1"/>
    <xf numFmtId="3" fontId="16" fillId="39" borderId="2" xfId="4" applyNumberFormat="1" applyFont="1" applyFill="1" applyBorder="1" applyAlignment="1">
      <alignment horizontal="right"/>
    </xf>
    <xf numFmtId="0" fontId="16" fillId="39" borderId="2" xfId="4" applyFont="1" applyFill="1" applyBorder="1" applyAlignment="1">
      <alignment horizontal="right"/>
    </xf>
    <xf numFmtId="0" fontId="16" fillId="39" borderId="2" xfId="3" applyFont="1" applyFill="1" applyBorder="1" applyAlignment="1">
      <alignment horizontal="right"/>
    </xf>
    <xf numFmtId="0" fontId="25" fillId="39" borderId="0" xfId="375" applyFont="1" applyFill="1">
      <alignment vertical="top"/>
    </xf>
    <xf numFmtId="0" fontId="54" fillId="39" borderId="0" xfId="375" applyFont="1" applyFill="1">
      <alignment vertical="top"/>
    </xf>
    <xf numFmtId="0" fontId="54" fillId="39" borderId="0" xfId="376" applyFont="1" applyFill="1" applyBorder="1">
      <alignment vertical="top"/>
    </xf>
    <xf numFmtId="0" fontId="54" fillId="39" borderId="2" xfId="376" applyFont="1" applyFill="1" applyBorder="1">
      <alignment vertical="top"/>
    </xf>
    <xf numFmtId="3" fontId="20" fillId="0" borderId="0" xfId="170" applyNumberFormat="1" applyFont="1" applyFill="1" applyBorder="1" applyAlignment="1"/>
    <xf numFmtId="3" fontId="20" fillId="0" borderId="29" xfId="170" applyNumberFormat="1" applyFont="1" applyFill="1" applyBorder="1" applyAlignment="1"/>
    <xf numFmtId="227" fontId="20" fillId="2" borderId="0" xfId="178" applyNumberFormat="1" applyFont="1" applyFill="1" applyBorder="1" applyAlignment="1" applyProtection="1">
      <protection locked="0"/>
    </xf>
    <xf numFmtId="231" fontId="20" fillId="2" borderId="0" xfId="178" applyNumberFormat="1" applyFont="1" applyFill="1" applyAlignment="1"/>
    <xf numFmtId="0" fontId="117" fillId="0" borderId="0" xfId="433" applyAlignment="1">
      <alignment horizontal="center"/>
    </xf>
    <xf numFmtId="0" fontId="118" fillId="0" borderId="0" xfId="433" applyFont="1"/>
    <xf numFmtId="0" fontId="117" fillId="0" borderId="0" xfId="433"/>
    <xf numFmtId="0" fontId="119" fillId="0" borderId="0" xfId="433" applyFont="1"/>
    <xf numFmtId="0" fontId="117" fillId="2" borderId="0" xfId="433" applyFill="1" applyAlignment="1"/>
    <xf numFmtId="0" fontId="117" fillId="0" borderId="0" xfId="433" applyFill="1"/>
    <xf numFmtId="0" fontId="117" fillId="2" borderId="0" xfId="433" applyFill="1" applyAlignment="1">
      <alignment horizontal="center"/>
    </xf>
    <xf numFmtId="0" fontId="120" fillId="0" borderId="0" xfId="433" applyFont="1" applyAlignment="1">
      <alignment horizontal="center"/>
    </xf>
    <xf numFmtId="41" fontId="117" fillId="2" borderId="0" xfId="433" applyNumberFormat="1" applyFill="1"/>
    <xf numFmtId="41" fontId="117" fillId="0" borderId="1" xfId="433" applyNumberFormat="1" applyFill="1" applyBorder="1"/>
    <xf numFmtId="41" fontId="117" fillId="0" borderId="1" xfId="433" applyNumberFormat="1" applyBorder="1"/>
    <xf numFmtId="41" fontId="117" fillId="0" borderId="0" xfId="433" applyNumberFormat="1"/>
    <xf numFmtId="0" fontId="117" fillId="0" borderId="0" xfId="433" applyBorder="1" applyAlignment="1">
      <alignment horizontal="center"/>
    </xf>
    <xf numFmtId="0" fontId="117" fillId="0" borderId="2" xfId="433" applyBorder="1" applyAlignment="1">
      <alignment horizontal="center"/>
    </xf>
    <xf numFmtId="0" fontId="117" fillId="0" borderId="0" xfId="433" applyAlignment="1">
      <alignment horizontal="center" vertical="top"/>
    </xf>
    <xf numFmtId="0" fontId="117" fillId="0" borderId="0" xfId="433" quotePrefix="1" applyAlignment="1">
      <alignment horizontal="center"/>
    </xf>
    <xf numFmtId="41" fontId="117" fillId="0" borderId="0" xfId="433" applyNumberFormat="1" applyBorder="1"/>
    <xf numFmtId="0" fontId="117" fillId="0" borderId="0" xfId="433" applyBorder="1"/>
    <xf numFmtId="10" fontId="20" fillId="2" borderId="0" xfId="178" applyNumberFormat="1" applyFont="1" applyFill="1" applyProtection="1">
      <protection locked="0"/>
    </xf>
    <xf numFmtId="3" fontId="20" fillId="2" borderId="0" xfId="178" applyNumberFormat="1" applyFont="1" applyFill="1" applyAlignment="1"/>
    <xf numFmtId="3" fontId="20" fillId="2" borderId="29" xfId="178" applyNumberFormat="1" applyFont="1" applyFill="1" applyBorder="1" applyAlignment="1"/>
    <xf numFmtId="49" fontId="20" fillId="0" borderId="0" xfId="178" applyNumberFormat="1" applyFont="1" applyAlignment="1">
      <alignment horizontal="center"/>
    </xf>
    <xf numFmtId="177" fontId="20" fillId="0" borderId="0" xfId="178" applyFont="1" applyAlignment="1">
      <alignment horizontal="center"/>
    </xf>
    <xf numFmtId="0" fontId="16" fillId="39" borderId="0" xfId="3" applyFont="1" applyFill="1"/>
    <xf numFmtId="0" fontId="16" fillId="39" borderId="2" xfId="3" applyFont="1" applyFill="1" applyBorder="1" applyAlignment="1">
      <alignment horizontal="center"/>
    </xf>
    <xf numFmtId="0" fontId="63" fillId="39" borderId="0" xfId="375" applyFont="1" applyFill="1">
      <alignment vertical="top"/>
    </xf>
    <xf numFmtId="0" fontId="16" fillId="39" borderId="0" xfId="3" applyFont="1" applyFill="1" applyBorder="1"/>
    <xf numFmtId="0" fontId="16" fillId="39" borderId="2" xfId="3" applyFont="1" applyFill="1" applyBorder="1"/>
    <xf numFmtId="0" fontId="16" fillId="11" borderId="0" xfId="3" applyFont="1" applyFill="1"/>
    <xf numFmtId="164" fontId="33" fillId="0" borderId="0" xfId="1" applyNumberFormat="1" applyFont="1"/>
    <xf numFmtId="0" fontId="16" fillId="0" borderId="2" xfId="3" applyFont="1" applyFill="1" applyBorder="1" applyAlignment="1">
      <alignment horizontal="center"/>
    </xf>
    <xf numFmtId="0" fontId="63" fillId="0" borderId="0" xfId="375" applyFont="1">
      <alignment vertical="top"/>
    </xf>
    <xf numFmtId="0" fontId="16" fillId="0" borderId="2" xfId="3" applyFont="1" applyBorder="1"/>
    <xf numFmtId="0" fontId="122" fillId="15" borderId="0" xfId="4" applyFont="1" applyFill="1" applyAlignment="1"/>
    <xf numFmtId="1" fontId="123" fillId="15" borderId="0" xfId="374" applyNumberFormat="1" applyFont="1" applyFill="1" applyAlignment="1">
      <alignment horizontal="center" wrapText="1"/>
    </xf>
    <xf numFmtId="227" fontId="123" fillId="15" borderId="0" xfId="374" applyNumberFormat="1" applyFont="1" applyFill="1" applyAlignment="1">
      <alignment horizontal="center" wrapText="1"/>
    </xf>
    <xf numFmtId="3" fontId="123" fillId="15" borderId="0" xfId="374" applyNumberFormat="1" applyFont="1" applyFill="1" applyAlignment="1">
      <alignment horizontal="center" wrapText="1"/>
    </xf>
    <xf numFmtId="0" fontId="122" fillId="15" borderId="0" xfId="4" applyFont="1" applyFill="1" applyBorder="1" applyAlignment="1"/>
    <xf numFmtId="1" fontId="123" fillId="15" borderId="0" xfId="374" applyNumberFormat="1" applyFont="1" applyFill="1" applyBorder="1" applyAlignment="1">
      <alignment horizontal="center" wrapText="1"/>
    </xf>
    <xf numFmtId="227" fontId="123" fillId="15" borderId="0" xfId="374" applyNumberFormat="1" applyFont="1" applyFill="1" applyBorder="1" applyAlignment="1">
      <alignment horizontal="center" wrapText="1"/>
    </xf>
    <xf numFmtId="227" fontId="20" fillId="0" borderId="0" xfId="178" applyNumberFormat="1" applyFont="1" applyFill="1" applyBorder="1" applyAlignment="1" applyProtection="1">
      <protection locked="0"/>
    </xf>
    <xf numFmtId="227" fontId="20" fillId="0" borderId="29" xfId="170" applyNumberFormat="1" applyFont="1" applyFill="1" applyBorder="1" applyAlignment="1" applyProtection="1">
      <protection locked="0"/>
    </xf>
    <xf numFmtId="177" fontId="64" fillId="0" borderId="0" xfId="176" applyFont="1" applyFill="1" applyBorder="1" applyAlignment="1">
      <alignment horizontal="left" vertical="top" wrapText="1"/>
    </xf>
    <xf numFmtId="177" fontId="64" fillId="0" borderId="0" xfId="176" applyFont="1" applyFill="1" applyBorder="1" applyAlignment="1">
      <alignment horizontal="left" wrapText="1"/>
    </xf>
    <xf numFmtId="164" fontId="0" fillId="0" borderId="0" xfId="1" applyNumberFormat="1" applyFont="1"/>
    <xf numFmtId="164" fontId="16" fillId="0" borderId="0" xfId="1" applyNumberFormat="1" applyFont="1" applyFill="1"/>
    <xf numFmtId="164" fontId="0" fillId="0" borderId="0" xfId="0" applyNumberFormat="1" applyFill="1"/>
    <xf numFmtId="0" fontId="0" fillId="0" borderId="0" xfId="0" applyFill="1"/>
    <xf numFmtId="0" fontId="16" fillId="0" borderId="0" xfId="0" applyFont="1"/>
    <xf numFmtId="0" fontId="16" fillId="0" borderId="0" xfId="0" applyFont="1" applyFill="1"/>
    <xf numFmtId="0" fontId="16" fillId="0" borderId="0" xfId="428"/>
    <xf numFmtId="0" fontId="16" fillId="0" borderId="0" xfId="428" applyBorder="1"/>
    <xf numFmtId="0" fontId="124" fillId="0" borderId="0" xfId="428" applyFont="1" applyBorder="1"/>
    <xf numFmtId="0" fontId="16" fillId="0" borderId="0" xfId="428" applyAlignment="1">
      <alignment horizontal="center"/>
    </xf>
    <xf numFmtId="0" fontId="16" fillId="0" borderId="0" xfId="428" applyFill="1"/>
    <xf numFmtId="10" fontId="16" fillId="0" borderId="0" xfId="2" applyNumberFormat="1"/>
    <xf numFmtId="164" fontId="16" fillId="0" borderId="0" xfId="1" applyNumberFormat="1"/>
    <xf numFmtId="164" fontId="16" fillId="0" borderId="0" xfId="428" applyNumberFormat="1"/>
    <xf numFmtId="0" fontId="16" fillId="0" borderId="0" xfId="428" applyAlignment="1">
      <alignment horizontal="left"/>
    </xf>
    <xf numFmtId="275" fontId="16" fillId="0" borderId="0" xfId="428" applyNumberFormat="1" applyBorder="1"/>
    <xf numFmtId="0" fontId="16" fillId="0" borderId="0" xfId="428" quotePrefix="1" applyAlignment="1">
      <alignment horizontal="left"/>
    </xf>
    <xf numFmtId="164" fontId="16" fillId="0" borderId="0" xfId="1" applyNumberFormat="1" applyFill="1"/>
    <xf numFmtId="10" fontId="16" fillId="0" borderId="2" xfId="2" applyNumberFormat="1" applyBorder="1"/>
    <xf numFmtId="0" fontId="16" fillId="0" borderId="0" xfId="428" applyFont="1"/>
    <xf numFmtId="0" fontId="16" fillId="0" borderId="0" xfId="428" applyBorder="1" applyAlignment="1">
      <alignment horizontal="center"/>
    </xf>
    <xf numFmtId="266" fontId="16" fillId="0" borderId="0" xfId="2" quotePrefix="1" applyNumberFormat="1" applyFont="1" applyBorder="1"/>
    <xf numFmtId="266" fontId="16" fillId="0" borderId="0" xfId="2" quotePrefix="1" applyNumberFormat="1" applyFont="1"/>
    <xf numFmtId="0" fontId="129" fillId="0" borderId="0" xfId="428" applyFont="1"/>
    <xf numFmtId="0" fontId="128" fillId="0" borderId="0" xfId="428" applyFont="1" applyBorder="1" applyAlignment="1">
      <alignment horizontal="center"/>
    </xf>
    <xf numFmtId="274" fontId="16" fillId="0" borderId="0" xfId="2" applyNumberFormat="1" applyBorder="1"/>
    <xf numFmtId="9" fontId="16" fillId="0" borderId="13" xfId="2" applyBorder="1"/>
    <xf numFmtId="274" fontId="16" fillId="0" borderId="0" xfId="428" applyNumberFormat="1" applyBorder="1"/>
    <xf numFmtId="0" fontId="16" fillId="0" borderId="0" xfId="428" applyBorder="1" applyAlignment="1">
      <alignment horizontal="center" wrapText="1"/>
    </xf>
    <xf numFmtId="266" fontId="16" fillId="0" borderId="0" xfId="428" applyNumberFormat="1" applyBorder="1" applyAlignment="1">
      <alignment horizontal="center" wrapText="1"/>
    </xf>
    <xf numFmtId="266" fontId="16" fillId="0" borderId="0" xfId="428" applyNumberFormat="1" applyBorder="1"/>
    <xf numFmtId="10" fontId="16" fillId="0" borderId="0" xfId="428" applyNumberFormat="1" applyBorder="1" applyProtection="1">
      <protection locked="0"/>
    </xf>
    <xf numFmtId="275" fontId="16" fillId="0" borderId="0" xfId="428" applyNumberFormat="1" applyProtection="1">
      <protection locked="0"/>
    </xf>
    <xf numFmtId="275" fontId="16" fillId="0" borderId="0" xfId="2" applyNumberFormat="1" applyProtection="1">
      <protection locked="0"/>
    </xf>
    <xf numFmtId="275" fontId="16" fillId="0" borderId="0" xfId="2" applyNumberFormat="1" applyBorder="1" applyProtection="1">
      <protection locked="0"/>
    </xf>
    <xf numFmtId="0" fontId="16" fillId="0" borderId="0" xfId="428" applyFill="1" applyBorder="1"/>
    <xf numFmtId="266" fontId="16" fillId="0" borderId="0" xfId="2" applyNumberFormat="1" applyProtection="1">
      <protection locked="0"/>
    </xf>
    <xf numFmtId="10" fontId="16" fillId="0" borderId="0" xfId="428" applyNumberFormat="1" applyFill="1" applyBorder="1" applyProtection="1">
      <protection locked="0"/>
    </xf>
    <xf numFmtId="0" fontId="16" fillId="0" borderId="0" xfId="428" applyFont="1" applyFill="1" applyBorder="1"/>
    <xf numFmtId="0" fontId="16" fillId="0" borderId="0" xfId="428" applyBorder="1" applyAlignment="1">
      <alignment horizontal="right"/>
    </xf>
    <xf numFmtId="275" fontId="16" fillId="0" borderId="0" xfId="2" applyNumberFormat="1" applyBorder="1"/>
    <xf numFmtId="275" fontId="16" fillId="0" borderId="30" xfId="2" applyNumberFormat="1" applyBorder="1"/>
    <xf numFmtId="274" fontId="16" fillId="0" borderId="30" xfId="2" applyNumberFormat="1" applyBorder="1"/>
    <xf numFmtId="0" fontId="125" fillId="0" borderId="0" xfId="428" applyFont="1" applyBorder="1"/>
    <xf numFmtId="41" fontId="16" fillId="0" borderId="0" xfId="424"/>
    <xf numFmtId="37" fontId="16" fillId="0" borderId="0" xfId="428" applyNumberFormat="1" applyFill="1"/>
    <xf numFmtId="37" fontId="16" fillId="0" borderId="0" xfId="428" applyNumberFormat="1"/>
    <xf numFmtId="5" fontId="16" fillId="0" borderId="0" xfId="428" applyNumberFormat="1" applyFill="1"/>
    <xf numFmtId="37" fontId="16" fillId="0" borderId="1" xfId="428" applyNumberFormat="1" applyBorder="1"/>
    <xf numFmtId="265" fontId="16" fillId="0" borderId="0" xfId="428" applyNumberFormat="1"/>
    <xf numFmtId="37" fontId="16" fillId="8" borderId="0" xfId="428" applyNumberFormat="1" applyFill="1"/>
    <xf numFmtId="164" fontId="16" fillId="0" borderId="0" xfId="1" applyNumberFormat="1" applyFont="1"/>
    <xf numFmtId="0" fontId="54" fillId="0" borderId="0" xfId="428" applyFont="1"/>
    <xf numFmtId="266" fontId="16" fillId="0" borderId="0" xfId="428" applyNumberFormat="1"/>
    <xf numFmtId="0" fontId="54" fillId="0" borderId="0" xfId="428" applyFont="1" applyAlignment="1">
      <alignment horizontal="left"/>
    </xf>
    <xf numFmtId="0" fontId="128" fillId="0" borderId="0" xfId="428" applyFont="1"/>
    <xf numFmtId="0" fontId="128" fillId="0" borderId="0" xfId="428" applyFont="1" applyAlignment="1">
      <alignment horizontal="center" wrapText="1"/>
    </xf>
    <xf numFmtId="266" fontId="128" fillId="0" borderId="0" xfId="428" applyNumberFormat="1" applyFont="1" applyAlignment="1">
      <alignment horizontal="center" wrapText="1"/>
    </xf>
    <xf numFmtId="250" fontId="0" fillId="0" borderId="0" xfId="2" applyNumberFormat="1" applyFont="1"/>
    <xf numFmtId="266" fontId="0" fillId="0" borderId="0" xfId="2" applyNumberFormat="1" applyFont="1"/>
    <xf numFmtId="10" fontId="0" fillId="0" borderId="0" xfId="2" applyNumberFormat="1" applyFont="1"/>
    <xf numFmtId="0" fontId="125" fillId="0" borderId="0" xfId="428" applyFont="1"/>
    <xf numFmtId="274" fontId="130" fillId="0" borderId="0" xfId="2" applyNumberFormat="1" applyFont="1" applyFill="1"/>
    <xf numFmtId="164" fontId="0" fillId="0" borderId="0" xfId="1" applyNumberFormat="1" applyFont="1" applyBorder="1"/>
    <xf numFmtId="10" fontId="0" fillId="0" borderId="0" xfId="2" applyNumberFormat="1" applyFont="1" applyBorder="1"/>
    <xf numFmtId="274" fontId="0" fillId="0" borderId="0" xfId="2" applyNumberFormat="1" applyFont="1" applyFill="1" applyBorder="1"/>
    <xf numFmtId="10" fontId="0" fillId="0" borderId="0" xfId="2" applyNumberFormat="1" applyFont="1" applyFill="1" applyBorder="1"/>
    <xf numFmtId="274" fontId="16" fillId="0" borderId="0" xfId="428" applyNumberFormat="1"/>
    <xf numFmtId="274" fontId="24" fillId="0" borderId="0" xfId="2" applyNumberFormat="1" applyFont="1" applyFill="1"/>
    <xf numFmtId="274" fontId="16" fillId="0" borderId="0" xfId="2" applyNumberFormat="1" applyFont="1" applyFill="1" applyBorder="1"/>
    <xf numFmtId="164" fontId="0" fillId="0" borderId="0" xfId="1" applyNumberFormat="1" applyFont="1" applyFill="1" applyBorder="1"/>
    <xf numFmtId="0" fontId="16" fillId="0" borderId="0" xfId="456" applyFont="1" applyAlignment="1">
      <alignment horizontal="left"/>
    </xf>
    <xf numFmtId="0" fontId="16" fillId="0" borderId="0" xfId="456" quotePrefix="1" applyFont="1" applyAlignment="1">
      <alignment horizontal="left"/>
    </xf>
    <xf numFmtId="0" fontId="16" fillId="0" borderId="0" xfId="428" applyFont="1" applyFill="1"/>
    <xf numFmtId="164" fontId="16" fillId="0" borderId="0" xfId="1" applyNumberFormat="1" applyFont="1" applyFill="1" applyBorder="1"/>
    <xf numFmtId="164" fontId="0" fillId="0" borderId="0" xfId="1" applyNumberFormat="1" applyFont="1" applyBorder="1" applyProtection="1">
      <protection locked="0"/>
    </xf>
    <xf numFmtId="274" fontId="0" fillId="0" borderId="0" xfId="2" applyNumberFormat="1" applyFont="1" applyFill="1" applyBorder="1" applyProtection="1">
      <protection locked="0"/>
    </xf>
    <xf numFmtId="164" fontId="16" fillId="0" borderId="2" xfId="1" applyNumberFormat="1" applyFont="1" applyFill="1" applyBorder="1"/>
    <xf numFmtId="164" fontId="0" fillId="0" borderId="2" xfId="1" applyNumberFormat="1" applyFont="1" applyBorder="1"/>
    <xf numFmtId="10" fontId="0" fillId="0" borderId="2" xfId="2" applyNumberFormat="1" applyFont="1" applyBorder="1"/>
    <xf numFmtId="164" fontId="16" fillId="0" borderId="0" xfId="428" applyNumberFormat="1" applyBorder="1"/>
    <xf numFmtId="266" fontId="16" fillId="0" borderId="0" xfId="428" applyNumberFormat="1" applyFill="1" applyBorder="1"/>
    <xf numFmtId="10" fontId="0" fillId="8" borderId="30" xfId="2" applyNumberFormat="1" applyFont="1" applyFill="1" applyBorder="1"/>
    <xf numFmtId="266" fontId="16" fillId="0" borderId="0" xfId="428" applyNumberFormat="1" applyFill="1"/>
    <xf numFmtId="0" fontId="16" fillId="0" borderId="0" xfId="428" applyFont="1" applyBorder="1" applyAlignment="1">
      <alignment horizontal="center"/>
    </xf>
    <xf numFmtId="0" fontId="54" fillId="0" borderId="0" xfId="457" applyFont="1"/>
    <xf numFmtId="0" fontId="16" fillId="0" borderId="0" xfId="457" applyFont="1"/>
    <xf numFmtId="0" fontId="54" fillId="0" borderId="0" xfId="457" quotePrefix="1" applyFont="1" applyAlignment="1">
      <alignment horizontal="left"/>
    </xf>
    <xf numFmtId="0" fontId="16" fillId="0" borderId="2" xfId="457" applyFont="1" applyBorder="1" applyAlignment="1">
      <alignment horizontal="center" wrapText="1"/>
    </xf>
    <xf numFmtId="0" fontId="16" fillId="0" borderId="2" xfId="457" applyFont="1" applyBorder="1" applyAlignment="1">
      <alignment horizontal="center"/>
    </xf>
    <xf numFmtId="0" fontId="16" fillId="0" borderId="0" xfId="457" applyFont="1" applyBorder="1" applyAlignment="1">
      <alignment horizontal="center" wrapText="1"/>
    </xf>
    <xf numFmtId="278" fontId="16" fillId="0" borderId="0" xfId="457" applyNumberFormat="1" applyFont="1"/>
    <xf numFmtId="37" fontId="16" fillId="0" borderId="0" xfId="457" applyNumberFormat="1" applyFont="1"/>
    <xf numFmtId="38" fontId="16" fillId="0" borderId="0" xfId="457" applyNumberFormat="1" applyFont="1"/>
    <xf numFmtId="164" fontId="16" fillId="0" borderId="0" xfId="457" applyNumberFormat="1" applyFont="1"/>
    <xf numFmtId="37" fontId="16" fillId="0" borderId="30" xfId="457" applyNumberFormat="1" applyFont="1" applyBorder="1"/>
    <xf numFmtId="164" fontId="16" fillId="0" borderId="0" xfId="457" applyNumberFormat="1" applyFont="1" applyBorder="1"/>
    <xf numFmtId="164" fontId="16" fillId="0" borderId="30" xfId="457" applyNumberFormat="1" applyFont="1" applyBorder="1"/>
    <xf numFmtId="177" fontId="115" fillId="0" borderId="0" xfId="178" applyFont="1" applyAlignment="1"/>
    <xf numFmtId="177" fontId="64" fillId="0" borderId="0" xfId="458" applyFont="1" applyFill="1" applyBorder="1" applyAlignment="1"/>
    <xf numFmtId="0" fontId="64" fillId="0" borderId="0" xfId="458" applyNumberFormat="1" applyFont="1" applyFill="1" applyBorder="1" applyAlignment="1"/>
    <xf numFmtId="177" fontId="89" fillId="0" borderId="0" xfId="177" applyFont="1" applyFill="1" applyBorder="1" applyAlignment="1"/>
    <xf numFmtId="4" fontId="89" fillId="0" borderId="0" xfId="177" applyNumberFormat="1" applyFont="1" applyFill="1" applyBorder="1" applyAlignment="1"/>
    <xf numFmtId="177" fontId="131" fillId="0" borderId="0" xfId="177" applyFont="1" applyFill="1" applyBorder="1" applyAlignment="1"/>
    <xf numFmtId="177" fontId="64" fillId="0" borderId="0" xfId="177" applyFill="1" applyBorder="1" applyAlignment="1"/>
    <xf numFmtId="3" fontId="64" fillId="0" borderId="0" xfId="177" applyNumberFormat="1" applyFont="1" applyFill="1" applyBorder="1" applyAlignment="1">
      <alignment horizontal="centerContinuous"/>
    </xf>
    <xf numFmtId="177" fontId="64" fillId="0" borderId="0" xfId="177" applyFont="1" applyFill="1" applyBorder="1" applyAlignment="1"/>
    <xf numFmtId="0" fontId="91" fillId="0" borderId="0" xfId="177" applyNumberFormat="1" applyFont="1" applyFill="1" applyBorder="1" applyAlignment="1" applyProtection="1">
      <alignment horizontal="centerContinuous"/>
      <protection locked="0"/>
    </xf>
    <xf numFmtId="10" fontId="64" fillId="0" borderId="0" xfId="2" applyNumberFormat="1" applyFont="1" applyFill="1" applyBorder="1" applyAlignment="1"/>
    <xf numFmtId="3" fontId="32" fillId="0" borderId="0" xfId="177" applyNumberFormat="1" applyFont="1" applyFill="1" applyBorder="1" applyAlignment="1"/>
    <xf numFmtId="0" fontId="32" fillId="0" borderId="0" xfId="177" applyNumberFormat="1" applyFont="1" applyFill="1" applyBorder="1" applyAlignment="1"/>
    <xf numFmtId="4" fontId="32" fillId="0" borderId="0" xfId="177" applyNumberFormat="1" applyFont="1" applyFill="1" applyBorder="1" applyAlignment="1"/>
    <xf numFmtId="0" fontId="64" fillId="0" borderId="0" xfId="177" applyNumberFormat="1" applyFont="1" applyFill="1" applyBorder="1" applyAlignment="1"/>
    <xf numFmtId="0" fontId="64" fillId="0" borderId="0" xfId="177" applyNumberFormat="1" applyFont="1" applyFill="1" applyBorder="1"/>
    <xf numFmtId="271" fontId="64" fillId="0" borderId="0" xfId="336" applyNumberFormat="1" applyFont="1" applyFill="1" applyBorder="1" applyAlignment="1"/>
    <xf numFmtId="177" fontId="27" fillId="0" borderId="3" xfId="177" applyFont="1" applyFill="1" applyBorder="1" applyAlignment="1">
      <alignment horizontal="center"/>
    </xf>
    <xf numFmtId="177" fontId="27" fillId="0" borderId="0" xfId="177" applyFont="1" applyFill="1" applyBorder="1" applyAlignment="1">
      <alignment horizontal="center"/>
    </xf>
    <xf numFmtId="271" fontId="64" fillId="40" borderId="0" xfId="336" applyNumberFormat="1" applyFont="1" applyFill="1" applyBorder="1" applyAlignment="1"/>
    <xf numFmtId="3" fontId="64" fillId="0" borderId="0" xfId="177" applyNumberFormat="1" applyFont="1" applyFill="1" applyBorder="1" applyAlignment="1"/>
    <xf numFmtId="177" fontId="91" fillId="0" borderId="0" xfId="177" applyFont="1" applyFill="1" applyBorder="1" applyAlignment="1">
      <alignment horizontal="center"/>
    </xf>
    <xf numFmtId="3" fontId="91" fillId="0" borderId="0" xfId="177" applyNumberFormat="1" applyFont="1" applyFill="1" applyBorder="1" applyAlignment="1">
      <alignment horizontal="center"/>
    </xf>
    <xf numFmtId="164" fontId="64" fillId="0" borderId="0" xfId="1" applyNumberFormat="1" applyFont="1" applyFill="1" applyBorder="1" applyAlignment="1"/>
    <xf numFmtId="10" fontId="64" fillId="40" borderId="0" xfId="2" applyNumberFormat="1" applyFont="1" applyFill="1" applyBorder="1" applyAlignment="1"/>
    <xf numFmtId="0" fontId="64" fillId="40" borderId="0" xfId="336" applyNumberFormat="1" applyFont="1" applyFill="1" applyBorder="1" applyAlignment="1">
      <alignment horizontal="center"/>
    </xf>
    <xf numFmtId="177" fontId="32" fillId="0" borderId="0" xfId="177" applyFont="1" applyFill="1" applyBorder="1" applyAlignment="1">
      <alignment horizontal="right"/>
    </xf>
    <xf numFmtId="4" fontId="64" fillId="0" borderId="0" xfId="177" applyNumberFormat="1" applyFill="1" applyBorder="1" applyAlignment="1"/>
    <xf numFmtId="0" fontId="32" fillId="0" borderId="0" xfId="177" applyNumberFormat="1" applyFont="1" applyFill="1" applyBorder="1"/>
    <xf numFmtId="177" fontId="64" fillId="0" borderId="0" xfId="177" applyFill="1" applyBorder="1" applyAlignment="1">
      <alignment horizontal="right"/>
    </xf>
    <xf numFmtId="271" fontId="64" fillId="0" borderId="1" xfId="336" applyNumberFormat="1" applyFont="1" applyFill="1" applyBorder="1" applyAlignment="1"/>
    <xf numFmtId="272" fontId="32" fillId="0" borderId="0" xfId="177" applyNumberFormat="1" applyFont="1" applyFill="1" applyBorder="1" applyAlignment="1">
      <alignment horizontal="center"/>
    </xf>
    <xf numFmtId="0" fontId="32" fillId="0" borderId="0" xfId="177" quotePrefix="1" applyNumberFormat="1" applyFont="1" applyFill="1" applyBorder="1" applyAlignment="1">
      <alignment horizontal="center"/>
    </xf>
    <xf numFmtId="3" fontId="64" fillId="0" borderId="0" xfId="177" applyNumberFormat="1" applyFont="1" applyFill="1" applyBorder="1" applyAlignment="1">
      <alignment horizontal="center"/>
    </xf>
    <xf numFmtId="0" fontId="64" fillId="0" borderId="0" xfId="177" applyNumberFormat="1" applyFont="1" applyFill="1" applyBorder="1" applyAlignment="1">
      <alignment horizontal="center"/>
    </xf>
    <xf numFmtId="177" fontId="64" fillId="0" borderId="3" xfId="177" applyFont="1" applyFill="1" applyBorder="1" applyAlignment="1">
      <alignment horizontal="center" vertical="top" wrapText="1"/>
    </xf>
    <xf numFmtId="177" fontId="64" fillId="0" borderId="3" xfId="177" applyFont="1" applyFill="1" applyBorder="1" applyAlignment="1">
      <alignment horizontal="center" vertical="top"/>
    </xf>
    <xf numFmtId="0" fontId="32" fillId="0" borderId="3" xfId="177" applyNumberFormat="1" applyFont="1" applyFill="1" applyBorder="1" applyAlignment="1">
      <alignment horizontal="center" vertical="top" wrapText="1"/>
    </xf>
    <xf numFmtId="4" fontId="64" fillId="0" borderId="8" xfId="177" applyNumberFormat="1" applyFont="1" applyFill="1" applyBorder="1" applyAlignment="1">
      <alignment horizontal="center" vertical="top" wrapText="1"/>
    </xf>
    <xf numFmtId="177" fontId="64" fillId="0" borderId="8" xfId="177" applyFont="1" applyFill="1" applyBorder="1" applyAlignment="1">
      <alignment horizontal="center" vertical="top" wrapText="1"/>
    </xf>
    <xf numFmtId="3" fontId="32" fillId="0" borderId="8" xfId="177" applyNumberFormat="1" applyFont="1" applyFill="1" applyBorder="1" applyAlignment="1">
      <alignment horizontal="center" vertical="top" wrapText="1"/>
    </xf>
    <xf numFmtId="3" fontId="32" fillId="0" borderId="3" xfId="177" applyNumberFormat="1" applyFont="1" applyFill="1" applyBorder="1" applyAlignment="1">
      <alignment horizontal="center" vertical="top" wrapText="1"/>
    </xf>
    <xf numFmtId="0" fontId="64" fillId="0" borderId="0" xfId="177" applyNumberFormat="1" applyFont="1" applyFill="1" applyBorder="1" applyAlignment="1">
      <alignment vertical="top"/>
    </xf>
    <xf numFmtId="177" fontId="64" fillId="0" borderId="0" xfId="177" applyFont="1" applyFill="1" applyBorder="1" applyAlignment="1">
      <alignment vertical="top"/>
    </xf>
    <xf numFmtId="0" fontId="32" fillId="0" borderId="16" xfId="177" applyNumberFormat="1" applyFont="1" applyFill="1" applyBorder="1" applyAlignment="1">
      <alignment horizontal="center" vertical="top" wrapText="1"/>
    </xf>
    <xf numFmtId="0" fontId="32" fillId="0" borderId="19" xfId="177" applyNumberFormat="1" applyFont="1" applyFill="1" applyBorder="1"/>
    <xf numFmtId="4" fontId="32" fillId="0" borderId="10" xfId="177" applyNumberFormat="1" applyFont="1" applyFill="1" applyBorder="1"/>
    <xf numFmtId="0" fontId="32" fillId="0" borderId="10" xfId="177" applyNumberFormat="1" applyFont="1" applyFill="1" applyBorder="1"/>
    <xf numFmtId="3" fontId="32" fillId="0" borderId="10" xfId="177" applyNumberFormat="1" applyFont="1" applyFill="1" applyBorder="1" applyAlignment="1"/>
    <xf numFmtId="0" fontId="32" fillId="0" borderId="9" xfId="177" applyNumberFormat="1" applyFont="1" applyFill="1" applyBorder="1"/>
    <xf numFmtId="0" fontId="64" fillId="0" borderId="9" xfId="1" applyNumberFormat="1" applyFont="1" applyFill="1" applyBorder="1" applyAlignment="1">
      <alignment horizontal="center"/>
    </xf>
    <xf numFmtId="4" fontId="64" fillId="0" borderId="10" xfId="177" applyNumberFormat="1" applyFill="1" applyBorder="1" applyAlignment="1"/>
    <xf numFmtId="227" fontId="64" fillId="0" borderId="10" xfId="177" applyNumberFormat="1" applyFill="1" applyBorder="1" applyAlignment="1"/>
    <xf numFmtId="271" fontId="132" fillId="40" borderId="0" xfId="336" applyNumberFormat="1" applyFont="1" applyFill="1" applyBorder="1" applyAlignment="1"/>
    <xf numFmtId="10" fontId="64" fillId="0" borderId="10" xfId="2" applyNumberFormat="1" applyFont="1" applyFill="1" applyBorder="1" applyAlignment="1"/>
    <xf numFmtId="271" fontId="64" fillId="40" borderId="9" xfId="336" applyNumberFormat="1" applyFont="1" applyFill="1" applyBorder="1" applyAlignment="1"/>
    <xf numFmtId="271" fontId="132" fillId="40" borderId="9" xfId="336" applyNumberFormat="1" applyFont="1" applyFill="1" applyBorder="1" applyAlignment="1"/>
    <xf numFmtId="44" fontId="32" fillId="0" borderId="10" xfId="336" applyNumberFormat="1" applyFont="1" applyFill="1" applyBorder="1" applyAlignment="1"/>
    <xf numFmtId="177" fontId="89" fillId="0" borderId="10" xfId="177" applyFont="1" applyFill="1" applyBorder="1" applyAlignment="1"/>
    <xf numFmtId="177" fontId="89" fillId="0" borderId="9" xfId="177" applyFont="1" applyFill="1" applyBorder="1" applyAlignment="1">
      <alignment horizontal="center"/>
    </xf>
    <xf numFmtId="177" fontId="89" fillId="0" borderId="15" xfId="177" applyFont="1" applyFill="1" applyBorder="1" applyAlignment="1">
      <alignment horizontal="center"/>
    </xf>
    <xf numFmtId="177" fontId="89" fillId="0" borderId="2" xfId="177" applyFont="1" applyFill="1" applyBorder="1" applyAlignment="1"/>
    <xf numFmtId="4" fontId="89" fillId="0" borderId="14" xfId="177" applyNumberFormat="1" applyFont="1" applyFill="1" applyBorder="1" applyAlignment="1"/>
    <xf numFmtId="177" fontId="89" fillId="0" borderId="14" xfId="177" applyFont="1" applyFill="1" applyBorder="1" applyAlignment="1"/>
    <xf numFmtId="177" fontId="89" fillId="0" borderId="15" xfId="177" applyFont="1" applyFill="1" applyBorder="1" applyAlignment="1"/>
    <xf numFmtId="177" fontId="32" fillId="0" borderId="0" xfId="177" applyFont="1" applyFill="1" applyBorder="1" applyAlignment="1">
      <alignment horizontal="center"/>
    </xf>
    <xf numFmtId="0" fontId="133" fillId="0" borderId="0" xfId="459" applyFont="1" applyAlignment="1"/>
    <xf numFmtId="177" fontId="32" fillId="0" borderId="0" xfId="177" applyFont="1" applyFill="1" applyBorder="1" applyAlignment="1"/>
    <xf numFmtId="227" fontId="32" fillId="0" borderId="0" xfId="177" applyNumberFormat="1" applyFont="1" applyFill="1" applyBorder="1" applyAlignment="1"/>
    <xf numFmtId="0" fontId="3" fillId="0" borderId="0" xfId="459" applyFont="1" applyAlignment="1"/>
    <xf numFmtId="177" fontId="64" fillId="0" borderId="0" xfId="177" applyFont="1" applyFill="1" applyBorder="1" applyAlignment="1">
      <alignment vertical="top" wrapText="1"/>
    </xf>
    <xf numFmtId="0" fontId="3" fillId="0" borderId="0" xfId="459" applyAlignment="1"/>
    <xf numFmtId="177" fontId="89" fillId="0" borderId="29" xfId="177" applyFont="1" applyFill="1" applyBorder="1" applyAlignment="1"/>
    <xf numFmtId="4" fontId="89" fillId="0" borderId="29" xfId="177" applyNumberFormat="1" applyFont="1" applyFill="1" applyBorder="1" applyAlignment="1"/>
    <xf numFmtId="177" fontId="64" fillId="0" borderId="29" xfId="177" applyFill="1" applyBorder="1" applyAlignment="1"/>
    <xf numFmtId="37" fontId="16" fillId="0" borderId="0" xfId="3" applyNumberFormat="1" applyFont="1"/>
    <xf numFmtId="4" fontId="27" fillId="0" borderId="0" xfId="177" applyNumberFormat="1" applyFont="1" applyFill="1" applyBorder="1" applyAlignment="1">
      <alignment horizontal="centerContinuous"/>
    </xf>
    <xf numFmtId="177" fontId="64" fillId="0" borderId="0" xfId="176" applyFill="1" applyBorder="1" applyAlignment="1">
      <alignment horizontal="centerContinuous"/>
    </xf>
    <xf numFmtId="177" fontId="32" fillId="0" borderId="3" xfId="177" applyFont="1" applyFill="1" applyBorder="1" applyAlignment="1">
      <alignment horizontal="center"/>
    </xf>
    <xf numFmtId="10" fontId="32" fillId="40" borderId="0" xfId="2" applyNumberFormat="1" applyFont="1" applyFill="1" applyBorder="1" applyAlignment="1">
      <alignment horizontal="center"/>
    </xf>
    <xf numFmtId="272" fontId="32" fillId="0" borderId="0" xfId="176" quotePrefix="1" applyNumberFormat="1" applyFont="1" applyFill="1" applyBorder="1" applyAlignment="1">
      <alignment horizontal="center"/>
    </xf>
    <xf numFmtId="272" fontId="32" fillId="41" borderId="0" xfId="176" quotePrefix="1" applyNumberFormat="1" applyFont="1" applyFill="1" applyBorder="1" applyAlignment="1">
      <alignment horizontal="center"/>
    </xf>
    <xf numFmtId="272" fontId="32" fillId="41" borderId="0" xfId="177" applyNumberFormat="1" applyFont="1" applyFill="1" applyBorder="1" applyAlignment="1">
      <alignment horizontal="center"/>
    </xf>
    <xf numFmtId="177" fontId="64" fillId="0" borderId="3" xfId="176" applyFont="1" applyFill="1" applyBorder="1" applyAlignment="1">
      <alignment horizontal="center" vertical="top" wrapText="1"/>
    </xf>
    <xf numFmtId="177" fontId="64" fillId="0" borderId="17" xfId="176" applyFont="1" applyFill="1" applyBorder="1" applyAlignment="1">
      <alignment horizontal="center" vertical="top" wrapText="1"/>
    </xf>
    <xf numFmtId="177" fontId="64" fillId="0" borderId="8" xfId="176" applyFont="1" applyFill="1" applyBorder="1" applyAlignment="1">
      <alignment horizontal="center" vertical="top" wrapText="1"/>
    </xf>
    <xf numFmtId="3" fontId="64" fillId="0" borderId="0" xfId="176" applyNumberFormat="1" applyFont="1" applyFill="1" applyBorder="1" applyAlignment="1">
      <alignment vertical="top"/>
    </xf>
    <xf numFmtId="0" fontId="64" fillId="0" borderId="18" xfId="176" applyNumberFormat="1" applyFont="1" applyFill="1" applyBorder="1"/>
    <xf numFmtId="3" fontId="64" fillId="0" borderId="18" xfId="176" applyNumberFormat="1" applyFont="1" applyFill="1" applyBorder="1" applyAlignment="1"/>
    <xf numFmtId="177" fontId="64" fillId="0" borderId="18" xfId="176" applyFont="1" applyFill="1" applyBorder="1" applyAlignment="1"/>
    <xf numFmtId="0" fontId="32" fillId="40" borderId="0" xfId="1" applyNumberFormat="1" applyFont="1" applyFill="1" applyBorder="1" applyAlignment="1"/>
    <xf numFmtId="177" fontId="64" fillId="40" borderId="0" xfId="176" applyFill="1" applyBorder="1" applyAlignment="1"/>
    <xf numFmtId="271" fontId="32" fillId="40" borderId="0" xfId="336" applyNumberFormat="1" applyFont="1" applyFill="1" applyBorder="1" applyAlignment="1"/>
    <xf numFmtId="271" fontId="32" fillId="0" borderId="11" xfId="336" applyNumberFormat="1" applyFont="1" applyFill="1" applyBorder="1" applyAlignment="1"/>
    <xf numFmtId="10" fontId="32" fillId="0" borderId="10" xfId="2" applyNumberFormat="1" applyFont="1" applyFill="1" applyBorder="1" applyAlignment="1"/>
    <xf numFmtId="177" fontId="64" fillId="40" borderId="0" xfId="176" applyFont="1" applyFill="1" applyBorder="1" applyAlignment="1"/>
    <xf numFmtId="177" fontId="89" fillId="40" borderId="0" xfId="176" applyFont="1" applyFill="1" applyBorder="1" applyAlignment="1"/>
    <xf numFmtId="177" fontId="89" fillId="0" borderId="10" xfId="176" applyFont="1" applyFill="1" applyBorder="1" applyAlignment="1"/>
    <xf numFmtId="177" fontId="64" fillId="0" borderId="10" xfId="176" applyFont="1" applyFill="1" applyBorder="1" applyAlignment="1"/>
    <xf numFmtId="0" fontId="32" fillId="0" borderId="30" xfId="176" applyNumberFormat="1" applyFont="1" applyFill="1" applyBorder="1" applyAlignment="1"/>
    <xf numFmtId="271" fontId="32" fillId="0" borderId="30" xfId="336" applyNumberFormat="1" applyFont="1" applyFill="1" applyBorder="1" applyAlignment="1"/>
    <xf numFmtId="10" fontId="32" fillId="0" borderId="30" xfId="2" applyNumberFormat="1" applyFont="1" applyFill="1" applyBorder="1" applyAlignment="1"/>
    <xf numFmtId="0" fontId="133" fillId="0" borderId="0" xfId="460" applyFont="1" applyAlignment="1"/>
    <xf numFmtId="0" fontId="3" fillId="0" borderId="0" xfId="460" applyFont="1" applyAlignment="1"/>
    <xf numFmtId="177" fontId="64" fillId="0" borderId="0" xfId="176" applyFill="1" applyBorder="1" applyAlignment="1">
      <alignment vertical="top" wrapText="1"/>
    </xf>
    <xf numFmtId="177" fontId="64" fillId="0" borderId="0" xfId="176" applyFont="1" applyFill="1" applyBorder="1" applyAlignment="1">
      <alignment vertical="top" wrapText="1"/>
    </xf>
    <xf numFmtId="250" fontId="64" fillId="0" borderId="0" xfId="2" applyNumberFormat="1" applyFont="1" applyFill="1" applyBorder="1" applyAlignment="1"/>
    <xf numFmtId="177" fontId="64" fillId="0" borderId="0" xfId="176" applyFont="1" applyFill="1" applyBorder="1" applyAlignment="1">
      <alignment wrapText="1"/>
    </xf>
    <xf numFmtId="0" fontId="3" fillId="0" borderId="0" xfId="460" applyAlignment="1"/>
    <xf numFmtId="177" fontId="64" fillId="0" borderId="29" xfId="176" applyFont="1" applyFill="1" applyBorder="1" applyAlignment="1"/>
    <xf numFmtId="177" fontId="64" fillId="0" borderId="29" xfId="176" applyFill="1" applyBorder="1" applyAlignment="1"/>
    <xf numFmtId="177" fontId="89" fillId="0" borderId="29" xfId="176" applyFont="1" applyFill="1" applyBorder="1" applyAlignment="1"/>
    <xf numFmtId="177" fontId="27" fillId="0" borderId="0" xfId="176" applyFont="1" applyAlignment="1"/>
    <xf numFmtId="177" fontId="32" fillId="0" borderId="0" xfId="176" applyFont="1" applyAlignment="1"/>
    <xf numFmtId="177" fontId="27" fillId="0" borderId="0" xfId="176" quotePrefix="1" applyFont="1" applyAlignment="1">
      <alignment horizontal="left"/>
    </xf>
    <xf numFmtId="177" fontId="32" fillId="0" borderId="0" xfId="176" quotePrefix="1" applyFont="1" applyAlignment="1">
      <alignment horizontal="left"/>
    </xf>
    <xf numFmtId="271" fontId="32" fillId="0" borderId="0" xfId="343" applyNumberFormat="1" applyFont="1" applyAlignment="1"/>
    <xf numFmtId="177" fontId="32" fillId="0" borderId="0" xfId="176" applyFont="1" applyFill="1" applyAlignment="1"/>
    <xf numFmtId="177" fontId="32" fillId="0" borderId="0" xfId="176" quotePrefix="1" applyFont="1" applyFill="1" applyAlignment="1">
      <alignment horizontal="left"/>
    </xf>
    <xf numFmtId="271" fontId="32" fillId="0" borderId="0" xfId="343" applyNumberFormat="1" applyFont="1" applyBorder="1" applyAlignment="1"/>
    <xf numFmtId="271" fontId="32" fillId="0" borderId="0" xfId="343" applyNumberFormat="1" applyFont="1" applyFill="1" applyBorder="1" applyAlignment="1"/>
    <xf numFmtId="271" fontId="32" fillId="0" borderId="30" xfId="343" applyNumberFormat="1" applyFont="1" applyBorder="1" applyAlignment="1"/>
    <xf numFmtId="177" fontId="95" fillId="0" borderId="0" xfId="176" quotePrefix="1" applyFont="1" applyAlignment="1">
      <alignment horizontal="left"/>
    </xf>
    <xf numFmtId="0" fontId="2" fillId="0" borderId="0" xfId="461"/>
    <xf numFmtId="10" fontId="32" fillId="0" borderId="0" xfId="369" applyNumberFormat="1" applyFont="1" applyFill="1" applyAlignment="1"/>
    <xf numFmtId="177" fontId="32" fillId="0" borderId="2" xfId="176" applyFont="1" applyBorder="1" applyAlignment="1"/>
    <xf numFmtId="10" fontId="32" fillId="0" borderId="0" xfId="369" applyNumberFormat="1" applyFont="1" applyBorder="1" applyAlignment="1"/>
    <xf numFmtId="177" fontId="32" fillId="0" borderId="0" xfId="176" quotePrefix="1" applyFont="1" applyBorder="1" applyAlignment="1">
      <alignment horizontal="left"/>
    </xf>
    <xf numFmtId="177" fontId="32" fillId="0" borderId="0" xfId="176" applyFont="1" applyBorder="1" applyAlignment="1"/>
    <xf numFmtId="10" fontId="32" fillId="0" borderId="0" xfId="369" applyNumberFormat="1" applyFont="1" applyAlignment="1"/>
    <xf numFmtId="10" fontId="32" fillId="0" borderId="2" xfId="369" applyNumberFormat="1" applyFont="1" applyBorder="1" applyAlignment="1"/>
    <xf numFmtId="227" fontId="32" fillId="0" borderId="0" xfId="176" applyNumberFormat="1" applyFont="1" applyBorder="1" applyAlignment="1"/>
    <xf numFmtId="6" fontId="32" fillId="0" borderId="0" xfId="343" applyNumberFormat="1" applyFont="1" applyBorder="1" applyAlignment="1"/>
    <xf numFmtId="0" fontId="32" fillId="0" borderId="0" xfId="176" quotePrefix="1" applyNumberFormat="1" applyFont="1" applyBorder="1" applyAlignment="1"/>
    <xf numFmtId="0" fontId="32" fillId="0" borderId="0" xfId="176" applyNumberFormat="1" applyFont="1" applyAlignment="1"/>
    <xf numFmtId="177" fontId="32" fillId="0" borderId="2" xfId="176" quotePrefix="1" applyFont="1" applyBorder="1" applyAlignment="1">
      <alignment horizontal="right"/>
    </xf>
    <xf numFmtId="6" fontId="32" fillId="0" borderId="3" xfId="343" applyNumberFormat="1" applyFont="1" applyBorder="1" applyAlignment="1"/>
    <xf numFmtId="4" fontId="20" fillId="0" borderId="0" xfId="170" applyNumberFormat="1" applyFont="1"/>
    <xf numFmtId="43" fontId="20" fillId="0" borderId="0" xfId="170" applyNumberFormat="1" applyFont="1"/>
    <xf numFmtId="279" fontId="20" fillId="0" borderId="0" xfId="170" applyNumberFormat="1" applyFont="1"/>
    <xf numFmtId="4" fontId="20" fillId="0" borderId="0" xfId="178" applyNumberFormat="1" applyFont="1"/>
    <xf numFmtId="4" fontId="84" fillId="0" borderId="0" xfId="170" applyNumberFormat="1" applyFont="1" applyFill="1"/>
    <xf numFmtId="177" fontId="134" fillId="0" borderId="0" xfId="176" applyFont="1" applyAlignment="1"/>
    <xf numFmtId="177" fontId="135" fillId="0" borderId="0" xfId="379" applyFont="1" applyFill="1" applyBorder="1" applyAlignment="1"/>
    <xf numFmtId="177" fontId="135" fillId="0" borderId="0" xfId="176" applyFont="1" applyFill="1" applyBorder="1" applyAlignment="1"/>
    <xf numFmtId="0" fontId="124" fillId="0" borderId="0" xfId="457" applyFont="1"/>
    <xf numFmtId="3" fontId="84" fillId="0" borderId="0" xfId="170" applyNumberFormat="1" applyFont="1" applyFill="1"/>
    <xf numFmtId="3" fontId="115" fillId="0" borderId="0" xfId="178" applyNumberFormat="1" applyFont="1" applyFill="1" applyAlignment="1" applyProtection="1">
      <alignment horizontal="right"/>
      <protection locked="0"/>
    </xf>
    <xf numFmtId="0" fontId="16" fillId="0" borderId="0" xfId="462"/>
    <xf numFmtId="0" fontId="16" fillId="0" borderId="0" xfId="3"/>
    <xf numFmtId="0" fontId="16" fillId="0" borderId="31" xfId="3" applyBorder="1"/>
    <xf numFmtId="0" fontId="16" fillId="0" borderId="2" xfId="3" applyBorder="1"/>
    <xf numFmtId="0" fontId="16" fillId="0" borderId="15" xfId="3" applyBorder="1"/>
    <xf numFmtId="0" fontId="16" fillId="0" borderId="11" xfId="3" applyBorder="1"/>
    <xf numFmtId="0" fontId="16" fillId="0" borderId="0" xfId="3" applyBorder="1"/>
    <xf numFmtId="271" fontId="16" fillId="0" borderId="30" xfId="336" applyNumberFormat="1" applyFont="1" applyBorder="1"/>
    <xf numFmtId="0" fontId="16" fillId="0" borderId="0" xfId="3" quotePrefix="1" applyBorder="1" applyAlignment="1">
      <alignment horizontal="left"/>
    </xf>
    <xf numFmtId="0" fontId="16" fillId="0" borderId="9" xfId="3" applyBorder="1"/>
    <xf numFmtId="164" fontId="16" fillId="0" borderId="0" xfId="3" applyNumberFormat="1" applyBorder="1"/>
    <xf numFmtId="0" fontId="16" fillId="0" borderId="0" xfId="3" quotePrefix="1" applyBorder="1" applyAlignment="1">
      <alignment horizontal="left" indent="1"/>
    </xf>
    <xf numFmtId="271" fontId="16" fillId="0" borderId="0" xfId="336" applyNumberFormat="1" applyFont="1" applyBorder="1"/>
    <xf numFmtId="0" fontId="128" fillId="0" borderId="0" xfId="3" applyFont="1" applyBorder="1"/>
    <xf numFmtId="0" fontId="16" fillId="0" borderId="32" xfId="3" applyBorder="1"/>
    <xf numFmtId="0" fontId="16" fillId="0" borderId="1" xfId="3" applyBorder="1"/>
    <xf numFmtId="0" fontId="16" fillId="0" borderId="19" xfId="3" applyBorder="1"/>
    <xf numFmtId="0" fontId="16" fillId="0" borderId="0" xfId="3" quotePrefix="1" applyFont="1" applyBorder="1" applyAlignment="1">
      <alignment horizontal="left"/>
    </xf>
    <xf numFmtId="271" fontId="0" fillId="0" borderId="0" xfId="336" applyNumberFormat="1" applyFont="1" applyFill="1" applyBorder="1"/>
    <xf numFmtId="272" fontId="16" fillId="0" borderId="9" xfId="1" quotePrefix="1" applyNumberFormat="1" applyBorder="1" applyAlignment="1">
      <alignment horizontal="center"/>
    </xf>
    <xf numFmtId="0" fontId="54" fillId="0" borderId="0" xfId="3" applyFont="1" applyBorder="1"/>
    <xf numFmtId="271" fontId="0" fillId="0" borderId="30" xfId="336" applyNumberFormat="1" applyFont="1" applyFill="1" applyBorder="1"/>
    <xf numFmtId="0" fontId="16" fillId="0" borderId="0" xfId="462" applyFill="1"/>
    <xf numFmtId="0" fontId="16" fillId="0" borderId="11" xfId="3" applyFill="1" applyBorder="1"/>
    <xf numFmtId="0" fontId="16" fillId="0" borderId="0" xfId="3" applyFill="1" applyBorder="1"/>
    <xf numFmtId="0" fontId="54" fillId="0" borderId="0" xfId="3" quotePrefix="1" applyFont="1" applyFill="1" applyBorder="1" applyAlignment="1">
      <alignment horizontal="left"/>
    </xf>
    <xf numFmtId="0" fontId="16" fillId="0" borderId="0" xfId="3" quotePrefix="1" applyFill="1" applyBorder="1" applyAlignment="1">
      <alignment horizontal="left"/>
    </xf>
    <xf numFmtId="0" fontId="54" fillId="0" borderId="0" xfId="3" quotePrefix="1" applyFont="1" applyBorder="1" applyAlignment="1">
      <alignment horizontal="left"/>
    </xf>
    <xf numFmtId="0" fontId="128" fillId="0" borderId="9" xfId="3" quotePrefix="1" applyFont="1" applyBorder="1" applyAlignment="1">
      <alignment horizontal="left"/>
    </xf>
    <xf numFmtId="0" fontId="54" fillId="0" borderId="19" xfId="3" applyFont="1" applyBorder="1"/>
    <xf numFmtId="271" fontId="16" fillId="0" borderId="0" xfId="336" applyNumberFormat="1" applyFont="1" applyFill="1" applyBorder="1"/>
    <xf numFmtId="271" fontId="16" fillId="0" borderId="0" xfId="462" applyNumberFormat="1" applyFill="1"/>
    <xf numFmtId="0" fontId="124" fillId="0" borderId="0" xfId="462" applyFont="1" applyFill="1"/>
    <xf numFmtId="0" fontId="128" fillId="0" borderId="0" xfId="428" quotePrefix="1" applyFont="1" applyFill="1" applyAlignment="1">
      <alignment horizontal="center" wrapText="1"/>
    </xf>
    <xf numFmtId="0" fontId="16" fillId="0" borderId="0" xfId="428" applyFill="1" applyProtection="1">
      <protection locked="0"/>
    </xf>
    <xf numFmtId="0" fontId="16" fillId="0" borderId="0" xfId="428" applyFill="1" applyBorder="1" applyProtection="1">
      <protection locked="0"/>
    </xf>
    <xf numFmtId="0" fontId="16" fillId="0" borderId="0" xfId="428" applyFill="1" applyBorder="1" applyProtection="1"/>
    <xf numFmtId="272" fontId="16" fillId="0" borderId="0" xfId="463" applyNumberFormat="1"/>
    <xf numFmtId="37" fontId="16" fillId="0" borderId="0" xfId="463" applyNumberFormat="1"/>
    <xf numFmtId="37" fontId="16" fillId="0" borderId="0" xfId="463" applyNumberFormat="1" applyAlignment="1">
      <alignment horizontal="center"/>
    </xf>
    <xf numFmtId="178" fontId="16" fillId="0" borderId="0" xfId="463" applyNumberFormat="1"/>
    <xf numFmtId="37" fontId="16" fillId="0" borderId="0" xfId="463" applyNumberFormat="1" applyFont="1" applyAlignment="1">
      <alignment vertical="center" wrapText="1"/>
    </xf>
    <xf numFmtId="37" fontId="16" fillId="0" borderId="0" xfId="463" applyNumberFormat="1" applyFill="1"/>
    <xf numFmtId="37" fontId="16" fillId="40" borderId="0" xfId="463" applyNumberFormat="1" applyFill="1"/>
    <xf numFmtId="0" fontId="54" fillId="0" borderId="0" xfId="464" applyFont="1"/>
    <xf numFmtId="0" fontId="54" fillId="0" borderId="0" xfId="464" quotePrefix="1" applyFont="1" applyAlignment="1">
      <alignment horizontal="left"/>
    </xf>
    <xf numFmtId="0" fontId="54" fillId="0" borderId="0" xfId="465" applyFont="1"/>
    <xf numFmtId="0" fontId="16" fillId="0" borderId="0" xfId="465"/>
    <xf numFmtId="0" fontId="54" fillId="0" borderId="0" xfId="465" quotePrefix="1" applyFont="1" applyAlignment="1">
      <alignment horizontal="left"/>
    </xf>
    <xf numFmtId="0" fontId="16" fillId="0" borderId="0" xfId="465" quotePrefix="1" applyFont="1" applyAlignment="1">
      <alignment horizontal="left"/>
    </xf>
    <xf numFmtId="0" fontId="16" fillId="0" borderId="0" xfId="465" applyFont="1"/>
    <xf numFmtId="271" fontId="16" fillId="0" borderId="0" xfId="336" applyNumberFormat="1"/>
    <xf numFmtId="271" fontId="16" fillId="0" borderId="2" xfId="336" applyNumberFormat="1" applyBorder="1"/>
    <xf numFmtId="271" fontId="16" fillId="0" borderId="0" xfId="336" applyNumberFormat="1" applyFont="1"/>
    <xf numFmtId="271" fontId="16" fillId="0" borderId="0" xfId="465" applyNumberFormat="1"/>
    <xf numFmtId="0" fontId="16" fillId="0" borderId="0" xfId="465" quotePrefix="1" applyAlignment="1">
      <alignment horizontal="left"/>
    </xf>
    <xf numFmtId="276" fontId="16" fillId="0" borderId="30" xfId="2" applyNumberFormat="1" applyBorder="1"/>
    <xf numFmtId="274" fontId="16" fillId="0" borderId="0" xfId="465" applyNumberFormat="1"/>
    <xf numFmtId="37" fontId="124" fillId="0" borderId="0" xfId="463" applyNumberFormat="1" applyFont="1"/>
    <xf numFmtId="277" fontId="20" fillId="0" borderId="0" xfId="2" applyNumberFormat="1" applyFont="1"/>
    <xf numFmtId="277" fontId="20" fillId="0" borderId="0" xfId="178" applyNumberFormat="1" applyFont="1" applyFill="1" applyAlignment="1" applyProtection="1">
      <alignment horizontal="center"/>
      <protection locked="0"/>
    </xf>
    <xf numFmtId="164" fontId="0" fillId="0" borderId="2" xfId="1" applyNumberFormat="1" applyFont="1" applyFill="1" applyBorder="1"/>
    <xf numFmtId="0" fontId="16" fillId="0" borderId="0" xfId="3" quotePrefix="1" applyBorder="1" applyAlignment="1">
      <alignment horizontal="left" wrapText="1"/>
    </xf>
    <xf numFmtId="272" fontId="16" fillId="0" borderId="9" xfId="1" quotePrefix="1" applyNumberFormat="1" applyBorder="1" applyAlignment="1">
      <alignment horizontal="center" vertical="center"/>
    </xf>
    <xf numFmtId="0" fontId="54" fillId="0" borderId="0" xfId="3" applyFont="1" applyBorder="1" applyAlignment="1">
      <alignment vertical="center"/>
    </xf>
    <xf numFmtId="271" fontId="0" fillId="0" borderId="0" xfId="336" applyNumberFormat="1" applyFont="1" applyFill="1" applyBorder="1" applyAlignment="1">
      <alignment vertical="center"/>
    </xf>
    <xf numFmtId="0" fontId="128" fillId="0" borderId="0" xfId="0" applyFont="1"/>
    <xf numFmtId="280" fontId="0" fillId="0" borderId="0" xfId="0" quotePrefix="1" applyNumberFormat="1" applyAlignment="1">
      <alignment horizontal="left"/>
    </xf>
    <xf numFmtId="0" fontId="16" fillId="0" borderId="0" xfId="457" applyFont="1" applyFill="1"/>
    <xf numFmtId="0" fontId="0" fillId="0" borderId="0" xfId="0" quotePrefix="1" applyAlignment="1">
      <alignment horizontal="left"/>
    </xf>
    <xf numFmtId="0" fontId="0" fillId="0" borderId="0" xfId="0" applyAlignment="1">
      <alignment horizontal="center" wrapText="1"/>
    </xf>
    <xf numFmtId="0" fontId="16" fillId="0" borderId="0" xfId="457" quotePrefix="1" applyFont="1" applyBorder="1" applyAlignment="1">
      <alignment horizontal="center" wrapText="1"/>
    </xf>
    <xf numFmtId="164" fontId="16" fillId="40" borderId="0" xfId="457" applyNumberFormat="1" applyFont="1" applyFill="1" applyBorder="1"/>
    <xf numFmtId="0" fontId="125" fillId="0" borderId="0" xfId="0" applyFont="1" applyBorder="1"/>
    <xf numFmtId="14" fontId="125" fillId="0" borderId="0" xfId="0" applyNumberFormat="1" applyFont="1" applyBorder="1" applyAlignment="1">
      <alignment horizontal="center"/>
    </xf>
    <xf numFmtId="0" fontId="128" fillId="0" borderId="0" xfId="0" applyFont="1" applyBorder="1" applyAlignment="1">
      <alignment horizontal="center"/>
    </xf>
    <xf numFmtId="164" fontId="54" fillId="0" borderId="0" xfId="1" applyNumberFormat="1" applyFont="1"/>
    <xf numFmtId="164" fontId="54" fillId="40" borderId="0" xfId="1" applyNumberFormat="1" applyFont="1" applyFill="1"/>
    <xf numFmtId="0" fontId="124" fillId="0" borderId="0" xfId="0" applyFont="1"/>
    <xf numFmtId="0" fontId="124" fillId="0" borderId="0" xfId="0" applyFont="1" applyFill="1"/>
    <xf numFmtId="164" fontId="0" fillId="0" borderId="0" xfId="1" applyNumberFormat="1" applyFont="1" applyFill="1"/>
    <xf numFmtId="164" fontId="54" fillId="0" borderId="0" xfId="1" applyNumberFormat="1" applyFont="1" applyFill="1"/>
    <xf numFmtId="49" fontId="20" fillId="0" borderId="0" xfId="178" applyNumberFormat="1" applyFont="1" applyAlignment="1">
      <alignment horizontal="center"/>
    </xf>
    <xf numFmtId="177" fontId="20" fillId="0" borderId="0" xfId="178" applyFont="1" applyAlignment="1">
      <alignment horizontal="center"/>
    </xf>
    <xf numFmtId="49" fontId="20" fillId="0" borderId="0" xfId="178" applyNumberFormat="1" applyFont="1" applyAlignment="1" applyProtection="1">
      <alignment horizontal="center"/>
      <protection locked="0"/>
    </xf>
    <xf numFmtId="0" fontId="20" fillId="0" borderId="0" xfId="170" applyNumberFormat="1" applyFont="1" applyAlignment="1">
      <alignment horizontal="left" wrapText="1"/>
    </xf>
    <xf numFmtId="0" fontId="20" fillId="0" borderId="0" xfId="178" applyNumberFormat="1" applyFont="1" applyFill="1" applyAlignment="1" applyProtection="1">
      <alignment vertical="top" wrapText="1"/>
      <protection locked="0"/>
    </xf>
    <xf numFmtId="0" fontId="86" fillId="0" borderId="0" xfId="178" applyNumberFormat="1" applyFont="1" applyFill="1" applyAlignment="1" applyProtection="1">
      <alignment vertical="top" wrapText="1"/>
      <protection locked="0"/>
    </xf>
    <xf numFmtId="0" fontId="20" fillId="0" borderId="0" xfId="170" quotePrefix="1" applyNumberFormat="1" applyFont="1" applyFill="1" applyAlignment="1">
      <alignment horizontal="left" vertical="top" wrapText="1"/>
    </xf>
    <xf numFmtId="0" fontId="20" fillId="0" borderId="0" xfId="170" applyNumberFormat="1" applyFont="1" applyFill="1" applyAlignment="1">
      <alignment vertical="top" wrapText="1"/>
    </xf>
    <xf numFmtId="0" fontId="20" fillId="0" borderId="0" xfId="178" quotePrefix="1" applyNumberFormat="1" applyFont="1" applyFill="1" applyAlignment="1" applyProtection="1">
      <alignment horizontal="left" vertical="top" wrapText="1"/>
      <protection locked="0"/>
    </xf>
    <xf numFmtId="0" fontId="20" fillId="0" borderId="0" xfId="178" quotePrefix="1" applyNumberFormat="1" applyFont="1" applyFill="1" applyAlignment="1">
      <alignment horizontal="left" vertical="top" wrapText="1"/>
    </xf>
    <xf numFmtId="0" fontId="20" fillId="0" borderId="0" xfId="178" applyNumberFormat="1" applyFont="1" applyFill="1" applyAlignment="1">
      <alignment vertical="top" wrapText="1"/>
    </xf>
    <xf numFmtId="177" fontId="64" fillId="0" borderId="0" xfId="379" applyFont="1" applyFill="1" applyBorder="1" applyAlignment="1">
      <alignment horizontal="left" vertical="top" wrapText="1"/>
    </xf>
    <xf numFmtId="177" fontId="64" fillId="0" borderId="0" xfId="379" applyFont="1" applyFill="1" applyBorder="1" applyAlignment="1">
      <alignment horizontal="left" wrapText="1"/>
    </xf>
    <xf numFmtId="177" fontId="64" fillId="0" borderId="0" xfId="379" applyFont="1" applyFill="1" applyBorder="1" applyAlignment="1">
      <alignment horizontal="left"/>
    </xf>
    <xf numFmtId="177" fontId="64" fillId="0" borderId="0" xfId="176" applyFont="1" applyFill="1" applyBorder="1" applyAlignment="1">
      <alignment horizontal="left" vertical="top" wrapText="1"/>
    </xf>
    <xf numFmtId="177" fontId="64" fillId="0" borderId="0" xfId="176" applyFont="1" applyFill="1" applyBorder="1" applyAlignment="1">
      <alignment horizontal="left" wrapText="1"/>
    </xf>
    <xf numFmtId="177" fontId="64" fillId="0" borderId="0" xfId="176" applyFont="1" applyFill="1" applyBorder="1" applyAlignment="1">
      <alignment horizontal="left"/>
    </xf>
    <xf numFmtId="3" fontId="32" fillId="0" borderId="0" xfId="176" applyNumberFormat="1" applyFont="1" applyFill="1" applyBorder="1" applyAlignment="1">
      <alignment horizontal="center" wrapText="1"/>
    </xf>
    <xf numFmtId="177" fontId="64" fillId="0" borderId="0" xfId="176" applyFill="1" applyBorder="1" applyAlignment="1">
      <alignment horizontal="left"/>
    </xf>
    <xf numFmtId="0" fontId="117" fillId="0" borderId="0" xfId="433" applyAlignment="1">
      <alignment horizontal="left" vertical="top" wrapText="1"/>
    </xf>
    <xf numFmtId="0" fontId="18" fillId="0" borderId="0" xfId="0" applyFont="1" applyAlignment="1"/>
    <xf numFmtId="0" fontId="0" fillId="0" borderId="0" xfId="0" applyAlignment="1"/>
    <xf numFmtId="177" fontId="27" fillId="0" borderId="3" xfId="177" applyFont="1" applyFill="1" applyBorder="1" applyAlignment="1">
      <alignment horizontal="center"/>
    </xf>
    <xf numFmtId="3" fontId="91" fillId="0" borderId="3" xfId="177" applyNumberFormat="1" applyFont="1" applyFill="1" applyBorder="1" applyAlignment="1">
      <alignment horizontal="center"/>
    </xf>
    <xf numFmtId="177" fontId="91" fillId="0" borderId="3" xfId="177" applyFont="1" applyFill="1" applyBorder="1" applyAlignment="1">
      <alignment horizontal="center"/>
    </xf>
  </cellXfs>
  <cellStyles count="467">
    <cellStyle name="¢ Currency [1]" xfId="6"/>
    <cellStyle name="¢ Currency [2]" xfId="7"/>
    <cellStyle name="¢ Currency [3]" xfId="8"/>
    <cellStyle name="£ Currency [0]" xfId="9"/>
    <cellStyle name="£ Currency [1]" xfId="10"/>
    <cellStyle name="£ Currency [2]" xfId="11"/>
    <cellStyle name="=C:\WINNT35\SYSTEM32\COMMAND.COM" xfId="5"/>
    <cellStyle name="20% - Accent1 2" xfId="380"/>
    <cellStyle name="20% - Accent2 2" xfId="381"/>
    <cellStyle name="20% - Accent3 2" xfId="382"/>
    <cellStyle name="20% - Accent4 2" xfId="383"/>
    <cellStyle name="20% - Accent5 2" xfId="384"/>
    <cellStyle name="20% - Accent6 2" xfId="385"/>
    <cellStyle name="40% - Accent1 2" xfId="386"/>
    <cellStyle name="40% - Accent2 2" xfId="387"/>
    <cellStyle name="40% - Accent3 2" xfId="388"/>
    <cellStyle name="40% - Accent4 2" xfId="389"/>
    <cellStyle name="40% - Accent5 2" xfId="390"/>
    <cellStyle name="40% - Accent6 2" xfId="391"/>
    <cellStyle name="60% - Accent1 2" xfId="392"/>
    <cellStyle name="60% - Accent2 2" xfId="393"/>
    <cellStyle name="60% - Accent3 2" xfId="394"/>
    <cellStyle name="60% - Accent4 2" xfId="395"/>
    <cellStyle name="60% - Accent5 2" xfId="396"/>
    <cellStyle name="60% - Accent6 2" xfId="397"/>
    <cellStyle name="Accent1 2" xfId="398"/>
    <cellStyle name="Accent2 2" xfId="399"/>
    <cellStyle name="Accent3 2" xfId="400"/>
    <cellStyle name="Accent4 2" xfId="401"/>
    <cellStyle name="Accent5 2" xfId="402"/>
    <cellStyle name="Accent6 2" xfId="403"/>
    <cellStyle name="Bad 2" xfId="404"/>
    <cellStyle name="Basic" xfId="12"/>
    <cellStyle name="black" xfId="13"/>
    <cellStyle name="blu" xfId="14"/>
    <cellStyle name="bot" xfId="15"/>
    <cellStyle name="Bullet" xfId="16"/>
    <cellStyle name="Bullet [0]" xfId="17"/>
    <cellStyle name="Bullet [2]" xfId="18"/>
    <cellStyle name="Bullet [4]" xfId="19"/>
    <cellStyle name="c" xfId="20"/>
    <cellStyle name="c," xfId="21"/>
    <cellStyle name="c_HardInc " xfId="22"/>
    <cellStyle name="c_HardInc _ITC Great Plains Formula 1-12-09a" xfId="23"/>
    <cellStyle name="C00A" xfId="24"/>
    <cellStyle name="C00B" xfId="25"/>
    <cellStyle name="C00L" xfId="26"/>
    <cellStyle name="C01A" xfId="27"/>
    <cellStyle name="C01B" xfId="28"/>
    <cellStyle name="C01H" xfId="29"/>
    <cellStyle name="C01L" xfId="30"/>
    <cellStyle name="C02A" xfId="31"/>
    <cellStyle name="C02B" xfId="32"/>
    <cellStyle name="C02H" xfId="33"/>
    <cellStyle name="C02L" xfId="34"/>
    <cellStyle name="C03A" xfId="35"/>
    <cellStyle name="C03B" xfId="36"/>
    <cellStyle name="C03H" xfId="37"/>
    <cellStyle name="C03L" xfId="38"/>
    <cellStyle name="C04A" xfId="39"/>
    <cellStyle name="C04B" xfId="40"/>
    <cellStyle name="C04H" xfId="41"/>
    <cellStyle name="C04L" xfId="42"/>
    <cellStyle name="C05A" xfId="43"/>
    <cellStyle name="C05B" xfId="44"/>
    <cellStyle name="C05H" xfId="45"/>
    <cellStyle name="C05L" xfId="46"/>
    <cellStyle name="C06A" xfId="47"/>
    <cellStyle name="C06B" xfId="48"/>
    <cellStyle name="C06H" xfId="49"/>
    <cellStyle name="C06L" xfId="50"/>
    <cellStyle name="C07A" xfId="51"/>
    <cellStyle name="C07B" xfId="52"/>
    <cellStyle name="C07H" xfId="53"/>
    <cellStyle name="C07L" xfId="54"/>
    <cellStyle name="c1" xfId="55"/>
    <cellStyle name="c1," xfId="56"/>
    <cellStyle name="c2" xfId="57"/>
    <cellStyle name="c2," xfId="58"/>
    <cellStyle name="c3" xfId="59"/>
    <cellStyle name="Calculation 2" xfId="405"/>
    <cellStyle name="cas" xfId="60"/>
    <cellStyle name="Centered Heading" xfId="61"/>
    <cellStyle name="Check Cell 2" xfId="406"/>
    <cellStyle name="Comma" xfId="1" builtinId="3"/>
    <cellStyle name="Comma  - Style1" xfId="62"/>
    <cellStyle name="Comma  - Style2" xfId="63"/>
    <cellStyle name="Comma  - Style3" xfId="64"/>
    <cellStyle name="Comma  - Style4" xfId="65"/>
    <cellStyle name="Comma  - Style5" xfId="66"/>
    <cellStyle name="Comma  - Style6" xfId="67"/>
    <cellStyle name="Comma  - Style7" xfId="68"/>
    <cellStyle name="Comma  - Style8" xfId="69"/>
    <cellStyle name="Comma [0] 2" xfId="424"/>
    <cellStyle name="Comma [1]" xfId="70"/>
    <cellStyle name="Comma [2]" xfId="71"/>
    <cellStyle name="Comma [3]" xfId="72"/>
    <cellStyle name="Comma 0.0" xfId="73"/>
    <cellStyle name="Comma 0.00" xfId="74"/>
    <cellStyle name="Comma 0.000" xfId="75"/>
    <cellStyle name="Comma 0.0000" xfId="76"/>
    <cellStyle name="Comma 10" xfId="327"/>
    <cellStyle name="Comma 11" xfId="324"/>
    <cellStyle name="Comma 12" xfId="328"/>
    <cellStyle name="Comma 13" xfId="329"/>
    <cellStyle name="Comma 14" xfId="330"/>
    <cellStyle name="Comma 15" xfId="323"/>
    <cellStyle name="Comma 16" xfId="331"/>
    <cellStyle name="Comma 17" xfId="332"/>
    <cellStyle name="Comma 18" xfId="431"/>
    <cellStyle name="Comma 18 2" xfId="440"/>
    <cellStyle name="Comma 18 2 2" xfId="446"/>
    <cellStyle name="Comma 18 2 2 2" xfId="452"/>
    <cellStyle name="Comma 19" xfId="434"/>
    <cellStyle name="Comma 2" xfId="77"/>
    <cellStyle name="Comma 2 2" xfId="78"/>
    <cellStyle name="Comma 2 3" xfId="425"/>
    <cellStyle name="Comma 20" xfId="438"/>
    <cellStyle name="Comma 20 2" xfId="443"/>
    <cellStyle name="Comma 20 2 2" xfId="449"/>
    <cellStyle name="Comma 3" xfId="79"/>
    <cellStyle name="Comma 3 2" xfId="80"/>
    <cellStyle name="Comma 4" xfId="81"/>
    <cellStyle name="Comma 5" xfId="333"/>
    <cellStyle name="Comma 6" xfId="326"/>
    <cellStyle name="Comma 7" xfId="325"/>
    <cellStyle name="Comma 8" xfId="334"/>
    <cellStyle name="Comma 9" xfId="335"/>
    <cellStyle name="Comma Input" xfId="82"/>
    <cellStyle name="Comma0" xfId="83"/>
    <cellStyle name="Company Name" xfId="84"/>
    <cellStyle name="Currency [1]" xfId="85"/>
    <cellStyle name="Currency [2]" xfId="86"/>
    <cellStyle name="Currency [3]" xfId="87"/>
    <cellStyle name="Currency 0.0" xfId="88"/>
    <cellStyle name="Currency 0.00" xfId="89"/>
    <cellStyle name="Currency 0.000" xfId="90"/>
    <cellStyle name="Currency 0.0000" xfId="91"/>
    <cellStyle name="Currency 10" xfId="336"/>
    <cellStyle name="Currency 11" xfId="337"/>
    <cellStyle name="Currency 12" xfId="338"/>
    <cellStyle name="Currency 13" xfId="339"/>
    <cellStyle name="Currency 14" xfId="340"/>
    <cellStyle name="Currency 15" xfId="341"/>
    <cellStyle name="Currency 16" xfId="342"/>
    <cellStyle name="Currency 17" xfId="407"/>
    <cellStyle name="Currency 2" xfId="92"/>
    <cellStyle name="Currency 2 2" xfId="93"/>
    <cellStyle name="Currency 2 3" xfId="426"/>
    <cellStyle name="Currency 3" xfId="94"/>
    <cellStyle name="Currency 3 2" xfId="95"/>
    <cellStyle name="Currency 4" xfId="343"/>
    <cellStyle name="Currency 5" xfId="344"/>
    <cellStyle name="Currency 6" xfId="345"/>
    <cellStyle name="Currency 7" xfId="346"/>
    <cellStyle name="Currency 8" xfId="347"/>
    <cellStyle name="Currency 9" xfId="348"/>
    <cellStyle name="Currency Input" xfId="96"/>
    <cellStyle name="Currency0" xfId="97"/>
    <cellStyle name="d" xfId="98"/>
    <cellStyle name="d," xfId="99"/>
    <cellStyle name="d1" xfId="100"/>
    <cellStyle name="d1," xfId="101"/>
    <cellStyle name="d2" xfId="102"/>
    <cellStyle name="d2," xfId="103"/>
    <cellStyle name="d3" xfId="104"/>
    <cellStyle name="Dash" xfId="105"/>
    <cellStyle name="Date" xfId="106"/>
    <cellStyle name="Date [Abbreviated]" xfId="107"/>
    <cellStyle name="Date [Long Europe]" xfId="108"/>
    <cellStyle name="Date [Long U.S.]" xfId="109"/>
    <cellStyle name="Date [Short Europe]" xfId="110"/>
    <cellStyle name="Date [Short U.S.]" xfId="111"/>
    <cellStyle name="Date_ITCM 2010 Template" xfId="112"/>
    <cellStyle name="Define$0" xfId="113"/>
    <cellStyle name="Define$1" xfId="114"/>
    <cellStyle name="Define$2" xfId="115"/>
    <cellStyle name="Define0" xfId="116"/>
    <cellStyle name="Define1" xfId="117"/>
    <cellStyle name="Define1x" xfId="118"/>
    <cellStyle name="Define2" xfId="119"/>
    <cellStyle name="Define2x" xfId="120"/>
    <cellStyle name="Dollar" xfId="121"/>
    <cellStyle name="e" xfId="122"/>
    <cellStyle name="e1" xfId="123"/>
    <cellStyle name="e2" xfId="124"/>
    <cellStyle name="Euro" xfId="125"/>
    <cellStyle name="Explanatory Text 2" xfId="408"/>
    <cellStyle name="Fixed" xfId="126"/>
    <cellStyle name="FOOTER - Style1" xfId="127"/>
    <cellStyle name="g" xfId="128"/>
    <cellStyle name="general" xfId="129"/>
    <cellStyle name="General [C]" xfId="130"/>
    <cellStyle name="General [R]" xfId="131"/>
    <cellStyle name="Good 2" xfId="409"/>
    <cellStyle name="Green" xfId="132"/>
    <cellStyle name="grey" xfId="133"/>
    <cellStyle name="Header1" xfId="134"/>
    <cellStyle name="Header2" xfId="135"/>
    <cellStyle name="Heading" xfId="136"/>
    <cellStyle name="Heading 1 2" xfId="410"/>
    <cellStyle name="Heading 2 2" xfId="411"/>
    <cellStyle name="Heading 3 2" xfId="412"/>
    <cellStyle name="Heading 4 2" xfId="413"/>
    <cellStyle name="Heading No Underline" xfId="137"/>
    <cellStyle name="Heading With Underline" xfId="138"/>
    <cellStyle name="Heading1" xfId="139"/>
    <cellStyle name="Heading2" xfId="140"/>
    <cellStyle name="Headline" xfId="141"/>
    <cellStyle name="Highlight" xfId="142"/>
    <cellStyle name="Hyperlink 2" xfId="143"/>
    <cellStyle name="in" xfId="144"/>
    <cellStyle name="Indented [0]" xfId="145"/>
    <cellStyle name="Indented [2]" xfId="146"/>
    <cellStyle name="Indented [4]" xfId="147"/>
    <cellStyle name="Indented [6]" xfId="148"/>
    <cellStyle name="Input [yellow]" xfId="149"/>
    <cellStyle name="Input 2" xfId="414"/>
    <cellStyle name="Input$0" xfId="150"/>
    <cellStyle name="Input$1" xfId="151"/>
    <cellStyle name="Input$2" xfId="152"/>
    <cellStyle name="Input0" xfId="153"/>
    <cellStyle name="Input1" xfId="154"/>
    <cellStyle name="Input1x" xfId="155"/>
    <cellStyle name="Input2" xfId="156"/>
    <cellStyle name="Input2x" xfId="157"/>
    <cellStyle name="lborder" xfId="158"/>
    <cellStyle name="LeftSubtitle" xfId="159"/>
    <cellStyle name="Linked Cell 2" xfId="415"/>
    <cellStyle name="m" xfId="160"/>
    <cellStyle name="m1" xfId="161"/>
    <cellStyle name="m2" xfId="162"/>
    <cellStyle name="m3" xfId="163"/>
    <cellStyle name="Multiple" xfId="164"/>
    <cellStyle name="Negative" xfId="165"/>
    <cellStyle name="Neutral 2" xfId="416"/>
    <cellStyle name="no dec" xfId="166"/>
    <cellStyle name="Normal" xfId="0" builtinId="0"/>
    <cellStyle name="Normal - Style1" xfId="167"/>
    <cellStyle name="Normal 10" xfId="349"/>
    <cellStyle name="Normal 11" xfId="350"/>
    <cellStyle name="Normal 12" xfId="351"/>
    <cellStyle name="Normal 13" xfId="352"/>
    <cellStyle name="Normal 14" xfId="353"/>
    <cellStyle name="Normal 15" xfId="354"/>
    <cellStyle name="Normal 16" xfId="355"/>
    <cellStyle name="Normal 17" xfId="356"/>
    <cellStyle name="Normal 18" xfId="357"/>
    <cellStyle name="Normal 19" xfId="358"/>
    <cellStyle name="Normal 2" xfId="168"/>
    <cellStyle name="Normal 2 2" xfId="427"/>
    <cellStyle name="Normal 2 3" xfId="433"/>
    <cellStyle name="Normal 2 3 2" xfId="463"/>
    <cellStyle name="Normal 20" xfId="379"/>
    <cellStyle name="Normal 21" xfId="422"/>
    <cellStyle name="Normal 22" xfId="423"/>
    <cellStyle name="Normal 23" xfId="428"/>
    <cellStyle name="Normal 24" xfId="430"/>
    <cellStyle name="Normal 24 2" xfId="439"/>
    <cellStyle name="Normal 24 2 2" xfId="445"/>
    <cellStyle name="Normal 24 2 2 2" xfId="451"/>
    <cellStyle name="Normal 25" xfId="435"/>
    <cellStyle name="Normal 26" xfId="436"/>
    <cellStyle name="Normal 26 2" xfId="442"/>
    <cellStyle name="Normal 26 2 2" xfId="448"/>
    <cellStyle name="Normal 27" xfId="455"/>
    <cellStyle name="Normal 28" xfId="461"/>
    <cellStyle name="Normal 28 2" xfId="464"/>
    <cellStyle name="Normal 29" xfId="466"/>
    <cellStyle name="Normal 3" xfId="3"/>
    <cellStyle name="Normal 3 2" xfId="169"/>
    <cellStyle name="Normal 3_Attach O, GG, Support -New Method 2-14-11" xfId="170"/>
    <cellStyle name="Normal 4" xfId="171"/>
    <cellStyle name="Normal 4 2" xfId="172"/>
    <cellStyle name="Normal 4_Attach O, GG, Support -New Method 2-14-11" xfId="173"/>
    <cellStyle name="Normal 5" xfId="174"/>
    <cellStyle name="Normal 6" xfId="175"/>
    <cellStyle name="Normal 6 2" xfId="377"/>
    <cellStyle name="Normal 6 2 2" xfId="454"/>
    <cellStyle name="Normal 6 2 3" xfId="459"/>
    <cellStyle name="Normal 6 3" xfId="378"/>
    <cellStyle name="Normal 6 3 2" xfId="460"/>
    <cellStyle name="Normal 7" xfId="176"/>
    <cellStyle name="Normal 8" xfId="359"/>
    <cellStyle name="Normal 9" xfId="360"/>
    <cellStyle name="Normal_01_2011 - Revenue True up" xfId="456"/>
    <cellStyle name="Normal_Attachment GG (2)" xfId="374"/>
    <cellStyle name="Normal_Attachment GG Template ER09-1657" xfId="458"/>
    <cellStyle name="Normal_Attachment GG Template ER11-28 11-18-10" xfId="177"/>
    <cellStyle name="Normal_Attachment O Support - 2004 True-up" xfId="457"/>
    <cellStyle name="Normal_Attachment Os for 2002 True-up" xfId="178"/>
    <cellStyle name="Normal_Schedule O Info for Mike" xfId="4"/>
    <cellStyle name="Normal_Sheet1" xfId="376"/>
    <cellStyle name="Normal_Sheet3" xfId="375"/>
    <cellStyle name="Normal_Solomon Queries - wo Proj. &amp; Task 2" xfId="462"/>
    <cellStyle name="Normal_TE Ownership % - 2008" xfId="465"/>
    <cellStyle name="Note 2" xfId="417"/>
    <cellStyle name="Output 2" xfId="418"/>
    <cellStyle name="Output1_Back" xfId="179"/>
    <cellStyle name="p" xfId="180"/>
    <cellStyle name="p_2010 Attachment O  GG_082709" xfId="181"/>
    <cellStyle name="p_2010 Attachment O Template Supporting Work Papers_ITC Midwest" xfId="182"/>
    <cellStyle name="p_2010 Attachment O Template Supporting Work Papers_ITCTransmission" xfId="183"/>
    <cellStyle name="p_2010 Attachment O Template Supporting Work Papers_METC" xfId="184"/>
    <cellStyle name="p_2Mod11" xfId="185"/>
    <cellStyle name="p_aavidmod11.xls Chart 1" xfId="186"/>
    <cellStyle name="p_aavidmod11.xls Chart 2" xfId="187"/>
    <cellStyle name="p_Attachment O &amp; GG" xfId="188"/>
    <cellStyle name="p_charts for capm" xfId="189"/>
    <cellStyle name="p_DCF" xfId="190"/>
    <cellStyle name="p_DCF_2Mod11" xfId="191"/>
    <cellStyle name="p_DCF_aavidmod11.xls Chart 1" xfId="192"/>
    <cellStyle name="p_DCF_aavidmod11.xls Chart 2" xfId="193"/>
    <cellStyle name="p_DCF_charts for capm" xfId="194"/>
    <cellStyle name="p_DCF_DCF5" xfId="195"/>
    <cellStyle name="p_DCF_Template2" xfId="196"/>
    <cellStyle name="p_DCF_Template2_1" xfId="197"/>
    <cellStyle name="p_DCF_VERA" xfId="198"/>
    <cellStyle name="p_DCF_VERA_1" xfId="199"/>
    <cellStyle name="p_DCF_VERA_1_Template2" xfId="200"/>
    <cellStyle name="p_DCF_VERA_aavidmod11.xls Chart 2" xfId="201"/>
    <cellStyle name="p_DCF_VERA_Model02" xfId="202"/>
    <cellStyle name="p_DCF_VERA_Template2" xfId="203"/>
    <cellStyle name="p_DCF_VERA_VERA" xfId="204"/>
    <cellStyle name="p_DCF_VERA_VERA_1" xfId="205"/>
    <cellStyle name="p_DCF_VERA_VERA_2" xfId="206"/>
    <cellStyle name="p_DCF_VERA_VERA_Template2" xfId="207"/>
    <cellStyle name="p_DCF5" xfId="208"/>
    <cellStyle name="p_ITC Great Plains Formula 1-12-09a" xfId="209"/>
    <cellStyle name="p_ITCM 2010 Template" xfId="210"/>
    <cellStyle name="p_ITCMW 2009 Rate" xfId="211"/>
    <cellStyle name="p_ITCMW 2010 Rate_083109" xfId="212"/>
    <cellStyle name="p_ITCOP 2010 Rate_083109" xfId="213"/>
    <cellStyle name="p_ITCT 2009 Rate" xfId="214"/>
    <cellStyle name="p_ITCT New 2010 Attachment O &amp; GG_111209NL" xfId="215"/>
    <cellStyle name="p_METC 2010 Rate_083109" xfId="216"/>
    <cellStyle name="p_Template2" xfId="217"/>
    <cellStyle name="p_Template2_1" xfId="218"/>
    <cellStyle name="p_VERA" xfId="219"/>
    <cellStyle name="p_VERA_1" xfId="220"/>
    <cellStyle name="p_VERA_1_Template2" xfId="221"/>
    <cellStyle name="p_VERA_aavidmod11.xls Chart 2" xfId="222"/>
    <cellStyle name="p_VERA_Model02" xfId="223"/>
    <cellStyle name="p_VERA_Template2" xfId="224"/>
    <cellStyle name="p_VERA_VERA" xfId="225"/>
    <cellStyle name="p_VERA_VERA_1" xfId="226"/>
    <cellStyle name="p_VERA_VERA_2" xfId="227"/>
    <cellStyle name="p_VERA_VERA_Template2" xfId="228"/>
    <cellStyle name="p1" xfId="229"/>
    <cellStyle name="p2" xfId="230"/>
    <cellStyle name="p3" xfId="231"/>
    <cellStyle name="Percent" xfId="2" builtinId="5"/>
    <cellStyle name="Percent %" xfId="232"/>
    <cellStyle name="Percent % Long Underline" xfId="233"/>
    <cellStyle name="Percent (0)" xfId="234"/>
    <cellStyle name="Percent [0]" xfId="235"/>
    <cellStyle name="Percent [1]" xfId="236"/>
    <cellStyle name="Percent [2]" xfId="237"/>
    <cellStyle name="Percent [3]" xfId="238"/>
    <cellStyle name="Percent 0.0%" xfId="239"/>
    <cellStyle name="Percent 0.0% Long Underline" xfId="240"/>
    <cellStyle name="Percent 0.00%" xfId="241"/>
    <cellStyle name="Percent 0.00% Long Underline" xfId="242"/>
    <cellStyle name="Percent 0.000%" xfId="243"/>
    <cellStyle name="Percent 0.000% Long Underline" xfId="244"/>
    <cellStyle name="Percent 0.0000%" xfId="245"/>
    <cellStyle name="Percent 0.0000% Long Underline" xfId="246"/>
    <cellStyle name="Percent 10" xfId="361"/>
    <cellStyle name="Percent 11" xfId="362"/>
    <cellStyle name="Percent 12" xfId="363"/>
    <cellStyle name="Percent 13" xfId="364"/>
    <cellStyle name="Percent 14" xfId="365"/>
    <cellStyle name="Percent 15" xfId="366"/>
    <cellStyle name="Percent 16" xfId="367"/>
    <cellStyle name="Percent 17" xfId="368"/>
    <cellStyle name="Percent 18" xfId="432"/>
    <cellStyle name="Percent 18 2" xfId="441"/>
    <cellStyle name="Percent 18 2 2" xfId="447"/>
    <cellStyle name="Percent 18 2 2 2" xfId="453"/>
    <cellStyle name="Percent 19" xfId="437"/>
    <cellStyle name="Percent 19 2" xfId="444"/>
    <cellStyle name="Percent 19 2 2" xfId="450"/>
    <cellStyle name="Percent 2" xfId="247"/>
    <cellStyle name="Percent 2 2" xfId="248"/>
    <cellStyle name="Percent 2 3" xfId="429"/>
    <cellStyle name="Percent 3" xfId="249"/>
    <cellStyle name="Percent 3 2" xfId="250"/>
    <cellStyle name="Percent 4" xfId="251"/>
    <cellStyle name="Percent 5" xfId="369"/>
    <cellStyle name="Percent 6" xfId="370"/>
    <cellStyle name="Percent 7" xfId="371"/>
    <cellStyle name="Percent 8" xfId="372"/>
    <cellStyle name="Percent 9" xfId="373"/>
    <cellStyle name="Percent Input" xfId="252"/>
    <cellStyle name="Percent0" xfId="253"/>
    <cellStyle name="Percent1" xfId="254"/>
    <cellStyle name="Percent2" xfId="255"/>
    <cellStyle name="PSChar" xfId="256"/>
    <cellStyle name="PSDate" xfId="257"/>
    <cellStyle name="PSDec" xfId="258"/>
    <cellStyle name="PSdesc" xfId="259"/>
    <cellStyle name="PSHeading" xfId="260"/>
    <cellStyle name="PSInt" xfId="261"/>
    <cellStyle name="PSSpacer" xfId="262"/>
    <cellStyle name="PStest" xfId="263"/>
    <cellStyle name="R00A" xfId="264"/>
    <cellStyle name="R00B" xfId="265"/>
    <cellStyle name="R00L" xfId="266"/>
    <cellStyle name="R01A" xfId="267"/>
    <cellStyle name="R01B" xfId="268"/>
    <cellStyle name="R01H" xfId="269"/>
    <cellStyle name="R01L" xfId="270"/>
    <cellStyle name="R02A" xfId="271"/>
    <cellStyle name="R02B" xfId="272"/>
    <cellStyle name="R02H" xfId="273"/>
    <cellStyle name="R02L" xfId="274"/>
    <cellStyle name="R03A" xfId="275"/>
    <cellStyle name="R03B" xfId="276"/>
    <cellStyle name="R03H" xfId="277"/>
    <cellStyle name="R03L" xfId="278"/>
    <cellStyle name="R04A" xfId="279"/>
    <cellStyle name="R04B" xfId="280"/>
    <cellStyle name="R04H" xfId="281"/>
    <cellStyle name="R04L" xfId="282"/>
    <cellStyle name="R05A" xfId="283"/>
    <cellStyle name="R05B" xfId="284"/>
    <cellStyle name="R05H" xfId="285"/>
    <cellStyle name="R05L" xfId="286"/>
    <cellStyle name="R06A" xfId="287"/>
    <cellStyle name="R06B" xfId="288"/>
    <cellStyle name="R06H" xfId="289"/>
    <cellStyle name="R06L" xfId="290"/>
    <cellStyle name="R07A" xfId="291"/>
    <cellStyle name="R07B" xfId="292"/>
    <cellStyle name="R07H" xfId="293"/>
    <cellStyle name="R07L" xfId="294"/>
    <cellStyle name="rborder" xfId="295"/>
    <cellStyle name="red" xfId="296"/>
    <cellStyle name="s_HardInc " xfId="297"/>
    <cellStyle name="s_HardInc _ITC Great Plains Formula 1-12-09a" xfId="298"/>
    <cellStyle name="scenario" xfId="299"/>
    <cellStyle name="Sheetmult" xfId="300"/>
    <cellStyle name="Shtmultx" xfId="301"/>
    <cellStyle name="Style 1" xfId="302"/>
    <cellStyle name="STYLE1" xfId="303"/>
    <cellStyle name="STYLE2" xfId="304"/>
    <cellStyle name="TableHeading" xfId="305"/>
    <cellStyle name="tb" xfId="306"/>
    <cellStyle name="Tickmark" xfId="307"/>
    <cellStyle name="Title 2" xfId="419"/>
    <cellStyle name="Title1" xfId="308"/>
    <cellStyle name="top" xfId="309"/>
    <cellStyle name="Total 2" xfId="420"/>
    <cellStyle name="w" xfId="310"/>
    <cellStyle name="Warning Text 2" xfId="421"/>
    <cellStyle name="XComma" xfId="311"/>
    <cellStyle name="XComma 0.0" xfId="312"/>
    <cellStyle name="XComma 0.00" xfId="313"/>
    <cellStyle name="XComma 0.000" xfId="314"/>
    <cellStyle name="XCurrency" xfId="315"/>
    <cellStyle name="XCurrency 0.0" xfId="316"/>
    <cellStyle name="XCurrency 0.00" xfId="317"/>
    <cellStyle name="XCurrency 0.000" xfId="318"/>
    <cellStyle name="yra" xfId="319"/>
    <cellStyle name="yrActual" xfId="320"/>
    <cellStyle name="yre" xfId="321"/>
    <cellStyle name="yrExpect" xfId="322"/>
  </cellStyles>
  <dxfs count="0"/>
  <tableStyles count="0" defaultTableStyle="TableStyleMedium2" defaultPivotStyle="PivotStyleLight16"/>
  <colors>
    <mruColors>
      <color rgb="FF00FFFF"/>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x/Accruals/2010/2010&#173;_Tax%20Accr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axes\Accruals\2006\Tax%20Accruals_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c.llc\atcdata\Taxes\Accruals\2007\Tax%20Accruals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3)"/>
      <sheetName val="Sheet1 (2)"/>
    </sheetNames>
    <sheetDataSet>
      <sheetData sheetId="0" refreshError="1"/>
      <sheetData sheetId="1" refreshError="1"/>
      <sheetData sheetId="2"/>
      <sheetData sheetId="3"/>
      <sheetData sheetId="4"/>
      <sheetData sheetId="5"/>
      <sheetData sheetId="6"/>
      <sheetData sheetId="7"/>
      <sheetData sheetId="8" refreshError="1"/>
      <sheetData sheetId="9" refreshError="1"/>
      <sheetData sheetId="10"/>
      <sheetData sheetId="11"/>
      <sheetData sheetId="12"/>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62000</v>
          </cell>
          <cell r="E17">
            <v>20425</v>
          </cell>
          <cell r="F17">
            <v>2840402</v>
          </cell>
          <cell r="H17">
            <v>63590</v>
          </cell>
          <cell r="I17">
            <v>817</v>
          </cell>
          <cell r="J17">
            <v>459</v>
          </cell>
          <cell r="K17">
            <v>-41229</v>
          </cell>
          <cell r="L17">
            <v>-12937</v>
          </cell>
          <cell r="N17">
            <v>254</v>
          </cell>
          <cell r="O17">
            <v>650</v>
          </cell>
        </row>
        <row r="18">
          <cell r="A18" t="str">
            <v>October</v>
          </cell>
          <cell r="C18">
            <v>2941</v>
          </cell>
          <cell r="D18">
            <v>62000</v>
          </cell>
          <cell r="E18">
            <v>20425</v>
          </cell>
          <cell r="F18">
            <v>15689638</v>
          </cell>
          <cell r="H18">
            <v>63590</v>
          </cell>
          <cell r="I18">
            <v>817</v>
          </cell>
          <cell r="J18">
            <v>459</v>
          </cell>
          <cell r="K18">
            <v>-41229</v>
          </cell>
          <cell r="L18">
            <v>-12937</v>
          </cell>
          <cell r="N18">
            <v>254</v>
          </cell>
          <cell r="O18">
            <v>650</v>
          </cell>
        </row>
        <row r="19">
          <cell r="A19" t="str">
            <v>November</v>
          </cell>
          <cell r="D19">
            <v>62000</v>
          </cell>
          <cell r="E19">
            <v>20425</v>
          </cell>
          <cell r="F19">
            <v>29254795</v>
          </cell>
          <cell r="H19">
            <v>63590</v>
          </cell>
          <cell r="I19">
            <v>817</v>
          </cell>
          <cell r="J19">
            <v>459</v>
          </cell>
          <cell r="K19">
            <v>-41229</v>
          </cell>
          <cell r="L19">
            <v>-12937</v>
          </cell>
          <cell r="N19">
            <v>254</v>
          </cell>
          <cell r="O19">
            <v>650</v>
          </cell>
        </row>
        <row r="20">
          <cell r="A20" t="str">
            <v>December</v>
          </cell>
          <cell r="C20">
            <v>55642</v>
          </cell>
          <cell r="D20">
            <v>62000</v>
          </cell>
          <cell r="E20">
            <v>20425</v>
          </cell>
          <cell r="F20">
            <v>32095923</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sheetData sheetId="15"/>
      <sheetData sheetId="16" refreshError="1"/>
      <sheetData sheetId="17" refreshError="1"/>
      <sheetData sheetId="18" refreshError="1"/>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tabSelected="1" zoomScaleNormal="100" workbookViewId="0">
      <selection activeCell="A11" sqref="A11"/>
    </sheetView>
  </sheetViews>
  <sheetFormatPr defaultRowHeight="15"/>
  <cols>
    <col min="1" max="1" width="11.28515625" style="742" customWidth="1"/>
    <col min="2" max="2" width="11.7109375" style="742" bestFit="1" customWidth="1"/>
    <col min="3" max="5" width="9.140625" style="742"/>
    <col min="6" max="6" width="12" style="742" bestFit="1" customWidth="1"/>
    <col min="7" max="7" width="20.85546875" style="742" bestFit="1" customWidth="1"/>
    <col min="8" max="8" width="9.140625" style="742"/>
    <col min="9" max="9" width="26.28515625" style="742" bestFit="1" customWidth="1"/>
    <col min="10" max="244" width="9.140625" style="742"/>
    <col min="245" max="245" width="11.28515625" style="742" customWidth="1"/>
    <col min="246" max="246" width="11.7109375" style="742" bestFit="1" customWidth="1"/>
    <col min="247" max="249" width="9.140625" style="742"/>
    <col min="250" max="250" width="12" style="742" bestFit="1" customWidth="1"/>
    <col min="251" max="251" width="18.28515625" style="742" bestFit="1" customWidth="1"/>
    <col min="252" max="252" width="9.140625" style="742"/>
    <col min="253" max="253" width="26.28515625" style="742" bestFit="1" customWidth="1"/>
    <col min="254" max="500" width="9.140625" style="742"/>
    <col min="501" max="501" width="11.28515625" style="742" customWidth="1"/>
    <col min="502" max="502" width="11.7109375" style="742" bestFit="1" customWidth="1"/>
    <col min="503" max="505" width="9.140625" style="742"/>
    <col min="506" max="506" width="12" style="742" bestFit="1" customWidth="1"/>
    <col min="507" max="507" width="18.28515625" style="742" bestFit="1" customWidth="1"/>
    <col min="508" max="508" width="9.140625" style="742"/>
    <col min="509" max="509" width="26.28515625" style="742" bestFit="1" customWidth="1"/>
    <col min="510" max="756" width="9.140625" style="742"/>
    <col min="757" max="757" width="11.28515625" style="742" customWidth="1"/>
    <col min="758" max="758" width="11.7109375" style="742" bestFit="1" customWidth="1"/>
    <col min="759" max="761" width="9.140625" style="742"/>
    <col min="762" max="762" width="12" style="742" bestFit="1" customWidth="1"/>
    <col min="763" max="763" width="18.28515625" style="742" bestFit="1" customWidth="1"/>
    <col min="764" max="764" width="9.140625" style="742"/>
    <col min="765" max="765" width="26.28515625" style="742" bestFit="1" customWidth="1"/>
    <col min="766" max="1012" width="9.140625" style="742"/>
    <col min="1013" max="1013" width="11.28515625" style="742" customWidth="1"/>
    <col min="1014" max="1014" width="11.7109375" style="742" bestFit="1" customWidth="1"/>
    <col min="1015" max="1017" width="9.140625" style="742"/>
    <col min="1018" max="1018" width="12" style="742" bestFit="1" customWidth="1"/>
    <col min="1019" max="1019" width="18.28515625" style="742" bestFit="1" customWidth="1"/>
    <col min="1020" max="1020" width="9.140625" style="742"/>
    <col min="1021" max="1021" width="26.28515625" style="742" bestFit="1" customWidth="1"/>
    <col min="1022" max="1268" width="9.140625" style="742"/>
    <col min="1269" max="1269" width="11.28515625" style="742" customWidth="1"/>
    <col min="1270" max="1270" width="11.7109375" style="742" bestFit="1" customWidth="1"/>
    <col min="1271" max="1273" width="9.140625" style="742"/>
    <col min="1274" max="1274" width="12" style="742" bestFit="1" customWidth="1"/>
    <col min="1275" max="1275" width="18.28515625" style="742" bestFit="1" customWidth="1"/>
    <col min="1276" max="1276" width="9.140625" style="742"/>
    <col min="1277" max="1277" width="26.28515625" style="742" bestFit="1" customWidth="1"/>
    <col min="1278" max="1524" width="9.140625" style="742"/>
    <col min="1525" max="1525" width="11.28515625" style="742" customWidth="1"/>
    <col min="1526" max="1526" width="11.7109375" style="742" bestFit="1" customWidth="1"/>
    <col min="1527" max="1529" width="9.140625" style="742"/>
    <col min="1530" max="1530" width="12" style="742" bestFit="1" customWidth="1"/>
    <col min="1531" max="1531" width="18.28515625" style="742" bestFit="1" customWidth="1"/>
    <col min="1532" max="1532" width="9.140625" style="742"/>
    <col min="1533" max="1533" width="26.28515625" style="742" bestFit="1" customWidth="1"/>
    <col min="1534" max="1780" width="9.140625" style="742"/>
    <col min="1781" max="1781" width="11.28515625" style="742" customWidth="1"/>
    <col min="1782" max="1782" width="11.7109375" style="742" bestFit="1" customWidth="1"/>
    <col min="1783" max="1785" width="9.140625" style="742"/>
    <col min="1786" max="1786" width="12" style="742" bestFit="1" customWidth="1"/>
    <col min="1787" max="1787" width="18.28515625" style="742" bestFit="1" customWidth="1"/>
    <col min="1788" max="1788" width="9.140625" style="742"/>
    <col min="1789" max="1789" width="26.28515625" style="742" bestFit="1" customWidth="1"/>
    <col min="1790" max="2036" width="9.140625" style="742"/>
    <col min="2037" max="2037" width="11.28515625" style="742" customWidth="1"/>
    <col min="2038" max="2038" width="11.7109375" style="742" bestFit="1" customWidth="1"/>
    <col min="2039" max="2041" width="9.140625" style="742"/>
    <col min="2042" max="2042" width="12" style="742" bestFit="1" customWidth="1"/>
    <col min="2043" max="2043" width="18.28515625" style="742" bestFit="1" customWidth="1"/>
    <col min="2044" max="2044" width="9.140625" style="742"/>
    <col min="2045" max="2045" width="26.28515625" style="742" bestFit="1" customWidth="1"/>
    <col min="2046" max="2292" width="9.140625" style="742"/>
    <col min="2293" max="2293" width="11.28515625" style="742" customWidth="1"/>
    <col min="2294" max="2294" width="11.7109375" style="742" bestFit="1" customWidth="1"/>
    <col min="2295" max="2297" width="9.140625" style="742"/>
    <col min="2298" max="2298" width="12" style="742" bestFit="1" customWidth="1"/>
    <col min="2299" max="2299" width="18.28515625" style="742" bestFit="1" customWidth="1"/>
    <col min="2300" max="2300" width="9.140625" style="742"/>
    <col min="2301" max="2301" width="26.28515625" style="742" bestFit="1" customWidth="1"/>
    <col min="2302" max="2548" width="9.140625" style="742"/>
    <col min="2549" max="2549" width="11.28515625" style="742" customWidth="1"/>
    <col min="2550" max="2550" width="11.7109375" style="742" bestFit="1" customWidth="1"/>
    <col min="2551" max="2553" width="9.140625" style="742"/>
    <col min="2554" max="2554" width="12" style="742" bestFit="1" customWidth="1"/>
    <col min="2555" max="2555" width="18.28515625" style="742" bestFit="1" customWidth="1"/>
    <col min="2556" max="2556" width="9.140625" style="742"/>
    <col min="2557" max="2557" width="26.28515625" style="742" bestFit="1" customWidth="1"/>
    <col min="2558" max="2804" width="9.140625" style="742"/>
    <col min="2805" max="2805" width="11.28515625" style="742" customWidth="1"/>
    <col min="2806" max="2806" width="11.7109375" style="742" bestFit="1" customWidth="1"/>
    <col min="2807" max="2809" width="9.140625" style="742"/>
    <col min="2810" max="2810" width="12" style="742" bestFit="1" customWidth="1"/>
    <col min="2811" max="2811" width="18.28515625" style="742" bestFit="1" customWidth="1"/>
    <col min="2812" max="2812" width="9.140625" style="742"/>
    <col min="2813" max="2813" width="26.28515625" style="742" bestFit="1" customWidth="1"/>
    <col min="2814" max="3060" width="9.140625" style="742"/>
    <col min="3061" max="3061" width="11.28515625" style="742" customWidth="1"/>
    <col min="3062" max="3062" width="11.7109375" style="742" bestFit="1" customWidth="1"/>
    <col min="3063" max="3065" width="9.140625" style="742"/>
    <col min="3066" max="3066" width="12" style="742" bestFit="1" customWidth="1"/>
    <col min="3067" max="3067" width="18.28515625" style="742" bestFit="1" customWidth="1"/>
    <col min="3068" max="3068" width="9.140625" style="742"/>
    <col min="3069" max="3069" width="26.28515625" style="742" bestFit="1" customWidth="1"/>
    <col min="3070" max="3316" width="9.140625" style="742"/>
    <col min="3317" max="3317" width="11.28515625" style="742" customWidth="1"/>
    <col min="3318" max="3318" width="11.7109375" style="742" bestFit="1" customWidth="1"/>
    <col min="3319" max="3321" width="9.140625" style="742"/>
    <col min="3322" max="3322" width="12" style="742" bestFit="1" customWidth="1"/>
    <col min="3323" max="3323" width="18.28515625" style="742" bestFit="1" customWidth="1"/>
    <col min="3324" max="3324" width="9.140625" style="742"/>
    <col min="3325" max="3325" width="26.28515625" style="742" bestFit="1" customWidth="1"/>
    <col min="3326" max="3572" width="9.140625" style="742"/>
    <col min="3573" max="3573" width="11.28515625" style="742" customWidth="1"/>
    <col min="3574" max="3574" width="11.7109375" style="742" bestFit="1" customWidth="1"/>
    <col min="3575" max="3577" width="9.140625" style="742"/>
    <col min="3578" max="3578" width="12" style="742" bestFit="1" customWidth="1"/>
    <col min="3579" max="3579" width="18.28515625" style="742" bestFit="1" customWidth="1"/>
    <col min="3580" max="3580" width="9.140625" style="742"/>
    <col min="3581" max="3581" width="26.28515625" style="742" bestFit="1" customWidth="1"/>
    <col min="3582" max="3828" width="9.140625" style="742"/>
    <col min="3829" max="3829" width="11.28515625" style="742" customWidth="1"/>
    <col min="3830" max="3830" width="11.7109375" style="742" bestFit="1" customWidth="1"/>
    <col min="3831" max="3833" width="9.140625" style="742"/>
    <col min="3834" max="3834" width="12" style="742" bestFit="1" customWidth="1"/>
    <col min="3835" max="3835" width="18.28515625" style="742" bestFit="1" customWidth="1"/>
    <col min="3836" max="3836" width="9.140625" style="742"/>
    <col min="3837" max="3837" width="26.28515625" style="742" bestFit="1" customWidth="1"/>
    <col min="3838" max="4084" width="9.140625" style="742"/>
    <col min="4085" max="4085" width="11.28515625" style="742" customWidth="1"/>
    <col min="4086" max="4086" width="11.7109375" style="742" bestFit="1" customWidth="1"/>
    <col min="4087" max="4089" width="9.140625" style="742"/>
    <col min="4090" max="4090" width="12" style="742" bestFit="1" customWidth="1"/>
    <col min="4091" max="4091" width="18.28515625" style="742" bestFit="1" customWidth="1"/>
    <col min="4092" max="4092" width="9.140625" style="742"/>
    <col min="4093" max="4093" width="26.28515625" style="742" bestFit="1" customWidth="1"/>
    <col min="4094" max="4340" width="9.140625" style="742"/>
    <col min="4341" max="4341" width="11.28515625" style="742" customWidth="1"/>
    <col min="4342" max="4342" width="11.7109375" style="742" bestFit="1" customWidth="1"/>
    <col min="4343" max="4345" width="9.140625" style="742"/>
    <col min="4346" max="4346" width="12" style="742" bestFit="1" customWidth="1"/>
    <col min="4347" max="4347" width="18.28515625" style="742" bestFit="1" customWidth="1"/>
    <col min="4348" max="4348" width="9.140625" style="742"/>
    <col min="4349" max="4349" width="26.28515625" style="742" bestFit="1" customWidth="1"/>
    <col min="4350" max="4596" width="9.140625" style="742"/>
    <col min="4597" max="4597" width="11.28515625" style="742" customWidth="1"/>
    <col min="4598" max="4598" width="11.7109375" style="742" bestFit="1" customWidth="1"/>
    <col min="4599" max="4601" width="9.140625" style="742"/>
    <col min="4602" max="4602" width="12" style="742" bestFit="1" customWidth="1"/>
    <col min="4603" max="4603" width="18.28515625" style="742" bestFit="1" customWidth="1"/>
    <col min="4604" max="4604" width="9.140625" style="742"/>
    <col min="4605" max="4605" width="26.28515625" style="742" bestFit="1" customWidth="1"/>
    <col min="4606" max="4852" width="9.140625" style="742"/>
    <col min="4853" max="4853" width="11.28515625" style="742" customWidth="1"/>
    <col min="4854" max="4854" width="11.7109375" style="742" bestFit="1" customWidth="1"/>
    <col min="4855" max="4857" width="9.140625" style="742"/>
    <col min="4858" max="4858" width="12" style="742" bestFit="1" customWidth="1"/>
    <col min="4859" max="4859" width="18.28515625" style="742" bestFit="1" customWidth="1"/>
    <col min="4860" max="4860" width="9.140625" style="742"/>
    <col min="4861" max="4861" width="26.28515625" style="742" bestFit="1" customWidth="1"/>
    <col min="4862" max="5108" width="9.140625" style="742"/>
    <col min="5109" max="5109" width="11.28515625" style="742" customWidth="1"/>
    <col min="5110" max="5110" width="11.7109375" style="742" bestFit="1" customWidth="1"/>
    <col min="5111" max="5113" width="9.140625" style="742"/>
    <col min="5114" max="5114" width="12" style="742" bestFit="1" customWidth="1"/>
    <col min="5115" max="5115" width="18.28515625" style="742" bestFit="1" customWidth="1"/>
    <col min="5116" max="5116" width="9.140625" style="742"/>
    <col min="5117" max="5117" width="26.28515625" style="742" bestFit="1" customWidth="1"/>
    <col min="5118" max="5364" width="9.140625" style="742"/>
    <col min="5365" max="5365" width="11.28515625" style="742" customWidth="1"/>
    <col min="5366" max="5366" width="11.7109375" style="742" bestFit="1" customWidth="1"/>
    <col min="5367" max="5369" width="9.140625" style="742"/>
    <col min="5370" max="5370" width="12" style="742" bestFit="1" customWidth="1"/>
    <col min="5371" max="5371" width="18.28515625" style="742" bestFit="1" customWidth="1"/>
    <col min="5372" max="5372" width="9.140625" style="742"/>
    <col min="5373" max="5373" width="26.28515625" style="742" bestFit="1" customWidth="1"/>
    <col min="5374" max="5620" width="9.140625" style="742"/>
    <col min="5621" max="5621" width="11.28515625" style="742" customWidth="1"/>
    <col min="5622" max="5622" width="11.7109375" style="742" bestFit="1" customWidth="1"/>
    <col min="5623" max="5625" width="9.140625" style="742"/>
    <col min="5626" max="5626" width="12" style="742" bestFit="1" customWidth="1"/>
    <col min="5627" max="5627" width="18.28515625" style="742" bestFit="1" customWidth="1"/>
    <col min="5628" max="5628" width="9.140625" style="742"/>
    <col min="5629" max="5629" width="26.28515625" style="742" bestFit="1" customWidth="1"/>
    <col min="5630" max="5876" width="9.140625" style="742"/>
    <col min="5877" max="5877" width="11.28515625" style="742" customWidth="1"/>
    <col min="5878" max="5878" width="11.7109375" style="742" bestFit="1" customWidth="1"/>
    <col min="5879" max="5881" width="9.140625" style="742"/>
    <col min="5882" max="5882" width="12" style="742" bestFit="1" customWidth="1"/>
    <col min="5883" max="5883" width="18.28515625" style="742" bestFit="1" customWidth="1"/>
    <col min="5884" max="5884" width="9.140625" style="742"/>
    <col min="5885" max="5885" width="26.28515625" style="742" bestFit="1" customWidth="1"/>
    <col min="5886" max="6132" width="9.140625" style="742"/>
    <col min="6133" max="6133" width="11.28515625" style="742" customWidth="1"/>
    <col min="6134" max="6134" width="11.7109375" style="742" bestFit="1" customWidth="1"/>
    <col min="6135" max="6137" width="9.140625" style="742"/>
    <col min="6138" max="6138" width="12" style="742" bestFit="1" customWidth="1"/>
    <col min="6139" max="6139" width="18.28515625" style="742" bestFit="1" customWidth="1"/>
    <col min="6140" max="6140" width="9.140625" style="742"/>
    <col min="6141" max="6141" width="26.28515625" style="742" bestFit="1" customWidth="1"/>
    <col min="6142" max="6388" width="9.140625" style="742"/>
    <col min="6389" max="6389" width="11.28515625" style="742" customWidth="1"/>
    <col min="6390" max="6390" width="11.7109375" style="742" bestFit="1" customWidth="1"/>
    <col min="6391" max="6393" width="9.140625" style="742"/>
    <col min="6394" max="6394" width="12" style="742" bestFit="1" customWidth="1"/>
    <col min="6395" max="6395" width="18.28515625" style="742" bestFit="1" customWidth="1"/>
    <col min="6396" max="6396" width="9.140625" style="742"/>
    <col min="6397" max="6397" width="26.28515625" style="742" bestFit="1" customWidth="1"/>
    <col min="6398" max="6644" width="9.140625" style="742"/>
    <col min="6645" max="6645" width="11.28515625" style="742" customWidth="1"/>
    <col min="6646" max="6646" width="11.7109375" style="742" bestFit="1" customWidth="1"/>
    <col min="6647" max="6649" width="9.140625" style="742"/>
    <col min="6650" max="6650" width="12" style="742" bestFit="1" customWidth="1"/>
    <col min="6651" max="6651" width="18.28515625" style="742" bestFit="1" customWidth="1"/>
    <col min="6652" max="6652" width="9.140625" style="742"/>
    <col min="6653" max="6653" width="26.28515625" style="742" bestFit="1" customWidth="1"/>
    <col min="6654" max="6900" width="9.140625" style="742"/>
    <col min="6901" max="6901" width="11.28515625" style="742" customWidth="1"/>
    <col min="6902" max="6902" width="11.7109375" style="742" bestFit="1" customWidth="1"/>
    <col min="6903" max="6905" width="9.140625" style="742"/>
    <col min="6906" max="6906" width="12" style="742" bestFit="1" customWidth="1"/>
    <col min="6907" max="6907" width="18.28515625" style="742" bestFit="1" customWidth="1"/>
    <col min="6908" max="6908" width="9.140625" style="742"/>
    <col min="6909" max="6909" width="26.28515625" style="742" bestFit="1" customWidth="1"/>
    <col min="6910" max="7156" width="9.140625" style="742"/>
    <col min="7157" max="7157" width="11.28515625" style="742" customWidth="1"/>
    <col min="7158" max="7158" width="11.7109375" style="742" bestFit="1" customWidth="1"/>
    <col min="7159" max="7161" width="9.140625" style="742"/>
    <col min="7162" max="7162" width="12" style="742" bestFit="1" customWidth="1"/>
    <col min="7163" max="7163" width="18.28515625" style="742" bestFit="1" customWidth="1"/>
    <col min="7164" max="7164" width="9.140625" style="742"/>
    <col min="7165" max="7165" width="26.28515625" style="742" bestFit="1" customWidth="1"/>
    <col min="7166" max="7412" width="9.140625" style="742"/>
    <col min="7413" max="7413" width="11.28515625" style="742" customWidth="1"/>
    <col min="7414" max="7414" width="11.7109375" style="742" bestFit="1" customWidth="1"/>
    <col min="7415" max="7417" width="9.140625" style="742"/>
    <col min="7418" max="7418" width="12" style="742" bestFit="1" customWidth="1"/>
    <col min="7419" max="7419" width="18.28515625" style="742" bestFit="1" customWidth="1"/>
    <col min="7420" max="7420" width="9.140625" style="742"/>
    <col min="7421" max="7421" width="26.28515625" style="742" bestFit="1" customWidth="1"/>
    <col min="7422" max="7668" width="9.140625" style="742"/>
    <col min="7669" max="7669" width="11.28515625" style="742" customWidth="1"/>
    <col min="7670" max="7670" width="11.7109375" style="742" bestFit="1" customWidth="1"/>
    <col min="7671" max="7673" width="9.140625" style="742"/>
    <col min="7674" max="7674" width="12" style="742" bestFit="1" customWidth="1"/>
    <col min="7675" max="7675" width="18.28515625" style="742" bestFit="1" customWidth="1"/>
    <col min="7676" max="7676" width="9.140625" style="742"/>
    <col min="7677" max="7677" width="26.28515625" style="742" bestFit="1" customWidth="1"/>
    <col min="7678" max="7924" width="9.140625" style="742"/>
    <col min="7925" max="7925" width="11.28515625" style="742" customWidth="1"/>
    <col min="7926" max="7926" width="11.7109375" style="742" bestFit="1" customWidth="1"/>
    <col min="7927" max="7929" width="9.140625" style="742"/>
    <col min="7930" max="7930" width="12" style="742" bestFit="1" customWidth="1"/>
    <col min="7931" max="7931" width="18.28515625" style="742" bestFit="1" customWidth="1"/>
    <col min="7932" max="7932" width="9.140625" style="742"/>
    <col min="7933" max="7933" width="26.28515625" style="742" bestFit="1" customWidth="1"/>
    <col min="7934" max="8180" width="9.140625" style="742"/>
    <col min="8181" max="8181" width="11.28515625" style="742" customWidth="1"/>
    <col min="8182" max="8182" width="11.7109375" style="742" bestFit="1" customWidth="1"/>
    <col min="8183" max="8185" width="9.140625" style="742"/>
    <col min="8186" max="8186" width="12" style="742" bestFit="1" customWidth="1"/>
    <col min="8187" max="8187" width="18.28515625" style="742" bestFit="1" customWidth="1"/>
    <col min="8188" max="8188" width="9.140625" style="742"/>
    <col min="8189" max="8189" width="26.28515625" style="742" bestFit="1" customWidth="1"/>
    <col min="8190" max="8436" width="9.140625" style="742"/>
    <col min="8437" max="8437" width="11.28515625" style="742" customWidth="1"/>
    <col min="8438" max="8438" width="11.7109375" style="742" bestFit="1" customWidth="1"/>
    <col min="8439" max="8441" width="9.140625" style="742"/>
    <col min="8442" max="8442" width="12" style="742" bestFit="1" customWidth="1"/>
    <col min="8443" max="8443" width="18.28515625" style="742" bestFit="1" customWidth="1"/>
    <col min="8444" max="8444" width="9.140625" style="742"/>
    <col min="8445" max="8445" width="26.28515625" style="742" bestFit="1" customWidth="1"/>
    <col min="8446" max="8692" width="9.140625" style="742"/>
    <col min="8693" max="8693" width="11.28515625" style="742" customWidth="1"/>
    <col min="8694" max="8694" width="11.7109375" style="742" bestFit="1" customWidth="1"/>
    <col min="8695" max="8697" width="9.140625" style="742"/>
    <col min="8698" max="8698" width="12" style="742" bestFit="1" customWidth="1"/>
    <col min="8699" max="8699" width="18.28515625" style="742" bestFit="1" customWidth="1"/>
    <col min="8700" max="8700" width="9.140625" style="742"/>
    <col min="8701" max="8701" width="26.28515625" style="742" bestFit="1" customWidth="1"/>
    <col min="8702" max="8948" width="9.140625" style="742"/>
    <col min="8949" max="8949" width="11.28515625" style="742" customWidth="1"/>
    <col min="8950" max="8950" width="11.7109375" style="742" bestFit="1" customWidth="1"/>
    <col min="8951" max="8953" width="9.140625" style="742"/>
    <col min="8954" max="8954" width="12" style="742" bestFit="1" customWidth="1"/>
    <col min="8955" max="8955" width="18.28515625" style="742" bestFit="1" customWidth="1"/>
    <col min="8956" max="8956" width="9.140625" style="742"/>
    <col min="8957" max="8957" width="26.28515625" style="742" bestFit="1" customWidth="1"/>
    <col min="8958" max="9204" width="9.140625" style="742"/>
    <col min="9205" max="9205" width="11.28515625" style="742" customWidth="1"/>
    <col min="9206" max="9206" width="11.7109375" style="742" bestFit="1" customWidth="1"/>
    <col min="9207" max="9209" width="9.140625" style="742"/>
    <col min="9210" max="9210" width="12" style="742" bestFit="1" customWidth="1"/>
    <col min="9211" max="9211" width="18.28515625" style="742" bestFit="1" customWidth="1"/>
    <col min="9212" max="9212" width="9.140625" style="742"/>
    <col min="9213" max="9213" width="26.28515625" style="742" bestFit="1" customWidth="1"/>
    <col min="9214" max="9460" width="9.140625" style="742"/>
    <col min="9461" max="9461" width="11.28515625" style="742" customWidth="1"/>
    <col min="9462" max="9462" width="11.7109375" style="742" bestFit="1" customWidth="1"/>
    <col min="9463" max="9465" width="9.140625" style="742"/>
    <col min="9466" max="9466" width="12" style="742" bestFit="1" customWidth="1"/>
    <col min="9467" max="9467" width="18.28515625" style="742" bestFit="1" customWidth="1"/>
    <col min="9468" max="9468" width="9.140625" style="742"/>
    <col min="9469" max="9469" width="26.28515625" style="742" bestFit="1" customWidth="1"/>
    <col min="9470" max="9716" width="9.140625" style="742"/>
    <col min="9717" max="9717" width="11.28515625" style="742" customWidth="1"/>
    <col min="9718" max="9718" width="11.7109375" style="742" bestFit="1" customWidth="1"/>
    <col min="9719" max="9721" width="9.140625" style="742"/>
    <col min="9722" max="9722" width="12" style="742" bestFit="1" customWidth="1"/>
    <col min="9723" max="9723" width="18.28515625" style="742" bestFit="1" customWidth="1"/>
    <col min="9724" max="9724" width="9.140625" style="742"/>
    <col min="9725" max="9725" width="26.28515625" style="742" bestFit="1" customWidth="1"/>
    <col min="9726" max="9972" width="9.140625" style="742"/>
    <col min="9973" max="9973" width="11.28515625" style="742" customWidth="1"/>
    <col min="9974" max="9974" width="11.7109375" style="742" bestFit="1" customWidth="1"/>
    <col min="9975" max="9977" width="9.140625" style="742"/>
    <col min="9978" max="9978" width="12" style="742" bestFit="1" customWidth="1"/>
    <col min="9979" max="9979" width="18.28515625" style="742" bestFit="1" customWidth="1"/>
    <col min="9980" max="9980" width="9.140625" style="742"/>
    <col min="9981" max="9981" width="26.28515625" style="742" bestFit="1" customWidth="1"/>
    <col min="9982" max="10228" width="9.140625" style="742"/>
    <col min="10229" max="10229" width="11.28515625" style="742" customWidth="1"/>
    <col min="10230" max="10230" width="11.7109375" style="742" bestFit="1" customWidth="1"/>
    <col min="10231" max="10233" width="9.140625" style="742"/>
    <col min="10234" max="10234" width="12" style="742" bestFit="1" customWidth="1"/>
    <col min="10235" max="10235" width="18.28515625" style="742" bestFit="1" customWidth="1"/>
    <col min="10236" max="10236" width="9.140625" style="742"/>
    <col min="10237" max="10237" width="26.28515625" style="742" bestFit="1" customWidth="1"/>
    <col min="10238" max="10484" width="9.140625" style="742"/>
    <col min="10485" max="10485" width="11.28515625" style="742" customWidth="1"/>
    <col min="10486" max="10486" width="11.7109375" style="742" bestFit="1" customWidth="1"/>
    <col min="10487" max="10489" width="9.140625" style="742"/>
    <col min="10490" max="10490" width="12" style="742" bestFit="1" customWidth="1"/>
    <col min="10491" max="10491" width="18.28515625" style="742" bestFit="1" customWidth="1"/>
    <col min="10492" max="10492" width="9.140625" style="742"/>
    <col min="10493" max="10493" width="26.28515625" style="742" bestFit="1" customWidth="1"/>
    <col min="10494" max="10740" width="9.140625" style="742"/>
    <col min="10741" max="10741" width="11.28515625" style="742" customWidth="1"/>
    <col min="10742" max="10742" width="11.7109375" style="742" bestFit="1" customWidth="1"/>
    <col min="10743" max="10745" width="9.140625" style="742"/>
    <col min="10746" max="10746" width="12" style="742" bestFit="1" customWidth="1"/>
    <col min="10747" max="10747" width="18.28515625" style="742" bestFit="1" customWidth="1"/>
    <col min="10748" max="10748" width="9.140625" style="742"/>
    <col min="10749" max="10749" width="26.28515625" style="742" bestFit="1" customWidth="1"/>
    <col min="10750" max="10996" width="9.140625" style="742"/>
    <col min="10997" max="10997" width="11.28515625" style="742" customWidth="1"/>
    <col min="10998" max="10998" width="11.7109375" style="742" bestFit="1" customWidth="1"/>
    <col min="10999" max="11001" width="9.140625" style="742"/>
    <col min="11002" max="11002" width="12" style="742" bestFit="1" customWidth="1"/>
    <col min="11003" max="11003" width="18.28515625" style="742" bestFit="1" customWidth="1"/>
    <col min="11004" max="11004" width="9.140625" style="742"/>
    <col min="11005" max="11005" width="26.28515625" style="742" bestFit="1" customWidth="1"/>
    <col min="11006" max="11252" width="9.140625" style="742"/>
    <col min="11253" max="11253" width="11.28515625" style="742" customWidth="1"/>
    <col min="11254" max="11254" width="11.7109375" style="742" bestFit="1" customWidth="1"/>
    <col min="11255" max="11257" width="9.140625" style="742"/>
    <col min="11258" max="11258" width="12" style="742" bestFit="1" customWidth="1"/>
    <col min="11259" max="11259" width="18.28515625" style="742" bestFit="1" customWidth="1"/>
    <col min="11260" max="11260" width="9.140625" style="742"/>
    <col min="11261" max="11261" width="26.28515625" style="742" bestFit="1" customWidth="1"/>
    <col min="11262" max="11508" width="9.140625" style="742"/>
    <col min="11509" max="11509" width="11.28515625" style="742" customWidth="1"/>
    <col min="11510" max="11510" width="11.7109375" style="742" bestFit="1" customWidth="1"/>
    <col min="11511" max="11513" width="9.140625" style="742"/>
    <col min="11514" max="11514" width="12" style="742" bestFit="1" customWidth="1"/>
    <col min="11515" max="11515" width="18.28515625" style="742" bestFit="1" customWidth="1"/>
    <col min="11516" max="11516" width="9.140625" style="742"/>
    <col min="11517" max="11517" width="26.28515625" style="742" bestFit="1" customWidth="1"/>
    <col min="11518" max="11764" width="9.140625" style="742"/>
    <col min="11765" max="11765" width="11.28515625" style="742" customWidth="1"/>
    <col min="11766" max="11766" width="11.7109375" style="742" bestFit="1" customWidth="1"/>
    <col min="11767" max="11769" width="9.140625" style="742"/>
    <col min="11770" max="11770" width="12" style="742" bestFit="1" customWidth="1"/>
    <col min="11771" max="11771" width="18.28515625" style="742" bestFit="1" customWidth="1"/>
    <col min="11772" max="11772" width="9.140625" style="742"/>
    <col min="11773" max="11773" width="26.28515625" style="742" bestFit="1" customWidth="1"/>
    <col min="11774" max="12020" width="9.140625" style="742"/>
    <col min="12021" max="12021" width="11.28515625" style="742" customWidth="1"/>
    <col min="12022" max="12022" width="11.7109375" style="742" bestFit="1" customWidth="1"/>
    <col min="12023" max="12025" width="9.140625" style="742"/>
    <col min="12026" max="12026" width="12" style="742" bestFit="1" customWidth="1"/>
    <col min="12027" max="12027" width="18.28515625" style="742" bestFit="1" customWidth="1"/>
    <col min="12028" max="12028" width="9.140625" style="742"/>
    <col min="12029" max="12029" width="26.28515625" style="742" bestFit="1" customWidth="1"/>
    <col min="12030" max="12276" width="9.140625" style="742"/>
    <col min="12277" max="12277" width="11.28515625" style="742" customWidth="1"/>
    <col min="12278" max="12278" width="11.7109375" style="742" bestFit="1" customWidth="1"/>
    <col min="12279" max="12281" width="9.140625" style="742"/>
    <col min="12282" max="12282" width="12" style="742" bestFit="1" customWidth="1"/>
    <col min="12283" max="12283" width="18.28515625" style="742" bestFit="1" customWidth="1"/>
    <col min="12284" max="12284" width="9.140625" style="742"/>
    <col min="12285" max="12285" width="26.28515625" style="742" bestFit="1" customWidth="1"/>
    <col min="12286" max="12532" width="9.140625" style="742"/>
    <col min="12533" max="12533" width="11.28515625" style="742" customWidth="1"/>
    <col min="12534" max="12534" width="11.7109375" style="742" bestFit="1" customWidth="1"/>
    <col min="12535" max="12537" width="9.140625" style="742"/>
    <col min="12538" max="12538" width="12" style="742" bestFit="1" customWidth="1"/>
    <col min="12539" max="12539" width="18.28515625" style="742" bestFit="1" customWidth="1"/>
    <col min="12540" max="12540" width="9.140625" style="742"/>
    <col min="12541" max="12541" width="26.28515625" style="742" bestFit="1" customWidth="1"/>
    <col min="12542" max="12788" width="9.140625" style="742"/>
    <col min="12789" max="12789" width="11.28515625" style="742" customWidth="1"/>
    <col min="12790" max="12790" width="11.7109375" style="742" bestFit="1" customWidth="1"/>
    <col min="12791" max="12793" width="9.140625" style="742"/>
    <col min="12794" max="12794" width="12" style="742" bestFit="1" customWidth="1"/>
    <col min="12795" max="12795" width="18.28515625" style="742" bestFit="1" customWidth="1"/>
    <col min="12796" max="12796" width="9.140625" style="742"/>
    <col min="12797" max="12797" width="26.28515625" style="742" bestFit="1" customWidth="1"/>
    <col min="12798" max="13044" width="9.140625" style="742"/>
    <col min="13045" max="13045" width="11.28515625" style="742" customWidth="1"/>
    <col min="13046" max="13046" width="11.7109375" style="742" bestFit="1" customWidth="1"/>
    <col min="13047" max="13049" width="9.140625" style="742"/>
    <col min="13050" max="13050" width="12" style="742" bestFit="1" customWidth="1"/>
    <col min="13051" max="13051" width="18.28515625" style="742" bestFit="1" customWidth="1"/>
    <col min="13052" max="13052" width="9.140625" style="742"/>
    <col min="13053" max="13053" width="26.28515625" style="742" bestFit="1" customWidth="1"/>
    <col min="13054" max="13300" width="9.140625" style="742"/>
    <col min="13301" max="13301" width="11.28515625" style="742" customWidth="1"/>
    <col min="13302" max="13302" width="11.7109375" style="742" bestFit="1" customWidth="1"/>
    <col min="13303" max="13305" width="9.140625" style="742"/>
    <col min="13306" max="13306" width="12" style="742" bestFit="1" customWidth="1"/>
    <col min="13307" max="13307" width="18.28515625" style="742" bestFit="1" customWidth="1"/>
    <col min="13308" max="13308" width="9.140625" style="742"/>
    <col min="13309" max="13309" width="26.28515625" style="742" bestFit="1" customWidth="1"/>
    <col min="13310" max="13556" width="9.140625" style="742"/>
    <col min="13557" max="13557" width="11.28515625" style="742" customWidth="1"/>
    <col min="13558" max="13558" width="11.7109375" style="742" bestFit="1" customWidth="1"/>
    <col min="13559" max="13561" width="9.140625" style="742"/>
    <col min="13562" max="13562" width="12" style="742" bestFit="1" customWidth="1"/>
    <col min="13563" max="13563" width="18.28515625" style="742" bestFit="1" customWidth="1"/>
    <col min="13564" max="13564" width="9.140625" style="742"/>
    <col min="13565" max="13565" width="26.28515625" style="742" bestFit="1" customWidth="1"/>
    <col min="13566" max="13812" width="9.140625" style="742"/>
    <col min="13813" max="13813" width="11.28515625" style="742" customWidth="1"/>
    <col min="13814" max="13814" width="11.7109375" style="742" bestFit="1" customWidth="1"/>
    <col min="13815" max="13817" width="9.140625" style="742"/>
    <col min="13818" max="13818" width="12" style="742" bestFit="1" customWidth="1"/>
    <col min="13819" max="13819" width="18.28515625" style="742" bestFit="1" customWidth="1"/>
    <col min="13820" max="13820" width="9.140625" style="742"/>
    <col min="13821" max="13821" width="26.28515625" style="742" bestFit="1" customWidth="1"/>
    <col min="13822" max="14068" width="9.140625" style="742"/>
    <col min="14069" max="14069" width="11.28515625" style="742" customWidth="1"/>
    <col min="14070" max="14070" width="11.7109375" style="742" bestFit="1" customWidth="1"/>
    <col min="14071" max="14073" width="9.140625" style="742"/>
    <col min="14074" max="14074" width="12" style="742" bestFit="1" customWidth="1"/>
    <col min="14075" max="14075" width="18.28515625" style="742" bestFit="1" customWidth="1"/>
    <col min="14076" max="14076" width="9.140625" style="742"/>
    <col min="14077" max="14077" width="26.28515625" style="742" bestFit="1" customWidth="1"/>
    <col min="14078" max="14324" width="9.140625" style="742"/>
    <col min="14325" max="14325" width="11.28515625" style="742" customWidth="1"/>
    <col min="14326" max="14326" width="11.7109375" style="742" bestFit="1" customWidth="1"/>
    <col min="14327" max="14329" width="9.140625" style="742"/>
    <col min="14330" max="14330" width="12" style="742" bestFit="1" customWidth="1"/>
    <col min="14331" max="14331" width="18.28515625" style="742" bestFit="1" customWidth="1"/>
    <col min="14332" max="14332" width="9.140625" style="742"/>
    <col min="14333" max="14333" width="26.28515625" style="742" bestFit="1" customWidth="1"/>
    <col min="14334" max="14580" width="9.140625" style="742"/>
    <col min="14581" max="14581" width="11.28515625" style="742" customWidth="1"/>
    <col min="14582" max="14582" width="11.7109375" style="742" bestFit="1" customWidth="1"/>
    <col min="14583" max="14585" width="9.140625" style="742"/>
    <col min="14586" max="14586" width="12" style="742" bestFit="1" customWidth="1"/>
    <col min="14587" max="14587" width="18.28515625" style="742" bestFit="1" customWidth="1"/>
    <col min="14588" max="14588" width="9.140625" style="742"/>
    <col min="14589" max="14589" width="26.28515625" style="742" bestFit="1" customWidth="1"/>
    <col min="14590" max="14836" width="9.140625" style="742"/>
    <col min="14837" max="14837" width="11.28515625" style="742" customWidth="1"/>
    <col min="14838" max="14838" width="11.7109375" style="742" bestFit="1" customWidth="1"/>
    <col min="14839" max="14841" width="9.140625" style="742"/>
    <col min="14842" max="14842" width="12" style="742" bestFit="1" customWidth="1"/>
    <col min="14843" max="14843" width="18.28515625" style="742" bestFit="1" customWidth="1"/>
    <col min="14844" max="14844" width="9.140625" style="742"/>
    <col min="14845" max="14845" width="26.28515625" style="742" bestFit="1" customWidth="1"/>
    <col min="14846" max="15092" width="9.140625" style="742"/>
    <col min="15093" max="15093" width="11.28515625" style="742" customWidth="1"/>
    <col min="15094" max="15094" width="11.7109375" style="742" bestFit="1" customWidth="1"/>
    <col min="15095" max="15097" width="9.140625" style="742"/>
    <col min="15098" max="15098" width="12" style="742" bestFit="1" customWidth="1"/>
    <col min="15099" max="15099" width="18.28515625" style="742" bestFit="1" customWidth="1"/>
    <col min="15100" max="15100" width="9.140625" style="742"/>
    <col min="15101" max="15101" width="26.28515625" style="742" bestFit="1" customWidth="1"/>
    <col min="15102" max="15348" width="9.140625" style="742"/>
    <col min="15349" max="15349" width="11.28515625" style="742" customWidth="1"/>
    <col min="15350" max="15350" width="11.7109375" style="742" bestFit="1" customWidth="1"/>
    <col min="15351" max="15353" width="9.140625" style="742"/>
    <col min="15354" max="15354" width="12" style="742" bestFit="1" customWidth="1"/>
    <col min="15355" max="15355" width="18.28515625" style="742" bestFit="1" customWidth="1"/>
    <col min="15356" max="15356" width="9.140625" style="742"/>
    <col min="15357" max="15357" width="26.28515625" style="742" bestFit="1" customWidth="1"/>
    <col min="15358" max="15604" width="9.140625" style="742"/>
    <col min="15605" max="15605" width="11.28515625" style="742" customWidth="1"/>
    <col min="15606" max="15606" width="11.7109375" style="742" bestFit="1" customWidth="1"/>
    <col min="15607" max="15609" width="9.140625" style="742"/>
    <col min="15610" max="15610" width="12" style="742" bestFit="1" customWidth="1"/>
    <col min="15611" max="15611" width="18.28515625" style="742" bestFit="1" customWidth="1"/>
    <col min="15612" max="15612" width="9.140625" style="742"/>
    <col min="15613" max="15613" width="26.28515625" style="742" bestFit="1" customWidth="1"/>
    <col min="15614" max="15860" width="9.140625" style="742"/>
    <col min="15861" max="15861" width="11.28515625" style="742" customWidth="1"/>
    <col min="15862" max="15862" width="11.7109375" style="742" bestFit="1" customWidth="1"/>
    <col min="15863" max="15865" width="9.140625" style="742"/>
    <col min="15866" max="15866" width="12" style="742" bestFit="1" customWidth="1"/>
    <col min="15867" max="15867" width="18.28515625" style="742" bestFit="1" customWidth="1"/>
    <col min="15868" max="15868" width="9.140625" style="742"/>
    <col min="15869" max="15869" width="26.28515625" style="742" bestFit="1" customWidth="1"/>
    <col min="15870" max="16116" width="9.140625" style="742"/>
    <col min="16117" max="16117" width="11.28515625" style="742" customWidth="1"/>
    <col min="16118" max="16118" width="11.7109375" style="742" bestFit="1" customWidth="1"/>
    <col min="16119" max="16121" width="9.140625" style="742"/>
    <col min="16122" max="16122" width="12" style="742" bestFit="1" customWidth="1"/>
    <col min="16123" max="16123" width="18.28515625" style="742" bestFit="1" customWidth="1"/>
    <col min="16124" max="16124" width="9.140625" style="742"/>
    <col min="16125" max="16125" width="26.28515625" style="742" bestFit="1" customWidth="1"/>
    <col min="16126" max="16384" width="9.140625" style="742"/>
  </cols>
  <sheetData>
    <row r="1" spans="1:9" ht="15.75">
      <c r="A1" s="741" t="s">
        <v>342</v>
      </c>
    </row>
    <row r="2" spans="1:9" ht="15.75">
      <c r="A2" s="741" t="s">
        <v>842</v>
      </c>
    </row>
    <row r="3" spans="1:9" ht="15.75">
      <c r="A3" s="743" t="s">
        <v>576</v>
      </c>
    </row>
    <row r="6" spans="1:9">
      <c r="A6" s="744" t="s">
        <v>733</v>
      </c>
      <c r="G6" s="745">
        <f>'ATC Attach O ER13-1181'!I20</f>
        <v>531811966.44882184</v>
      </c>
      <c r="H6" s="746"/>
      <c r="I6" s="771"/>
    </row>
    <row r="7" spans="1:9">
      <c r="G7" s="745"/>
      <c r="H7" s="746"/>
      <c r="I7" s="771"/>
    </row>
    <row r="8" spans="1:9">
      <c r="A8" s="744" t="s">
        <v>734</v>
      </c>
      <c r="G8" s="745">
        <f>'Revenue Breakout'!C12</f>
        <v>538343533.70000005</v>
      </c>
      <c r="H8" s="746"/>
      <c r="I8" s="771"/>
    </row>
    <row r="9" spans="1:9">
      <c r="G9" s="745"/>
      <c r="I9" s="771"/>
    </row>
    <row r="10" spans="1:9">
      <c r="A10" s="747" t="s">
        <v>846</v>
      </c>
      <c r="B10" s="746"/>
      <c r="C10" s="746"/>
      <c r="D10" s="746"/>
      <c r="G10" s="748">
        <f>G8-G6</f>
        <v>6531567.251178205</v>
      </c>
      <c r="H10" s="771"/>
      <c r="I10" s="771"/>
    </row>
    <row r="11" spans="1:9">
      <c r="G11" s="745"/>
      <c r="I11" s="771"/>
    </row>
    <row r="12" spans="1:9">
      <c r="A12" s="742" t="s">
        <v>744</v>
      </c>
      <c r="G12" s="749">
        <v>1647911.151178238</v>
      </c>
      <c r="I12" s="771"/>
    </row>
    <row r="13" spans="1:9">
      <c r="I13" s="771"/>
    </row>
    <row r="14" spans="1:9" ht="15.75" thickBot="1">
      <c r="A14" s="742" t="s">
        <v>843</v>
      </c>
      <c r="G14" s="750">
        <f>G10-G12</f>
        <v>4883656.099999967</v>
      </c>
      <c r="I14" s="771"/>
    </row>
    <row r="15" spans="1:9" ht="15.75" thickTop="1"/>
    <row r="16" spans="1:9" ht="15.75">
      <c r="A16" s="751" t="s">
        <v>735</v>
      </c>
      <c r="B16" s="752"/>
      <c r="C16" s="752"/>
      <c r="D16" s="752"/>
      <c r="E16" s="752"/>
      <c r="F16" s="752"/>
      <c r="G16" s="752"/>
    </row>
    <row r="17" spans="1:8" ht="15.75">
      <c r="A17" s="752"/>
      <c r="B17" s="744" t="s">
        <v>740</v>
      </c>
      <c r="C17" s="752"/>
      <c r="D17" s="753">
        <v>2.7000000000000001E-3</v>
      </c>
      <c r="E17" s="752"/>
      <c r="F17" s="752"/>
      <c r="G17" s="752"/>
      <c r="H17" s="752"/>
    </row>
    <row r="18" spans="1:8" ht="15.75">
      <c r="A18" s="752"/>
      <c r="B18" s="744" t="s">
        <v>741</v>
      </c>
      <c r="C18" s="752"/>
      <c r="D18" s="753">
        <v>2.7000000000000001E-3</v>
      </c>
      <c r="E18" s="752"/>
      <c r="F18" s="752"/>
      <c r="G18" s="752"/>
      <c r="H18" s="752"/>
    </row>
    <row r="19" spans="1:8" ht="15.75">
      <c r="A19" s="752"/>
      <c r="B19" s="744" t="s">
        <v>742</v>
      </c>
      <c r="C19" s="752"/>
      <c r="D19" s="753">
        <v>2.7000000000000001E-3</v>
      </c>
      <c r="E19" s="752"/>
      <c r="F19" s="752"/>
      <c r="G19" s="752"/>
      <c r="H19" s="752"/>
    </row>
    <row r="20" spans="1:8" ht="15.75">
      <c r="A20" s="752"/>
      <c r="B20" s="752"/>
      <c r="C20" s="752"/>
      <c r="D20" s="754"/>
      <c r="E20" s="752"/>
      <c r="F20" s="752"/>
      <c r="G20" s="752"/>
      <c r="H20" s="752"/>
    </row>
    <row r="21" spans="1:8" ht="15.75">
      <c r="A21" s="752"/>
      <c r="B21" s="752"/>
      <c r="C21" s="752"/>
      <c r="D21" s="755">
        <f>SUM(D17:D20)</f>
        <v>8.0999999999999996E-3</v>
      </c>
      <c r="E21" s="752"/>
      <c r="F21" s="752"/>
      <c r="G21" s="752"/>
      <c r="H21" s="752"/>
    </row>
    <row r="22" spans="1:8" ht="15.75">
      <c r="A22" s="752"/>
      <c r="B22" s="756"/>
      <c r="C22" s="757"/>
      <c r="D22" s="755"/>
      <c r="E22" s="752"/>
      <c r="F22" s="752"/>
      <c r="G22" s="752"/>
      <c r="H22" s="752"/>
    </row>
    <row r="23" spans="1:8" ht="15.75">
      <c r="A23" s="752"/>
      <c r="B23" s="757" t="s">
        <v>736</v>
      </c>
      <c r="C23" s="757"/>
      <c r="D23" s="758">
        <f>D21/3</f>
        <v>2.6999999999999997E-3</v>
      </c>
      <c r="E23" s="752"/>
      <c r="F23" s="752"/>
      <c r="G23" s="759">
        <f>D23</f>
        <v>2.6999999999999997E-3</v>
      </c>
      <c r="H23" s="742" t="s">
        <v>737</v>
      </c>
    </row>
    <row r="24" spans="1:8" ht="15.75">
      <c r="A24" s="752"/>
      <c r="B24" s="757"/>
      <c r="C24" s="757"/>
      <c r="D24" s="760"/>
      <c r="E24" s="752"/>
      <c r="F24" s="752"/>
      <c r="G24" s="752"/>
      <c r="H24" s="752"/>
    </row>
    <row r="25" spans="1:8" ht="15.75">
      <c r="A25" s="752"/>
      <c r="B25" s="757"/>
      <c r="C25" s="757"/>
      <c r="D25" s="760"/>
      <c r="E25" s="752"/>
      <c r="F25" s="752"/>
      <c r="G25" s="761">
        <f>G14*G23</f>
        <v>13185.871469999909</v>
      </c>
      <c r="H25" s="742" t="s">
        <v>738</v>
      </c>
    </row>
    <row r="26" spans="1:8" ht="15.75">
      <c r="A26" s="752"/>
      <c r="B26" s="757"/>
      <c r="C26" s="757"/>
      <c r="D26" s="762"/>
      <c r="E26" s="763"/>
      <c r="F26" s="752"/>
      <c r="H26" s="752"/>
    </row>
    <row r="27" spans="1:8" ht="15.75">
      <c r="A27" s="752"/>
      <c r="B27" s="757"/>
      <c r="C27" s="757"/>
      <c r="D27" s="760"/>
      <c r="E27" s="752"/>
      <c r="F27" s="752"/>
      <c r="G27" s="764" t="s">
        <v>739</v>
      </c>
      <c r="H27" s="752"/>
    </row>
    <row r="28" spans="1:8" ht="15.75">
      <c r="A28" s="752"/>
      <c r="B28" s="752"/>
      <c r="C28" s="752"/>
      <c r="D28" s="752"/>
      <c r="E28" s="752"/>
      <c r="F28" s="752"/>
      <c r="G28" s="765">
        <f>G25*12</f>
        <v>158230.4576399989</v>
      </c>
      <c r="H28" s="752"/>
    </row>
    <row r="31" spans="1:8" ht="16.5" thickBot="1">
      <c r="A31" s="744" t="s">
        <v>743</v>
      </c>
      <c r="B31" s="752"/>
      <c r="C31" s="752"/>
      <c r="D31" s="752"/>
      <c r="E31" s="752"/>
      <c r="F31" s="752"/>
      <c r="G31" s="750">
        <f>G14+G28</f>
        <v>5041886.5576399658</v>
      </c>
      <c r="H31" s="752"/>
    </row>
    <row r="32" spans="1:8" ht="15.75" thickTop="1"/>
  </sheetData>
  <pageMargins left="0.5" right="0.5" top="1" bottom="1" header="0.5" footer="0.5"/>
  <pageSetup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9"/>
  <sheetViews>
    <sheetView zoomScaleNormal="100" workbookViewId="0">
      <selection activeCell="L18" sqref="L18"/>
    </sheetView>
  </sheetViews>
  <sheetFormatPr defaultColWidth="9.140625" defaultRowHeight="12.75"/>
  <cols>
    <col min="1" max="1" width="13" style="617" customWidth="1"/>
    <col min="2" max="2" width="9.140625" style="617" customWidth="1"/>
    <col min="3" max="3" width="17.140625" style="617" bestFit="1" customWidth="1"/>
    <col min="4" max="4" width="6" style="617" customWidth="1"/>
    <col min="5" max="245" width="9.140625" style="617"/>
    <col min="246" max="246" width="13" style="617" customWidth="1"/>
    <col min="247" max="247" width="9.140625" style="617" customWidth="1"/>
    <col min="248" max="248" width="15.42578125" style="617" bestFit="1" customWidth="1"/>
    <col min="249" max="249" width="13" style="617" bestFit="1" customWidth="1"/>
    <col min="250" max="250" width="7.7109375" style="617" bestFit="1" customWidth="1"/>
    <col min="251" max="251" width="21" style="617" bestFit="1" customWidth="1"/>
    <col min="252" max="252" width="15.140625" style="617" bestFit="1" customWidth="1"/>
    <col min="253" max="253" width="17.140625" style="617" bestFit="1" customWidth="1"/>
    <col min="254" max="254" width="6" style="617" customWidth="1"/>
    <col min="255" max="255" width="14.7109375" style="617" bestFit="1" customWidth="1"/>
    <col min="256" max="256" width="16.5703125" style="617" bestFit="1" customWidth="1"/>
    <col min="257" max="257" width="15.28515625" style="617" bestFit="1" customWidth="1"/>
    <col min="258" max="258" width="18.42578125" style="617" customWidth="1"/>
    <col min="259" max="501" width="9.140625" style="617"/>
    <col min="502" max="502" width="13" style="617" customWidth="1"/>
    <col min="503" max="503" width="9.140625" style="617" customWidth="1"/>
    <col min="504" max="504" width="15.42578125" style="617" bestFit="1" customWidth="1"/>
    <col min="505" max="505" width="13" style="617" bestFit="1" customWidth="1"/>
    <col min="506" max="506" width="7.7109375" style="617" bestFit="1" customWidth="1"/>
    <col min="507" max="507" width="21" style="617" bestFit="1" customWidth="1"/>
    <col min="508" max="508" width="15.140625" style="617" bestFit="1" customWidth="1"/>
    <col min="509" max="509" width="17.140625" style="617" bestFit="1" customWidth="1"/>
    <col min="510" max="510" width="6" style="617" customWidth="1"/>
    <col min="511" max="511" width="14.7109375" style="617" bestFit="1" customWidth="1"/>
    <col min="512" max="512" width="16.5703125" style="617" bestFit="1" customWidth="1"/>
    <col min="513" max="513" width="15.28515625" style="617" bestFit="1" customWidth="1"/>
    <col min="514" max="514" width="18.42578125" style="617" customWidth="1"/>
    <col min="515" max="757" width="9.140625" style="617"/>
    <col min="758" max="758" width="13" style="617" customWidth="1"/>
    <col min="759" max="759" width="9.140625" style="617" customWidth="1"/>
    <col min="760" max="760" width="15.42578125" style="617" bestFit="1" customWidth="1"/>
    <col min="761" max="761" width="13" style="617" bestFit="1" customWidth="1"/>
    <col min="762" max="762" width="7.7109375" style="617" bestFit="1" customWidth="1"/>
    <col min="763" max="763" width="21" style="617" bestFit="1" customWidth="1"/>
    <col min="764" max="764" width="15.140625" style="617" bestFit="1" customWidth="1"/>
    <col min="765" max="765" width="17.140625" style="617" bestFit="1" customWidth="1"/>
    <col min="766" max="766" width="6" style="617" customWidth="1"/>
    <col min="767" max="767" width="14.7109375" style="617" bestFit="1" customWidth="1"/>
    <col min="768" max="768" width="16.5703125" style="617" bestFit="1" customWidth="1"/>
    <col min="769" max="769" width="15.28515625" style="617" bestFit="1" customWidth="1"/>
    <col min="770" max="770" width="18.42578125" style="617" customWidth="1"/>
    <col min="771" max="1013" width="9.140625" style="617"/>
    <col min="1014" max="1014" width="13" style="617" customWidth="1"/>
    <col min="1015" max="1015" width="9.140625" style="617" customWidth="1"/>
    <col min="1016" max="1016" width="15.42578125" style="617" bestFit="1" customWidth="1"/>
    <col min="1017" max="1017" width="13" style="617" bestFit="1" customWidth="1"/>
    <col min="1018" max="1018" width="7.7109375" style="617" bestFit="1" customWidth="1"/>
    <col min="1019" max="1019" width="21" style="617" bestFit="1" customWidth="1"/>
    <col min="1020" max="1020" width="15.140625" style="617" bestFit="1" customWidth="1"/>
    <col min="1021" max="1021" width="17.140625" style="617" bestFit="1" customWidth="1"/>
    <col min="1022" max="1022" width="6" style="617" customWidth="1"/>
    <col min="1023" max="1023" width="14.7109375" style="617" bestFit="1" customWidth="1"/>
    <col min="1024" max="1024" width="16.5703125" style="617" bestFit="1" customWidth="1"/>
    <col min="1025" max="1025" width="15.28515625" style="617" bestFit="1" customWidth="1"/>
    <col min="1026" max="1026" width="18.42578125" style="617" customWidth="1"/>
    <col min="1027" max="1269" width="9.140625" style="617"/>
    <col min="1270" max="1270" width="13" style="617" customWidth="1"/>
    <col min="1271" max="1271" width="9.140625" style="617" customWidth="1"/>
    <col min="1272" max="1272" width="15.42578125" style="617" bestFit="1" customWidth="1"/>
    <col min="1273" max="1273" width="13" style="617" bestFit="1" customWidth="1"/>
    <col min="1274" max="1274" width="7.7109375" style="617" bestFit="1" customWidth="1"/>
    <col min="1275" max="1275" width="21" style="617" bestFit="1" customWidth="1"/>
    <col min="1276" max="1276" width="15.140625" style="617" bestFit="1" customWidth="1"/>
    <col min="1277" max="1277" width="17.140625" style="617" bestFit="1" customWidth="1"/>
    <col min="1278" max="1278" width="6" style="617" customWidth="1"/>
    <col min="1279" max="1279" width="14.7109375" style="617" bestFit="1" customWidth="1"/>
    <col min="1280" max="1280" width="16.5703125" style="617" bestFit="1" customWidth="1"/>
    <col min="1281" max="1281" width="15.28515625" style="617" bestFit="1" customWidth="1"/>
    <col min="1282" max="1282" width="18.42578125" style="617" customWidth="1"/>
    <col min="1283" max="1525" width="9.140625" style="617"/>
    <col min="1526" max="1526" width="13" style="617" customWidth="1"/>
    <col min="1527" max="1527" width="9.140625" style="617" customWidth="1"/>
    <col min="1528" max="1528" width="15.42578125" style="617" bestFit="1" customWidth="1"/>
    <col min="1529" max="1529" width="13" style="617" bestFit="1" customWidth="1"/>
    <col min="1530" max="1530" width="7.7109375" style="617" bestFit="1" customWidth="1"/>
    <col min="1531" max="1531" width="21" style="617" bestFit="1" customWidth="1"/>
    <col min="1532" max="1532" width="15.140625" style="617" bestFit="1" customWidth="1"/>
    <col min="1533" max="1533" width="17.140625" style="617" bestFit="1" customWidth="1"/>
    <col min="1534" max="1534" width="6" style="617" customWidth="1"/>
    <col min="1535" max="1535" width="14.7109375" style="617" bestFit="1" customWidth="1"/>
    <col min="1536" max="1536" width="16.5703125" style="617" bestFit="1" customWidth="1"/>
    <col min="1537" max="1537" width="15.28515625" style="617" bestFit="1" customWidth="1"/>
    <col min="1538" max="1538" width="18.42578125" style="617" customWidth="1"/>
    <col min="1539" max="1781" width="9.140625" style="617"/>
    <col min="1782" max="1782" width="13" style="617" customWidth="1"/>
    <col min="1783" max="1783" width="9.140625" style="617" customWidth="1"/>
    <col min="1784" max="1784" width="15.42578125" style="617" bestFit="1" customWidth="1"/>
    <col min="1785" max="1785" width="13" style="617" bestFit="1" customWidth="1"/>
    <col min="1786" max="1786" width="7.7109375" style="617" bestFit="1" customWidth="1"/>
    <col min="1787" max="1787" width="21" style="617" bestFit="1" customWidth="1"/>
    <col min="1788" max="1788" width="15.140625" style="617" bestFit="1" customWidth="1"/>
    <col min="1789" max="1789" width="17.140625" style="617" bestFit="1" customWidth="1"/>
    <col min="1790" max="1790" width="6" style="617" customWidth="1"/>
    <col min="1791" max="1791" width="14.7109375" style="617" bestFit="1" customWidth="1"/>
    <col min="1792" max="1792" width="16.5703125" style="617" bestFit="1" customWidth="1"/>
    <col min="1793" max="1793" width="15.28515625" style="617" bestFit="1" customWidth="1"/>
    <col min="1794" max="1794" width="18.42578125" style="617" customWidth="1"/>
    <col min="1795" max="2037" width="9.140625" style="617"/>
    <col min="2038" max="2038" width="13" style="617" customWidth="1"/>
    <col min="2039" max="2039" width="9.140625" style="617" customWidth="1"/>
    <col min="2040" max="2040" width="15.42578125" style="617" bestFit="1" customWidth="1"/>
    <col min="2041" max="2041" width="13" style="617" bestFit="1" customWidth="1"/>
    <col min="2042" max="2042" width="7.7109375" style="617" bestFit="1" customWidth="1"/>
    <col min="2043" max="2043" width="21" style="617" bestFit="1" customWidth="1"/>
    <col min="2044" max="2044" width="15.140625" style="617" bestFit="1" customWidth="1"/>
    <col min="2045" max="2045" width="17.140625" style="617" bestFit="1" customWidth="1"/>
    <col min="2046" max="2046" width="6" style="617" customWidth="1"/>
    <col min="2047" max="2047" width="14.7109375" style="617" bestFit="1" customWidth="1"/>
    <col min="2048" max="2048" width="16.5703125" style="617" bestFit="1" customWidth="1"/>
    <col min="2049" max="2049" width="15.28515625" style="617" bestFit="1" customWidth="1"/>
    <col min="2050" max="2050" width="18.42578125" style="617" customWidth="1"/>
    <col min="2051" max="2293" width="9.140625" style="617"/>
    <col min="2294" max="2294" width="13" style="617" customWidth="1"/>
    <col min="2295" max="2295" width="9.140625" style="617" customWidth="1"/>
    <col min="2296" max="2296" width="15.42578125" style="617" bestFit="1" customWidth="1"/>
    <col min="2297" max="2297" width="13" style="617" bestFit="1" customWidth="1"/>
    <col min="2298" max="2298" width="7.7109375" style="617" bestFit="1" customWidth="1"/>
    <col min="2299" max="2299" width="21" style="617" bestFit="1" customWidth="1"/>
    <col min="2300" max="2300" width="15.140625" style="617" bestFit="1" customWidth="1"/>
    <col min="2301" max="2301" width="17.140625" style="617" bestFit="1" customWidth="1"/>
    <col min="2302" max="2302" width="6" style="617" customWidth="1"/>
    <col min="2303" max="2303" width="14.7109375" style="617" bestFit="1" customWidth="1"/>
    <col min="2304" max="2304" width="16.5703125" style="617" bestFit="1" customWidth="1"/>
    <col min="2305" max="2305" width="15.28515625" style="617" bestFit="1" customWidth="1"/>
    <col min="2306" max="2306" width="18.42578125" style="617" customWidth="1"/>
    <col min="2307" max="2549" width="9.140625" style="617"/>
    <col min="2550" max="2550" width="13" style="617" customWidth="1"/>
    <col min="2551" max="2551" width="9.140625" style="617" customWidth="1"/>
    <col min="2552" max="2552" width="15.42578125" style="617" bestFit="1" customWidth="1"/>
    <col min="2553" max="2553" width="13" style="617" bestFit="1" customWidth="1"/>
    <col min="2554" max="2554" width="7.7109375" style="617" bestFit="1" customWidth="1"/>
    <col min="2555" max="2555" width="21" style="617" bestFit="1" customWidth="1"/>
    <col min="2556" max="2556" width="15.140625" style="617" bestFit="1" customWidth="1"/>
    <col min="2557" max="2557" width="17.140625" style="617" bestFit="1" customWidth="1"/>
    <col min="2558" max="2558" width="6" style="617" customWidth="1"/>
    <col min="2559" max="2559" width="14.7109375" style="617" bestFit="1" customWidth="1"/>
    <col min="2560" max="2560" width="16.5703125" style="617" bestFit="1" customWidth="1"/>
    <col min="2561" max="2561" width="15.28515625" style="617" bestFit="1" customWidth="1"/>
    <col min="2562" max="2562" width="18.42578125" style="617" customWidth="1"/>
    <col min="2563" max="2805" width="9.140625" style="617"/>
    <col min="2806" max="2806" width="13" style="617" customWidth="1"/>
    <col min="2807" max="2807" width="9.140625" style="617" customWidth="1"/>
    <col min="2808" max="2808" width="15.42578125" style="617" bestFit="1" customWidth="1"/>
    <col min="2809" max="2809" width="13" style="617" bestFit="1" customWidth="1"/>
    <col min="2810" max="2810" width="7.7109375" style="617" bestFit="1" customWidth="1"/>
    <col min="2811" max="2811" width="21" style="617" bestFit="1" customWidth="1"/>
    <col min="2812" max="2812" width="15.140625" style="617" bestFit="1" customWidth="1"/>
    <col min="2813" max="2813" width="17.140625" style="617" bestFit="1" customWidth="1"/>
    <col min="2814" max="2814" width="6" style="617" customWidth="1"/>
    <col min="2815" max="2815" width="14.7109375" style="617" bestFit="1" customWidth="1"/>
    <col min="2816" max="2816" width="16.5703125" style="617" bestFit="1" customWidth="1"/>
    <col min="2817" max="2817" width="15.28515625" style="617" bestFit="1" customWidth="1"/>
    <col min="2818" max="2818" width="18.42578125" style="617" customWidth="1"/>
    <col min="2819" max="3061" width="9.140625" style="617"/>
    <col min="3062" max="3062" width="13" style="617" customWidth="1"/>
    <col min="3063" max="3063" width="9.140625" style="617" customWidth="1"/>
    <col min="3064" max="3064" width="15.42578125" style="617" bestFit="1" customWidth="1"/>
    <col min="3065" max="3065" width="13" style="617" bestFit="1" customWidth="1"/>
    <col min="3066" max="3066" width="7.7109375" style="617" bestFit="1" customWidth="1"/>
    <col min="3067" max="3067" width="21" style="617" bestFit="1" customWidth="1"/>
    <col min="3068" max="3068" width="15.140625" style="617" bestFit="1" customWidth="1"/>
    <col min="3069" max="3069" width="17.140625" style="617" bestFit="1" customWidth="1"/>
    <col min="3070" max="3070" width="6" style="617" customWidth="1"/>
    <col min="3071" max="3071" width="14.7109375" style="617" bestFit="1" customWidth="1"/>
    <col min="3072" max="3072" width="16.5703125" style="617" bestFit="1" customWidth="1"/>
    <col min="3073" max="3073" width="15.28515625" style="617" bestFit="1" customWidth="1"/>
    <col min="3074" max="3074" width="18.42578125" style="617" customWidth="1"/>
    <col min="3075" max="3317" width="9.140625" style="617"/>
    <col min="3318" max="3318" width="13" style="617" customWidth="1"/>
    <col min="3319" max="3319" width="9.140625" style="617" customWidth="1"/>
    <col min="3320" max="3320" width="15.42578125" style="617" bestFit="1" customWidth="1"/>
    <col min="3321" max="3321" width="13" style="617" bestFit="1" customWidth="1"/>
    <col min="3322" max="3322" width="7.7109375" style="617" bestFit="1" customWidth="1"/>
    <col min="3323" max="3323" width="21" style="617" bestFit="1" customWidth="1"/>
    <col min="3324" max="3324" width="15.140625" style="617" bestFit="1" customWidth="1"/>
    <col min="3325" max="3325" width="17.140625" style="617" bestFit="1" customWidth="1"/>
    <col min="3326" max="3326" width="6" style="617" customWidth="1"/>
    <col min="3327" max="3327" width="14.7109375" style="617" bestFit="1" customWidth="1"/>
    <col min="3328" max="3328" width="16.5703125" style="617" bestFit="1" customWidth="1"/>
    <col min="3329" max="3329" width="15.28515625" style="617" bestFit="1" customWidth="1"/>
    <col min="3330" max="3330" width="18.42578125" style="617" customWidth="1"/>
    <col min="3331" max="3573" width="9.140625" style="617"/>
    <col min="3574" max="3574" width="13" style="617" customWidth="1"/>
    <col min="3575" max="3575" width="9.140625" style="617" customWidth="1"/>
    <col min="3576" max="3576" width="15.42578125" style="617" bestFit="1" customWidth="1"/>
    <col min="3577" max="3577" width="13" style="617" bestFit="1" customWidth="1"/>
    <col min="3578" max="3578" width="7.7109375" style="617" bestFit="1" customWidth="1"/>
    <col min="3579" max="3579" width="21" style="617" bestFit="1" customWidth="1"/>
    <col min="3580" max="3580" width="15.140625" style="617" bestFit="1" customWidth="1"/>
    <col min="3581" max="3581" width="17.140625" style="617" bestFit="1" customWidth="1"/>
    <col min="3582" max="3582" width="6" style="617" customWidth="1"/>
    <col min="3583" max="3583" width="14.7109375" style="617" bestFit="1" customWidth="1"/>
    <col min="3584" max="3584" width="16.5703125" style="617" bestFit="1" customWidth="1"/>
    <col min="3585" max="3585" width="15.28515625" style="617" bestFit="1" customWidth="1"/>
    <col min="3586" max="3586" width="18.42578125" style="617" customWidth="1"/>
    <col min="3587" max="3829" width="9.140625" style="617"/>
    <col min="3830" max="3830" width="13" style="617" customWidth="1"/>
    <col min="3831" max="3831" width="9.140625" style="617" customWidth="1"/>
    <col min="3832" max="3832" width="15.42578125" style="617" bestFit="1" customWidth="1"/>
    <col min="3833" max="3833" width="13" style="617" bestFit="1" customWidth="1"/>
    <col min="3834" max="3834" width="7.7109375" style="617" bestFit="1" customWidth="1"/>
    <col min="3835" max="3835" width="21" style="617" bestFit="1" customWidth="1"/>
    <col min="3836" max="3836" width="15.140625" style="617" bestFit="1" customWidth="1"/>
    <col min="3837" max="3837" width="17.140625" style="617" bestFit="1" customWidth="1"/>
    <col min="3838" max="3838" width="6" style="617" customWidth="1"/>
    <col min="3839" max="3839" width="14.7109375" style="617" bestFit="1" customWidth="1"/>
    <col min="3840" max="3840" width="16.5703125" style="617" bestFit="1" customWidth="1"/>
    <col min="3841" max="3841" width="15.28515625" style="617" bestFit="1" customWidth="1"/>
    <col min="3842" max="3842" width="18.42578125" style="617" customWidth="1"/>
    <col min="3843" max="4085" width="9.140625" style="617"/>
    <col min="4086" max="4086" width="13" style="617" customWidth="1"/>
    <col min="4087" max="4087" width="9.140625" style="617" customWidth="1"/>
    <col min="4088" max="4088" width="15.42578125" style="617" bestFit="1" customWidth="1"/>
    <col min="4089" max="4089" width="13" style="617" bestFit="1" customWidth="1"/>
    <col min="4090" max="4090" width="7.7109375" style="617" bestFit="1" customWidth="1"/>
    <col min="4091" max="4091" width="21" style="617" bestFit="1" customWidth="1"/>
    <col min="4092" max="4092" width="15.140625" style="617" bestFit="1" customWidth="1"/>
    <col min="4093" max="4093" width="17.140625" style="617" bestFit="1" customWidth="1"/>
    <col min="4094" max="4094" width="6" style="617" customWidth="1"/>
    <col min="4095" max="4095" width="14.7109375" style="617" bestFit="1" customWidth="1"/>
    <col min="4096" max="4096" width="16.5703125" style="617" bestFit="1" customWidth="1"/>
    <col min="4097" max="4097" width="15.28515625" style="617" bestFit="1" customWidth="1"/>
    <col min="4098" max="4098" width="18.42578125" style="617" customWidth="1"/>
    <col min="4099" max="4341" width="9.140625" style="617"/>
    <col min="4342" max="4342" width="13" style="617" customWidth="1"/>
    <col min="4343" max="4343" width="9.140625" style="617" customWidth="1"/>
    <col min="4344" max="4344" width="15.42578125" style="617" bestFit="1" customWidth="1"/>
    <col min="4345" max="4345" width="13" style="617" bestFit="1" customWidth="1"/>
    <col min="4346" max="4346" width="7.7109375" style="617" bestFit="1" customWidth="1"/>
    <col min="4347" max="4347" width="21" style="617" bestFit="1" customWidth="1"/>
    <col min="4348" max="4348" width="15.140625" style="617" bestFit="1" customWidth="1"/>
    <col min="4349" max="4349" width="17.140625" style="617" bestFit="1" customWidth="1"/>
    <col min="4350" max="4350" width="6" style="617" customWidth="1"/>
    <col min="4351" max="4351" width="14.7109375" style="617" bestFit="1" customWidth="1"/>
    <col min="4352" max="4352" width="16.5703125" style="617" bestFit="1" customWidth="1"/>
    <col min="4353" max="4353" width="15.28515625" style="617" bestFit="1" customWidth="1"/>
    <col min="4354" max="4354" width="18.42578125" style="617" customWidth="1"/>
    <col min="4355" max="4597" width="9.140625" style="617"/>
    <col min="4598" max="4598" width="13" style="617" customWidth="1"/>
    <col min="4599" max="4599" width="9.140625" style="617" customWidth="1"/>
    <col min="4600" max="4600" width="15.42578125" style="617" bestFit="1" customWidth="1"/>
    <col min="4601" max="4601" width="13" style="617" bestFit="1" customWidth="1"/>
    <col min="4602" max="4602" width="7.7109375" style="617" bestFit="1" customWidth="1"/>
    <col min="4603" max="4603" width="21" style="617" bestFit="1" customWidth="1"/>
    <col min="4604" max="4604" width="15.140625" style="617" bestFit="1" customWidth="1"/>
    <col min="4605" max="4605" width="17.140625" style="617" bestFit="1" customWidth="1"/>
    <col min="4606" max="4606" width="6" style="617" customWidth="1"/>
    <col min="4607" max="4607" width="14.7109375" style="617" bestFit="1" customWidth="1"/>
    <col min="4608" max="4608" width="16.5703125" style="617" bestFit="1" customWidth="1"/>
    <col min="4609" max="4609" width="15.28515625" style="617" bestFit="1" customWidth="1"/>
    <col min="4610" max="4610" width="18.42578125" style="617" customWidth="1"/>
    <col min="4611" max="4853" width="9.140625" style="617"/>
    <col min="4854" max="4854" width="13" style="617" customWidth="1"/>
    <col min="4855" max="4855" width="9.140625" style="617" customWidth="1"/>
    <col min="4856" max="4856" width="15.42578125" style="617" bestFit="1" customWidth="1"/>
    <col min="4857" max="4857" width="13" style="617" bestFit="1" customWidth="1"/>
    <col min="4858" max="4858" width="7.7109375" style="617" bestFit="1" customWidth="1"/>
    <col min="4859" max="4859" width="21" style="617" bestFit="1" customWidth="1"/>
    <col min="4860" max="4860" width="15.140625" style="617" bestFit="1" customWidth="1"/>
    <col min="4861" max="4861" width="17.140625" style="617" bestFit="1" customWidth="1"/>
    <col min="4862" max="4862" width="6" style="617" customWidth="1"/>
    <col min="4863" max="4863" width="14.7109375" style="617" bestFit="1" customWidth="1"/>
    <col min="4864" max="4864" width="16.5703125" style="617" bestFit="1" customWidth="1"/>
    <col min="4865" max="4865" width="15.28515625" style="617" bestFit="1" customWidth="1"/>
    <col min="4866" max="4866" width="18.42578125" style="617" customWidth="1"/>
    <col min="4867" max="5109" width="9.140625" style="617"/>
    <col min="5110" max="5110" width="13" style="617" customWidth="1"/>
    <col min="5111" max="5111" width="9.140625" style="617" customWidth="1"/>
    <col min="5112" max="5112" width="15.42578125" style="617" bestFit="1" customWidth="1"/>
    <col min="5113" max="5113" width="13" style="617" bestFit="1" customWidth="1"/>
    <col min="5114" max="5114" width="7.7109375" style="617" bestFit="1" customWidth="1"/>
    <col min="5115" max="5115" width="21" style="617" bestFit="1" customWidth="1"/>
    <col min="5116" max="5116" width="15.140625" style="617" bestFit="1" customWidth="1"/>
    <col min="5117" max="5117" width="17.140625" style="617" bestFit="1" customWidth="1"/>
    <col min="5118" max="5118" width="6" style="617" customWidth="1"/>
    <col min="5119" max="5119" width="14.7109375" style="617" bestFit="1" customWidth="1"/>
    <col min="5120" max="5120" width="16.5703125" style="617" bestFit="1" customWidth="1"/>
    <col min="5121" max="5121" width="15.28515625" style="617" bestFit="1" customWidth="1"/>
    <col min="5122" max="5122" width="18.42578125" style="617" customWidth="1"/>
    <col min="5123" max="5365" width="9.140625" style="617"/>
    <col min="5366" max="5366" width="13" style="617" customWidth="1"/>
    <col min="5367" max="5367" width="9.140625" style="617" customWidth="1"/>
    <col min="5368" max="5368" width="15.42578125" style="617" bestFit="1" customWidth="1"/>
    <col min="5369" max="5369" width="13" style="617" bestFit="1" customWidth="1"/>
    <col min="5370" max="5370" width="7.7109375" style="617" bestFit="1" customWidth="1"/>
    <col min="5371" max="5371" width="21" style="617" bestFit="1" customWidth="1"/>
    <col min="5372" max="5372" width="15.140625" style="617" bestFit="1" customWidth="1"/>
    <col min="5373" max="5373" width="17.140625" style="617" bestFit="1" customWidth="1"/>
    <col min="5374" max="5374" width="6" style="617" customWidth="1"/>
    <col min="5375" max="5375" width="14.7109375" style="617" bestFit="1" customWidth="1"/>
    <col min="5376" max="5376" width="16.5703125" style="617" bestFit="1" customWidth="1"/>
    <col min="5377" max="5377" width="15.28515625" style="617" bestFit="1" customWidth="1"/>
    <col min="5378" max="5378" width="18.42578125" style="617" customWidth="1"/>
    <col min="5379" max="5621" width="9.140625" style="617"/>
    <col min="5622" max="5622" width="13" style="617" customWidth="1"/>
    <col min="5623" max="5623" width="9.140625" style="617" customWidth="1"/>
    <col min="5624" max="5624" width="15.42578125" style="617" bestFit="1" customWidth="1"/>
    <col min="5625" max="5625" width="13" style="617" bestFit="1" customWidth="1"/>
    <col min="5626" max="5626" width="7.7109375" style="617" bestFit="1" customWidth="1"/>
    <col min="5627" max="5627" width="21" style="617" bestFit="1" customWidth="1"/>
    <col min="5628" max="5628" width="15.140625" style="617" bestFit="1" customWidth="1"/>
    <col min="5629" max="5629" width="17.140625" style="617" bestFit="1" customWidth="1"/>
    <col min="5630" max="5630" width="6" style="617" customWidth="1"/>
    <col min="5631" max="5631" width="14.7109375" style="617" bestFit="1" customWidth="1"/>
    <col min="5632" max="5632" width="16.5703125" style="617" bestFit="1" customWidth="1"/>
    <col min="5633" max="5633" width="15.28515625" style="617" bestFit="1" customWidth="1"/>
    <col min="5634" max="5634" width="18.42578125" style="617" customWidth="1"/>
    <col min="5635" max="5877" width="9.140625" style="617"/>
    <col min="5878" max="5878" width="13" style="617" customWidth="1"/>
    <col min="5879" max="5879" width="9.140625" style="617" customWidth="1"/>
    <col min="5880" max="5880" width="15.42578125" style="617" bestFit="1" customWidth="1"/>
    <col min="5881" max="5881" width="13" style="617" bestFit="1" customWidth="1"/>
    <col min="5882" max="5882" width="7.7109375" style="617" bestFit="1" customWidth="1"/>
    <col min="5883" max="5883" width="21" style="617" bestFit="1" customWidth="1"/>
    <col min="5884" max="5884" width="15.140625" style="617" bestFit="1" customWidth="1"/>
    <col min="5885" max="5885" width="17.140625" style="617" bestFit="1" customWidth="1"/>
    <col min="5886" max="5886" width="6" style="617" customWidth="1"/>
    <col min="5887" max="5887" width="14.7109375" style="617" bestFit="1" customWidth="1"/>
    <col min="5888" max="5888" width="16.5703125" style="617" bestFit="1" customWidth="1"/>
    <col min="5889" max="5889" width="15.28515625" style="617" bestFit="1" customWidth="1"/>
    <col min="5890" max="5890" width="18.42578125" style="617" customWidth="1"/>
    <col min="5891" max="6133" width="9.140625" style="617"/>
    <col min="6134" max="6134" width="13" style="617" customWidth="1"/>
    <col min="6135" max="6135" width="9.140625" style="617" customWidth="1"/>
    <col min="6136" max="6136" width="15.42578125" style="617" bestFit="1" customWidth="1"/>
    <col min="6137" max="6137" width="13" style="617" bestFit="1" customWidth="1"/>
    <col min="6138" max="6138" width="7.7109375" style="617" bestFit="1" customWidth="1"/>
    <col min="6139" max="6139" width="21" style="617" bestFit="1" customWidth="1"/>
    <col min="6140" max="6140" width="15.140625" style="617" bestFit="1" customWidth="1"/>
    <col min="6141" max="6141" width="17.140625" style="617" bestFit="1" customWidth="1"/>
    <col min="6142" max="6142" width="6" style="617" customWidth="1"/>
    <col min="6143" max="6143" width="14.7109375" style="617" bestFit="1" customWidth="1"/>
    <col min="6144" max="6144" width="16.5703125" style="617" bestFit="1" customWidth="1"/>
    <col min="6145" max="6145" width="15.28515625" style="617" bestFit="1" customWidth="1"/>
    <col min="6146" max="6146" width="18.42578125" style="617" customWidth="1"/>
    <col min="6147" max="6389" width="9.140625" style="617"/>
    <col min="6390" max="6390" width="13" style="617" customWidth="1"/>
    <col min="6391" max="6391" width="9.140625" style="617" customWidth="1"/>
    <col min="6392" max="6392" width="15.42578125" style="617" bestFit="1" customWidth="1"/>
    <col min="6393" max="6393" width="13" style="617" bestFit="1" customWidth="1"/>
    <col min="6394" max="6394" width="7.7109375" style="617" bestFit="1" customWidth="1"/>
    <col min="6395" max="6395" width="21" style="617" bestFit="1" customWidth="1"/>
    <col min="6396" max="6396" width="15.140625" style="617" bestFit="1" customWidth="1"/>
    <col min="6397" max="6397" width="17.140625" style="617" bestFit="1" customWidth="1"/>
    <col min="6398" max="6398" width="6" style="617" customWidth="1"/>
    <col min="6399" max="6399" width="14.7109375" style="617" bestFit="1" customWidth="1"/>
    <col min="6400" max="6400" width="16.5703125" style="617" bestFit="1" customWidth="1"/>
    <col min="6401" max="6401" width="15.28515625" style="617" bestFit="1" customWidth="1"/>
    <col min="6402" max="6402" width="18.42578125" style="617" customWidth="1"/>
    <col min="6403" max="6645" width="9.140625" style="617"/>
    <col min="6646" max="6646" width="13" style="617" customWidth="1"/>
    <col min="6647" max="6647" width="9.140625" style="617" customWidth="1"/>
    <col min="6648" max="6648" width="15.42578125" style="617" bestFit="1" customWidth="1"/>
    <col min="6649" max="6649" width="13" style="617" bestFit="1" customWidth="1"/>
    <col min="6650" max="6650" width="7.7109375" style="617" bestFit="1" customWidth="1"/>
    <col min="6651" max="6651" width="21" style="617" bestFit="1" customWidth="1"/>
    <col min="6652" max="6652" width="15.140625" style="617" bestFit="1" customWidth="1"/>
    <col min="6653" max="6653" width="17.140625" style="617" bestFit="1" customWidth="1"/>
    <col min="6654" max="6654" width="6" style="617" customWidth="1"/>
    <col min="6655" max="6655" width="14.7109375" style="617" bestFit="1" customWidth="1"/>
    <col min="6656" max="6656" width="16.5703125" style="617" bestFit="1" customWidth="1"/>
    <col min="6657" max="6657" width="15.28515625" style="617" bestFit="1" customWidth="1"/>
    <col min="6658" max="6658" width="18.42578125" style="617" customWidth="1"/>
    <col min="6659" max="6901" width="9.140625" style="617"/>
    <col min="6902" max="6902" width="13" style="617" customWidth="1"/>
    <col min="6903" max="6903" width="9.140625" style="617" customWidth="1"/>
    <col min="6904" max="6904" width="15.42578125" style="617" bestFit="1" customWidth="1"/>
    <col min="6905" max="6905" width="13" style="617" bestFit="1" customWidth="1"/>
    <col min="6906" max="6906" width="7.7109375" style="617" bestFit="1" customWidth="1"/>
    <col min="6907" max="6907" width="21" style="617" bestFit="1" customWidth="1"/>
    <col min="6908" max="6908" width="15.140625" style="617" bestFit="1" customWidth="1"/>
    <col min="6909" max="6909" width="17.140625" style="617" bestFit="1" customWidth="1"/>
    <col min="6910" max="6910" width="6" style="617" customWidth="1"/>
    <col min="6911" max="6911" width="14.7109375" style="617" bestFit="1" customWidth="1"/>
    <col min="6912" max="6912" width="16.5703125" style="617" bestFit="1" customWidth="1"/>
    <col min="6913" max="6913" width="15.28515625" style="617" bestFit="1" customWidth="1"/>
    <col min="6914" max="6914" width="18.42578125" style="617" customWidth="1"/>
    <col min="6915" max="7157" width="9.140625" style="617"/>
    <col min="7158" max="7158" width="13" style="617" customWidth="1"/>
    <col min="7159" max="7159" width="9.140625" style="617" customWidth="1"/>
    <col min="7160" max="7160" width="15.42578125" style="617" bestFit="1" customWidth="1"/>
    <col min="7161" max="7161" width="13" style="617" bestFit="1" customWidth="1"/>
    <col min="7162" max="7162" width="7.7109375" style="617" bestFit="1" customWidth="1"/>
    <col min="7163" max="7163" width="21" style="617" bestFit="1" customWidth="1"/>
    <col min="7164" max="7164" width="15.140625" style="617" bestFit="1" customWidth="1"/>
    <col min="7165" max="7165" width="17.140625" style="617" bestFit="1" customWidth="1"/>
    <col min="7166" max="7166" width="6" style="617" customWidth="1"/>
    <col min="7167" max="7167" width="14.7109375" style="617" bestFit="1" customWidth="1"/>
    <col min="7168" max="7168" width="16.5703125" style="617" bestFit="1" customWidth="1"/>
    <col min="7169" max="7169" width="15.28515625" style="617" bestFit="1" customWidth="1"/>
    <col min="7170" max="7170" width="18.42578125" style="617" customWidth="1"/>
    <col min="7171" max="7413" width="9.140625" style="617"/>
    <col min="7414" max="7414" width="13" style="617" customWidth="1"/>
    <col min="7415" max="7415" width="9.140625" style="617" customWidth="1"/>
    <col min="7416" max="7416" width="15.42578125" style="617" bestFit="1" customWidth="1"/>
    <col min="7417" max="7417" width="13" style="617" bestFit="1" customWidth="1"/>
    <col min="7418" max="7418" width="7.7109375" style="617" bestFit="1" customWidth="1"/>
    <col min="7419" max="7419" width="21" style="617" bestFit="1" customWidth="1"/>
    <col min="7420" max="7420" width="15.140625" style="617" bestFit="1" customWidth="1"/>
    <col min="7421" max="7421" width="17.140625" style="617" bestFit="1" customWidth="1"/>
    <col min="7422" max="7422" width="6" style="617" customWidth="1"/>
    <col min="7423" max="7423" width="14.7109375" style="617" bestFit="1" customWidth="1"/>
    <col min="7424" max="7424" width="16.5703125" style="617" bestFit="1" customWidth="1"/>
    <col min="7425" max="7425" width="15.28515625" style="617" bestFit="1" customWidth="1"/>
    <col min="7426" max="7426" width="18.42578125" style="617" customWidth="1"/>
    <col min="7427" max="7669" width="9.140625" style="617"/>
    <col min="7670" max="7670" width="13" style="617" customWidth="1"/>
    <col min="7671" max="7671" width="9.140625" style="617" customWidth="1"/>
    <col min="7672" max="7672" width="15.42578125" style="617" bestFit="1" customWidth="1"/>
    <col min="7673" max="7673" width="13" style="617" bestFit="1" customWidth="1"/>
    <col min="7674" max="7674" width="7.7109375" style="617" bestFit="1" customWidth="1"/>
    <col min="7675" max="7675" width="21" style="617" bestFit="1" customWidth="1"/>
    <col min="7676" max="7676" width="15.140625" style="617" bestFit="1" customWidth="1"/>
    <col min="7677" max="7677" width="17.140625" style="617" bestFit="1" customWidth="1"/>
    <col min="7678" max="7678" width="6" style="617" customWidth="1"/>
    <col min="7679" max="7679" width="14.7109375" style="617" bestFit="1" customWidth="1"/>
    <col min="7680" max="7680" width="16.5703125" style="617" bestFit="1" customWidth="1"/>
    <col min="7681" max="7681" width="15.28515625" style="617" bestFit="1" customWidth="1"/>
    <col min="7682" max="7682" width="18.42578125" style="617" customWidth="1"/>
    <col min="7683" max="7925" width="9.140625" style="617"/>
    <col min="7926" max="7926" width="13" style="617" customWidth="1"/>
    <col min="7927" max="7927" width="9.140625" style="617" customWidth="1"/>
    <col min="7928" max="7928" width="15.42578125" style="617" bestFit="1" customWidth="1"/>
    <col min="7929" max="7929" width="13" style="617" bestFit="1" customWidth="1"/>
    <col min="7930" max="7930" width="7.7109375" style="617" bestFit="1" customWidth="1"/>
    <col min="7931" max="7931" width="21" style="617" bestFit="1" customWidth="1"/>
    <col min="7932" max="7932" width="15.140625" style="617" bestFit="1" customWidth="1"/>
    <col min="7933" max="7933" width="17.140625" style="617" bestFit="1" customWidth="1"/>
    <col min="7934" max="7934" width="6" style="617" customWidth="1"/>
    <col min="7935" max="7935" width="14.7109375" style="617" bestFit="1" customWidth="1"/>
    <col min="7936" max="7936" width="16.5703125" style="617" bestFit="1" customWidth="1"/>
    <col min="7937" max="7937" width="15.28515625" style="617" bestFit="1" customWidth="1"/>
    <col min="7938" max="7938" width="18.42578125" style="617" customWidth="1"/>
    <col min="7939" max="8181" width="9.140625" style="617"/>
    <col min="8182" max="8182" width="13" style="617" customWidth="1"/>
    <col min="8183" max="8183" width="9.140625" style="617" customWidth="1"/>
    <col min="8184" max="8184" width="15.42578125" style="617" bestFit="1" customWidth="1"/>
    <col min="8185" max="8185" width="13" style="617" bestFit="1" customWidth="1"/>
    <col min="8186" max="8186" width="7.7109375" style="617" bestFit="1" customWidth="1"/>
    <col min="8187" max="8187" width="21" style="617" bestFit="1" customWidth="1"/>
    <col min="8188" max="8188" width="15.140625" style="617" bestFit="1" customWidth="1"/>
    <col min="8189" max="8189" width="17.140625" style="617" bestFit="1" customWidth="1"/>
    <col min="8190" max="8190" width="6" style="617" customWidth="1"/>
    <col min="8191" max="8191" width="14.7109375" style="617" bestFit="1" customWidth="1"/>
    <col min="8192" max="8192" width="16.5703125" style="617" bestFit="1" customWidth="1"/>
    <col min="8193" max="8193" width="15.28515625" style="617" bestFit="1" customWidth="1"/>
    <col min="8194" max="8194" width="18.42578125" style="617" customWidth="1"/>
    <col min="8195" max="8437" width="9.140625" style="617"/>
    <col min="8438" max="8438" width="13" style="617" customWidth="1"/>
    <col min="8439" max="8439" width="9.140625" style="617" customWidth="1"/>
    <col min="8440" max="8440" width="15.42578125" style="617" bestFit="1" customWidth="1"/>
    <col min="8441" max="8441" width="13" style="617" bestFit="1" customWidth="1"/>
    <col min="8442" max="8442" width="7.7109375" style="617" bestFit="1" customWidth="1"/>
    <col min="8443" max="8443" width="21" style="617" bestFit="1" customWidth="1"/>
    <col min="8444" max="8444" width="15.140625" style="617" bestFit="1" customWidth="1"/>
    <col min="8445" max="8445" width="17.140625" style="617" bestFit="1" customWidth="1"/>
    <col min="8446" max="8446" width="6" style="617" customWidth="1"/>
    <col min="8447" max="8447" width="14.7109375" style="617" bestFit="1" customWidth="1"/>
    <col min="8448" max="8448" width="16.5703125" style="617" bestFit="1" customWidth="1"/>
    <col min="8449" max="8449" width="15.28515625" style="617" bestFit="1" customWidth="1"/>
    <col min="8450" max="8450" width="18.42578125" style="617" customWidth="1"/>
    <col min="8451" max="8693" width="9.140625" style="617"/>
    <col min="8694" max="8694" width="13" style="617" customWidth="1"/>
    <col min="8695" max="8695" width="9.140625" style="617" customWidth="1"/>
    <col min="8696" max="8696" width="15.42578125" style="617" bestFit="1" customWidth="1"/>
    <col min="8697" max="8697" width="13" style="617" bestFit="1" customWidth="1"/>
    <col min="8698" max="8698" width="7.7109375" style="617" bestFit="1" customWidth="1"/>
    <col min="8699" max="8699" width="21" style="617" bestFit="1" customWidth="1"/>
    <col min="8700" max="8700" width="15.140625" style="617" bestFit="1" customWidth="1"/>
    <col min="8701" max="8701" width="17.140625" style="617" bestFit="1" customWidth="1"/>
    <col min="8702" max="8702" width="6" style="617" customWidth="1"/>
    <col min="8703" max="8703" width="14.7109375" style="617" bestFit="1" customWidth="1"/>
    <col min="8704" max="8704" width="16.5703125" style="617" bestFit="1" customWidth="1"/>
    <col min="8705" max="8705" width="15.28515625" style="617" bestFit="1" customWidth="1"/>
    <col min="8706" max="8706" width="18.42578125" style="617" customWidth="1"/>
    <col min="8707" max="8949" width="9.140625" style="617"/>
    <col min="8950" max="8950" width="13" style="617" customWidth="1"/>
    <col min="8951" max="8951" width="9.140625" style="617" customWidth="1"/>
    <col min="8952" max="8952" width="15.42578125" style="617" bestFit="1" customWidth="1"/>
    <col min="8953" max="8953" width="13" style="617" bestFit="1" customWidth="1"/>
    <col min="8954" max="8954" width="7.7109375" style="617" bestFit="1" customWidth="1"/>
    <col min="8955" max="8955" width="21" style="617" bestFit="1" customWidth="1"/>
    <col min="8956" max="8956" width="15.140625" style="617" bestFit="1" customWidth="1"/>
    <col min="8957" max="8957" width="17.140625" style="617" bestFit="1" customWidth="1"/>
    <col min="8958" max="8958" width="6" style="617" customWidth="1"/>
    <col min="8959" max="8959" width="14.7109375" style="617" bestFit="1" customWidth="1"/>
    <col min="8960" max="8960" width="16.5703125" style="617" bestFit="1" customWidth="1"/>
    <col min="8961" max="8961" width="15.28515625" style="617" bestFit="1" customWidth="1"/>
    <col min="8962" max="8962" width="18.42578125" style="617" customWidth="1"/>
    <col min="8963" max="9205" width="9.140625" style="617"/>
    <col min="9206" max="9206" width="13" style="617" customWidth="1"/>
    <col min="9207" max="9207" width="9.140625" style="617" customWidth="1"/>
    <col min="9208" max="9208" width="15.42578125" style="617" bestFit="1" customWidth="1"/>
    <col min="9209" max="9209" width="13" style="617" bestFit="1" customWidth="1"/>
    <col min="9210" max="9210" width="7.7109375" style="617" bestFit="1" customWidth="1"/>
    <col min="9211" max="9211" width="21" style="617" bestFit="1" customWidth="1"/>
    <col min="9212" max="9212" width="15.140625" style="617" bestFit="1" customWidth="1"/>
    <col min="9213" max="9213" width="17.140625" style="617" bestFit="1" customWidth="1"/>
    <col min="9214" max="9214" width="6" style="617" customWidth="1"/>
    <col min="9215" max="9215" width="14.7109375" style="617" bestFit="1" customWidth="1"/>
    <col min="9216" max="9216" width="16.5703125" style="617" bestFit="1" customWidth="1"/>
    <col min="9217" max="9217" width="15.28515625" style="617" bestFit="1" customWidth="1"/>
    <col min="9218" max="9218" width="18.42578125" style="617" customWidth="1"/>
    <col min="9219" max="9461" width="9.140625" style="617"/>
    <col min="9462" max="9462" width="13" style="617" customWidth="1"/>
    <col min="9463" max="9463" width="9.140625" style="617" customWidth="1"/>
    <col min="9464" max="9464" width="15.42578125" style="617" bestFit="1" customWidth="1"/>
    <col min="9465" max="9465" width="13" style="617" bestFit="1" customWidth="1"/>
    <col min="9466" max="9466" width="7.7109375" style="617" bestFit="1" customWidth="1"/>
    <col min="9467" max="9467" width="21" style="617" bestFit="1" customWidth="1"/>
    <col min="9468" max="9468" width="15.140625" style="617" bestFit="1" customWidth="1"/>
    <col min="9469" max="9469" width="17.140625" style="617" bestFit="1" customWidth="1"/>
    <col min="9470" max="9470" width="6" style="617" customWidth="1"/>
    <col min="9471" max="9471" width="14.7109375" style="617" bestFit="1" customWidth="1"/>
    <col min="9472" max="9472" width="16.5703125" style="617" bestFit="1" customWidth="1"/>
    <col min="9473" max="9473" width="15.28515625" style="617" bestFit="1" customWidth="1"/>
    <col min="9474" max="9474" width="18.42578125" style="617" customWidth="1"/>
    <col min="9475" max="9717" width="9.140625" style="617"/>
    <col min="9718" max="9718" width="13" style="617" customWidth="1"/>
    <col min="9719" max="9719" width="9.140625" style="617" customWidth="1"/>
    <col min="9720" max="9720" width="15.42578125" style="617" bestFit="1" customWidth="1"/>
    <col min="9721" max="9721" width="13" style="617" bestFit="1" customWidth="1"/>
    <col min="9722" max="9722" width="7.7109375" style="617" bestFit="1" customWidth="1"/>
    <col min="9723" max="9723" width="21" style="617" bestFit="1" customWidth="1"/>
    <col min="9724" max="9724" width="15.140625" style="617" bestFit="1" customWidth="1"/>
    <col min="9725" max="9725" width="17.140625" style="617" bestFit="1" customWidth="1"/>
    <col min="9726" max="9726" width="6" style="617" customWidth="1"/>
    <col min="9727" max="9727" width="14.7109375" style="617" bestFit="1" customWidth="1"/>
    <col min="9728" max="9728" width="16.5703125" style="617" bestFit="1" customWidth="1"/>
    <col min="9729" max="9729" width="15.28515625" style="617" bestFit="1" customWidth="1"/>
    <col min="9730" max="9730" width="18.42578125" style="617" customWidth="1"/>
    <col min="9731" max="9973" width="9.140625" style="617"/>
    <col min="9974" max="9974" width="13" style="617" customWidth="1"/>
    <col min="9975" max="9975" width="9.140625" style="617" customWidth="1"/>
    <col min="9976" max="9976" width="15.42578125" style="617" bestFit="1" customWidth="1"/>
    <col min="9977" max="9977" width="13" style="617" bestFit="1" customWidth="1"/>
    <col min="9978" max="9978" width="7.7109375" style="617" bestFit="1" customWidth="1"/>
    <col min="9979" max="9979" width="21" style="617" bestFit="1" customWidth="1"/>
    <col min="9980" max="9980" width="15.140625" style="617" bestFit="1" customWidth="1"/>
    <col min="9981" max="9981" width="17.140625" style="617" bestFit="1" customWidth="1"/>
    <col min="9982" max="9982" width="6" style="617" customWidth="1"/>
    <col min="9983" max="9983" width="14.7109375" style="617" bestFit="1" customWidth="1"/>
    <col min="9984" max="9984" width="16.5703125" style="617" bestFit="1" customWidth="1"/>
    <col min="9985" max="9985" width="15.28515625" style="617" bestFit="1" customWidth="1"/>
    <col min="9986" max="9986" width="18.42578125" style="617" customWidth="1"/>
    <col min="9987" max="10229" width="9.140625" style="617"/>
    <col min="10230" max="10230" width="13" style="617" customWidth="1"/>
    <col min="10231" max="10231" width="9.140625" style="617" customWidth="1"/>
    <col min="10232" max="10232" width="15.42578125" style="617" bestFit="1" customWidth="1"/>
    <col min="10233" max="10233" width="13" style="617" bestFit="1" customWidth="1"/>
    <col min="10234" max="10234" width="7.7109375" style="617" bestFit="1" customWidth="1"/>
    <col min="10235" max="10235" width="21" style="617" bestFit="1" customWidth="1"/>
    <col min="10236" max="10236" width="15.140625" style="617" bestFit="1" customWidth="1"/>
    <col min="10237" max="10237" width="17.140625" style="617" bestFit="1" customWidth="1"/>
    <col min="10238" max="10238" width="6" style="617" customWidth="1"/>
    <col min="10239" max="10239" width="14.7109375" style="617" bestFit="1" customWidth="1"/>
    <col min="10240" max="10240" width="16.5703125" style="617" bestFit="1" customWidth="1"/>
    <col min="10241" max="10241" width="15.28515625" style="617" bestFit="1" customWidth="1"/>
    <col min="10242" max="10242" width="18.42578125" style="617" customWidth="1"/>
    <col min="10243" max="10485" width="9.140625" style="617"/>
    <col min="10486" max="10486" width="13" style="617" customWidth="1"/>
    <col min="10487" max="10487" width="9.140625" style="617" customWidth="1"/>
    <col min="10488" max="10488" width="15.42578125" style="617" bestFit="1" customWidth="1"/>
    <col min="10489" max="10489" width="13" style="617" bestFit="1" customWidth="1"/>
    <col min="10490" max="10490" width="7.7109375" style="617" bestFit="1" customWidth="1"/>
    <col min="10491" max="10491" width="21" style="617" bestFit="1" customWidth="1"/>
    <col min="10492" max="10492" width="15.140625" style="617" bestFit="1" customWidth="1"/>
    <col min="10493" max="10493" width="17.140625" style="617" bestFit="1" customWidth="1"/>
    <col min="10494" max="10494" width="6" style="617" customWidth="1"/>
    <col min="10495" max="10495" width="14.7109375" style="617" bestFit="1" customWidth="1"/>
    <col min="10496" max="10496" width="16.5703125" style="617" bestFit="1" customWidth="1"/>
    <col min="10497" max="10497" width="15.28515625" style="617" bestFit="1" customWidth="1"/>
    <col min="10498" max="10498" width="18.42578125" style="617" customWidth="1"/>
    <col min="10499" max="10741" width="9.140625" style="617"/>
    <col min="10742" max="10742" width="13" style="617" customWidth="1"/>
    <col min="10743" max="10743" width="9.140625" style="617" customWidth="1"/>
    <col min="10744" max="10744" width="15.42578125" style="617" bestFit="1" customWidth="1"/>
    <col min="10745" max="10745" width="13" style="617" bestFit="1" customWidth="1"/>
    <col min="10746" max="10746" width="7.7109375" style="617" bestFit="1" customWidth="1"/>
    <col min="10747" max="10747" width="21" style="617" bestFit="1" customWidth="1"/>
    <col min="10748" max="10748" width="15.140625" style="617" bestFit="1" customWidth="1"/>
    <col min="10749" max="10749" width="17.140625" style="617" bestFit="1" customWidth="1"/>
    <col min="10750" max="10750" width="6" style="617" customWidth="1"/>
    <col min="10751" max="10751" width="14.7109375" style="617" bestFit="1" customWidth="1"/>
    <col min="10752" max="10752" width="16.5703125" style="617" bestFit="1" customWidth="1"/>
    <col min="10753" max="10753" width="15.28515625" style="617" bestFit="1" customWidth="1"/>
    <col min="10754" max="10754" width="18.42578125" style="617" customWidth="1"/>
    <col min="10755" max="10997" width="9.140625" style="617"/>
    <col min="10998" max="10998" width="13" style="617" customWidth="1"/>
    <col min="10999" max="10999" width="9.140625" style="617" customWidth="1"/>
    <col min="11000" max="11000" width="15.42578125" style="617" bestFit="1" customWidth="1"/>
    <col min="11001" max="11001" width="13" style="617" bestFit="1" customWidth="1"/>
    <col min="11002" max="11002" width="7.7109375" style="617" bestFit="1" customWidth="1"/>
    <col min="11003" max="11003" width="21" style="617" bestFit="1" customWidth="1"/>
    <col min="11004" max="11004" width="15.140625" style="617" bestFit="1" customWidth="1"/>
    <col min="11005" max="11005" width="17.140625" style="617" bestFit="1" customWidth="1"/>
    <col min="11006" max="11006" width="6" style="617" customWidth="1"/>
    <col min="11007" max="11007" width="14.7109375" style="617" bestFit="1" customWidth="1"/>
    <col min="11008" max="11008" width="16.5703125" style="617" bestFit="1" customWidth="1"/>
    <col min="11009" max="11009" width="15.28515625" style="617" bestFit="1" customWidth="1"/>
    <col min="11010" max="11010" width="18.42578125" style="617" customWidth="1"/>
    <col min="11011" max="11253" width="9.140625" style="617"/>
    <col min="11254" max="11254" width="13" style="617" customWidth="1"/>
    <col min="11255" max="11255" width="9.140625" style="617" customWidth="1"/>
    <col min="11256" max="11256" width="15.42578125" style="617" bestFit="1" customWidth="1"/>
    <col min="11257" max="11257" width="13" style="617" bestFit="1" customWidth="1"/>
    <col min="11258" max="11258" width="7.7109375" style="617" bestFit="1" customWidth="1"/>
    <col min="11259" max="11259" width="21" style="617" bestFit="1" customWidth="1"/>
    <col min="11260" max="11260" width="15.140625" style="617" bestFit="1" customWidth="1"/>
    <col min="11261" max="11261" width="17.140625" style="617" bestFit="1" customWidth="1"/>
    <col min="11262" max="11262" width="6" style="617" customWidth="1"/>
    <col min="11263" max="11263" width="14.7109375" style="617" bestFit="1" customWidth="1"/>
    <col min="11264" max="11264" width="16.5703125" style="617" bestFit="1" customWidth="1"/>
    <col min="11265" max="11265" width="15.28515625" style="617" bestFit="1" customWidth="1"/>
    <col min="11266" max="11266" width="18.42578125" style="617" customWidth="1"/>
    <col min="11267" max="11509" width="9.140625" style="617"/>
    <col min="11510" max="11510" width="13" style="617" customWidth="1"/>
    <col min="11511" max="11511" width="9.140625" style="617" customWidth="1"/>
    <col min="11512" max="11512" width="15.42578125" style="617" bestFit="1" customWidth="1"/>
    <col min="11513" max="11513" width="13" style="617" bestFit="1" customWidth="1"/>
    <col min="11514" max="11514" width="7.7109375" style="617" bestFit="1" customWidth="1"/>
    <col min="11515" max="11515" width="21" style="617" bestFit="1" customWidth="1"/>
    <col min="11516" max="11516" width="15.140625" style="617" bestFit="1" customWidth="1"/>
    <col min="11517" max="11517" width="17.140625" style="617" bestFit="1" customWidth="1"/>
    <col min="11518" max="11518" width="6" style="617" customWidth="1"/>
    <col min="11519" max="11519" width="14.7109375" style="617" bestFit="1" customWidth="1"/>
    <col min="11520" max="11520" width="16.5703125" style="617" bestFit="1" customWidth="1"/>
    <col min="11521" max="11521" width="15.28515625" style="617" bestFit="1" customWidth="1"/>
    <col min="11522" max="11522" width="18.42578125" style="617" customWidth="1"/>
    <col min="11523" max="11765" width="9.140625" style="617"/>
    <col min="11766" max="11766" width="13" style="617" customWidth="1"/>
    <col min="11767" max="11767" width="9.140625" style="617" customWidth="1"/>
    <col min="11768" max="11768" width="15.42578125" style="617" bestFit="1" customWidth="1"/>
    <col min="11769" max="11769" width="13" style="617" bestFit="1" customWidth="1"/>
    <col min="11770" max="11770" width="7.7109375" style="617" bestFit="1" customWidth="1"/>
    <col min="11771" max="11771" width="21" style="617" bestFit="1" customWidth="1"/>
    <col min="11772" max="11772" width="15.140625" style="617" bestFit="1" customWidth="1"/>
    <col min="11773" max="11773" width="17.140625" style="617" bestFit="1" customWidth="1"/>
    <col min="11774" max="11774" width="6" style="617" customWidth="1"/>
    <col min="11775" max="11775" width="14.7109375" style="617" bestFit="1" customWidth="1"/>
    <col min="11776" max="11776" width="16.5703125" style="617" bestFit="1" customWidth="1"/>
    <col min="11777" max="11777" width="15.28515625" style="617" bestFit="1" customWidth="1"/>
    <col min="11778" max="11778" width="18.42578125" style="617" customWidth="1"/>
    <col min="11779" max="12021" width="9.140625" style="617"/>
    <col min="12022" max="12022" width="13" style="617" customWidth="1"/>
    <col min="12023" max="12023" width="9.140625" style="617" customWidth="1"/>
    <col min="12024" max="12024" width="15.42578125" style="617" bestFit="1" customWidth="1"/>
    <col min="12025" max="12025" width="13" style="617" bestFit="1" customWidth="1"/>
    <col min="12026" max="12026" width="7.7109375" style="617" bestFit="1" customWidth="1"/>
    <col min="12027" max="12027" width="21" style="617" bestFit="1" customWidth="1"/>
    <col min="12028" max="12028" width="15.140625" style="617" bestFit="1" customWidth="1"/>
    <col min="12029" max="12029" width="17.140625" style="617" bestFit="1" customWidth="1"/>
    <col min="12030" max="12030" width="6" style="617" customWidth="1"/>
    <col min="12031" max="12031" width="14.7109375" style="617" bestFit="1" customWidth="1"/>
    <col min="12032" max="12032" width="16.5703125" style="617" bestFit="1" customWidth="1"/>
    <col min="12033" max="12033" width="15.28515625" style="617" bestFit="1" customWidth="1"/>
    <col min="12034" max="12034" width="18.42578125" style="617" customWidth="1"/>
    <col min="12035" max="12277" width="9.140625" style="617"/>
    <col min="12278" max="12278" width="13" style="617" customWidth="1"/>
    <col min="12279" max="12279" width="9.140625" style="617" customWidth="1"/>
    <col min="12280" max="12280" width="15.42578125" style="617" bestFit="1" customWidth="1"/>
    <col min="12281" max="12281" width="13" style="617" bestFit="1" customWidth="1"/>
    <col min="12282" max="12282" width="7.7109375" style="617" bestFit="1" customWidth="1"/>
    <col min="12283" max="12283" width="21" style="617" bestFit="1" customWidth="1"/>
    <col min="12284" max="12284" width="15.140625" style="617" bestFit="1" customWidth="1"/>
    <col min="12285" max="12285" width="17.140625" style="617" bestFit="1" customWidth="1"/>
    <col min="12286" max="12286" width="6" style="617" customWidth="1"/>
    <col min="12287" max="12287" width="14.7109375" style="617" bestFit="1" customWidth="1"/>
    <col min="12288" max="12288" width="16.5703125" style="617" bestFit="1" customWidth="1"/>
    <col min="12289" max="12289" width="15.28515625" style="617" bestFit="1" customWidth="1"/>
    <col min="12290" max="12290" width="18.42578125" style="617" customWidth="1"/>
    <col min="12291" max="12533" width="9.140625" style="617"/>
    <col min="12534" max="12534" width="13" style="617" customWidth="1"/>
    <col min="12535" max="12535" width="9.140625" style="617" customWidth="1"/>
    <col min="12536" max="12536" width="15.42578125" style="617" bestFit="1" customWidth="1"/>
    <col min="12537" max="12537" width="13" style="617" bestFit="1" customWidth="1"/>
    <col min="12538" max="12538" width="7.7109375" style="617" bestFit="1" customWidth="1"/>
    <col min="12539" max="12539" width="21" style="617" bestFit="1" customWidth="1"/>
    <col min="12540" max="12540" width="15.140625" style="617" bestFit="1" customWidth="1"/>
    <col min="12541" max="12541" width="17.140625" style="617" bestFit="1" customWidth="1"/>
    <col min="12542" max="12542" width="6" style="617" customWidth="1"/>
    <col min="12543" max="12543" width="14.7109375" style="617" bestFit="1" customWidth="1"/>
    <col min="12544" max="12544" width="16.5703125" style="617" bestFit="1" customWidth="1"/>
    <col min="12545" max="12545" width="15.28515625" style="617" bestFit="1" customWidth="1"/>
    <col min="12546" max="12546" width="18.42578125" style="617" customWidth="1"/>
    <col min="12547" max="12789" width="9.140625" style="617"/>
    <col min="12790" max="12790" width="13" style="617" customWidth="1"/>
    <col min="12791" max="12791" width="9.140625" style="617" customWidth="1"/>
    <col min="12792" max="12792" width="15.42578125" style="617" bestFit="1" customWidth="1"/>
    <col min="12793" max="12793" width="13" style="617" bestFit="1" customWidth="1"/>
    <col min="12794" max="12794" width="7.7109375" style="617" bestFit="1" customWidth="1"/>
    <col min="12795" max="12795" width="21" style="617" bestFit="1" customWidth="1"/>
    <col min="12796" max="12796" width="15.140625" style="617" bestFit="1" customWidth="1"/>
    <col min="12797" max="12797" width="17.140625" style="617" bestFit="1" customWidth="1"/>
    <col min="12798" max="12798" width="6" style="617" customWidth="1"/>
    <col min="12799" max="12799" width="14.7109375" style="617" bestFit="1" customWidth="1"/>
    <col min="12800" max="12800" width="16.5703125" style="617" bestFit="1" customWidth="1"/>
    <col min="12801" max="12801" width="15.28515625" style="617" bestFit="1" customWidth="1"/>
    <col min="12802" max="12802" width="18.42578125" style="617" customWidth="1"/>
    <col min="12803" max="13045" width="9.140625" style="617"/>
    <col min="13046" max="13046" width="13" style="617" customWidth="1"/>
    <col min="13047" max="13047" width="9.140625" style="617" customWidth="1"/>
    <col min="13048" max="13048" width="15.42578125" style="617" bestFit="1" customWidth="1"/>
    <col min="13049" max="13049" width="13" style="617" bestFit="1" customWidth="1"/>
    <col min="13050" max="13050" width="7.7109375" style="617" bestFit="1" customWidth="1"/>
    <col min="13051" max="13051" width="21" style="617" bestFit="1" customWidth="1"/>
    <col min="13052" max="13052" width="15.140625" style="617" bestFit="1" customWidth="1"/>
    <col min="13053" max="13053" width="17.140625" style="617" bestFit="1" customWidth="1"/>
    <col min="13054" max="13054" width="6" style="617" customWidth="1"/>
    <col min="13055" max="13055" width="14.7109375" style="617" bestFit="1" customWidth="1"/>
    <col min="13056" max="13056" width="16.5703125" style="617" bestFit="1" customWidth="1"/>
    <col min="13057" max="13057" width="15.28515625" style="617" bestFit="1" customWidth="1"/>
    <col min="13058" max="13058" width="18.42578125" style="617" customWidth="1"/>
    <col min="13059" max="13301" width="9.140625" style="617"/>
    <col min="13302" max="13302" width="13" style="617" customWidth="1"/>
    <col min="13303" max="13303" width="9.140625" style="617" customWidth="1"/>
    <col min="13304" max="13304" width="15.42578125" style="617" bestFit="1" customWidth="1"/>
    <col min="13305" max="13305" width="13" style="617" bestFit="1" customWidth="1"/>
    <col min="13306" max="13306" width="7.7109375" style="617" bestFit="1" customWidth="1"/>
    <col min="13307" max="13307" width="21" style="617" bestFit="1" customWidth="1"/>
    <col min="13308" max="13308" width="15.140625" style="617" bestFit="1" customWidth="1"/>
    <col min="13309" max="13309" width="17.140625" style="617" bestFit="1" customWidth="1"/>
    <col min="13310" max="13310" width="6" style="617" customWidth="1"/>
    <col min="13311" max="13311" width="14.7109375" style="617" bestFit="1" customWidth="1"/>
    <col min="13312" max="13312" width="16.5703125" style="617" bestFit="1" customWidth="1"/>
    <col min="13313" max="13313" width="15.28515625" style="617" bestFit="1" customWidth="1"/>
    <col min="13314" max="13314" width="18.42578125" style="617" customWidth="1"/>
    <col min="13315" max="13557" width="9.140625" style="617"/>
    <col min="13558" max="13558" width="13" style="617" customWidth="1"/>
    <col min="13559" max="13559" width="9.140625" style="617" customWidth="1"/>
    <col min="13560" max="13560" width="15.42578125" style="617" bestFit="1" customWidth="1"/>
    <col min="13561" max="13561" width="13" style="617" bestFit="1" customWidth="1"/>
    <col min="13562" max="13562" width="7.7109375" style="617" bestFit="1" customWidth="1"/>
    <col min="13563" max="13563" width="21" style="617" bestFit="1" customWidth="1"/>
    <col min="13564" max="13564" width="15.140625" style="617" bestFit="1" customWidth="1"/>
    <col min="13565" max="13565" width="17.140625" style="617" bestFit="1" customWidth="1"/>
    <col min="13566" max="13566" width="6" style="617" customWidth="1"/>
    <col min="13567" max="13567" width="14.7109375" style="617" bestFit="1" customWidth="1"/>
    <col min="13568" max="13568" width="16.5703125" style="617" bestFit="1" customWidth="1"/>
    <col min="13569" max="13569" width="15.28515625" style="617" bestFit="1" customWidth="1"/>
    <col min="13570" max="13570" width="18.42578125" style="617" customWidth="1"/>
    <col min="13571" max="13813" width="9.140625" style="617"/>
    <col min="13814" max="13814" width="13" style="617" customWidth="1"/>
    <col min="13815" max="13815" width="9.140625" style="617" customWidth="1"/>
    <col min="13816" max="13816" width="15.42578125" style="617" bestFit="1" customWidth="1"/>
    <col min="13817" max="13817" width="13" style="617" bestFit="1" customWidth="1"/>
    <col min="13818" max="13818" width="7.7109375" style="617" bestFit="1" customWidth="1"/>
    <col min="13819" max="13819" width="21" style="617" bestFit="1" customWidth="1"/>
    <col min="13820" max="13820" width="15.140625" style="617" bestFit="1" customWidth="1"/>
    <col min="13821" max="13821" width="17.140625" style="617" bestFit="1" customWidth="1"/>
    <col min="13822" max="13822" width="6" style="617" customWidth="1"/>
    <col min="13823" max="13823" width="14.7109375" style="617" bestFit="1" customWidth="1"/>
    <col min="13824" max="13824" width="16.5703125" style="617" bestFit="1" customWidth="1"/>
    <col min="13825" max="13825" width="15.28515625" style="617" bestFit="1" customWidth="1"/>
    <col min="13826" max="13826" width="18.42578125" style="617" customWidth="1"/>
    <col min="13827" max="14069" width="9.140625" style="617"/>
    <col min="14070" max="14070" width="13" style="617" customWidth="1"/>
    <col min="14071" max="14071" width="9.140625" style="617" customWidth="1"/>
    <col min="14072" max="14072" width="15.42578125" style="617" bestFit="1" customWidth="1"/>
    <col min="14073" max="14073" width="13" style="617" bestFit="1" customWidth="1"/>
    <col min="14074" max="14074" width="7.7109375" style="617" bestFit="1" customWidth="1"/>
    <col min="14075" max="14075" width="21" style="617" bestFit="1" customWidth="1"/>
    <col min="14076" max="14076" width="15.140625" style="617" bestFit="1" customWidth="1"/>
    <col min="14077" max="14077" width="17.140625" style="617" bestFit="1" customWidth="1"/>
    <col min="14078" max="14078" width="6" style="617" customWidth="1"/>
    <col min="14079" max="14079" width="14.7109375" style="617" bestFit="1" customWidth="1"/>
    <col min="14080" max="14080" width="16.5703125" style="617" bestFit="1" customWidth="1"/>
    <col min="14081" max="14081" width="15.28515625" style="617" bestFit="1" customWidth="1"/>
    <col min="14082" max="14082" width="18.42578125" style="617" customWidth="1"/>
    <col min="14083" max="14325" width="9.140625" style="617"/>
    <col min="14326" max="14326" width="13" style="617" customWidth="1"/>
    <col min="14327" max="14327" width="9.140625" style="617" customWidth="1"/>
    <col min="14328" max="14328" width="15.42578125" style="617" bestFit="1" customWidth="1"/>
    <col min="14329" max="14329" width="13" style="617" bestFit="1" customWidth="1"/>
    <col min="14330" max="14330" width="7.7109375" style="617" bestFit="1" customWidth="1"/>
    <col min="14331" max="14331" width="21" style="617" bestFit="1" customWidth="1"/>
    <col min="14332" max="14332" width="15.140625" style="617" bestFit="1" customWidth="1"/>
    <col min="14333" max="14333" width="17.140625" style="617" bestFit="1" customWidth="1"/>
    <col min="14334" max="14334" width="6" style="617" customWidth="1"/>
    <col min="14335" max="14335" width="14.7109375" style="617" bestFit="1" customWidth="1"/>
    <col min="14336" max="14336" width="16.5703125" style="617" bestFit="1" customWidth="1"/>
    <col min="14337" max="14337" width="15.28515625" style="617" bestFit="1" customWidth="1"/>
    <col min="14338" max="14338" width="18.42578125" style="617" customWidth="1"/>
    <col min="14339" max="14581" width="9.140625" style="617"/>
    <col min="14582" max="14582" width="13" style="617" customWidth="1"/>
    <col min="14583" max="14583" width="9.140625" style="617" customWidth="1"/>
    <col min="14584" max="14584" width="15.42578125" style="617" bestFit="1" customWidth="1"/>
    <col min="14585" max="14585" width="13" style="617" bestFit="1" customWidth="1"/>
    <col min="14586" max="14586" width="7.7109375" style="617" bestFit="1" customWidth="1"/>
    <col min="14587" max="14587" width="21" style="617" bestFit="1" customWidth="1"/>
    <col min="14588" max="14588" width="15.140625" style="617" bestFit="1" customWidth="1"/>
    <col min="14589" max="14589" width="17.140625" style="617" bestFit="1" customWidth="1"/>
    <col min="14590" max="14590" width="6" style="617" customWidth="1"/>
    <col min="14591" max="14591" width="14.7109375" style="617" bestFit="1" customWidth="1"/>
    <col min="14592" max="14592" width="16.5703125" style="617" bestFit="1" customWidth="1"/>
    <col min="14593" max="14593" width="15.28515625" style="617" bestFit="1" customWidth="1"/>
    <col min="14594" max="14594" width="18.42578125" style="617" customWidth="1"/>
    <col min="14595" max="14837" width="9.140625" style="617"/>
    <col min="14838" max="14838" width="13" style="617" customWidth="1"/>
    <col min="14839" max="14839" width="9.140625" style="617" customWidth="1"/>
    <col min="14840" max="14840" width="15.42578125" style="617" bestFit="1" customWidth="1"/>
    <col min="14841" max="14841" width="13" style="617" bestFit="1" customWidth="1"/>
    <col min="14842" max="14842" width="7.7109375" style="617" bestFit="1" customWidth="1"/>
    <col min="14843" max="14843" width="21" style="617" bestFit="1" customWidth="1"/>
    <col min="14844" max="14844" width="15.140625" style="617" bestFit="1" customWidth="1"/>
    <col min="14845" max="14845" width="17.140625" style="617" bestFit="1" customWidth="1"/>
    <col min="14846" max="14846" width="6" style="617" customWidth="1"/>
    <col min="14847" max="14847" width="14.7109375" style="617" bestFit="1" customWidth="1"/>
    <col min="14848" max="14848" width="16.5703125" style="617" bestFit="1" customWidth="1"/>
    <col min="14849" max="14849" width="15.28515625" style="617" bestFit="1" customWidth="1"/>
    <col min="14850" max="14850" width="18.42578125" style="617" customWidth="1"/>
    <col min="14851" max="15093" width="9.140625" style="617"/>
    <col min="15094" max="15094" width="13" style="617" customWidth="1"/>
    <col min="15095" max="15095" width="9.140625" style="617" customWidth="1"/>
    <col min="15096" max="15096" width="15.42578125" style="617" bestFit="1" customWidth="1"/>
    <col min="15097" max="15097" width="13" style="617" bestFit="1" customWidth="1"/>
    <col min="15098" max="15098" width="7.7109375" style="617" bestFit="1" customWidth="1"/>
    <col min="15099" max="15099" width="21" style="617" bestFit="1" customWidth="1"/>
    <col min="15100" max="15100" width="15.140625" style="617" bestFit="1" customWidth="1"/>
    <col min="15101" max="15101" width="17.140625" style="617" bestFit="1" customWidth="1"/>
    <col min="15102" max="15102" width="6" style="617" customWidth="1"/>
    <col min="15103" max="15103" width="14.7109375" style="617" bestFit="1" customWidth="1"/>
    <col min="15104" max="15104" width="16.5703125" style="617" bestFit="1" customWidth="1"/>
    <col min="15105" max="15105" width="15.28515625" style="617" bestFit="1" customWidth="1"/>
    <col min="15106" max="15106" width="18.42578125" style="617" customWidth="1"/>
    <col min="15107" max="15349" width="9.140625" style="617"/>
    <col min="15350" max="15350" width="13" style="617" customWidth="1"/>
    <col min="15351" max="15351" width="9.140625" style="617" customWidth="1"/>
    <col min="15352" max="15352" width="15.42578125" style="617" bestFit="1" customWidth="1"/>
    <col min="15353" max="15353" width="13" style="617" bestFit="1" customWidth="1"/>
    <col min="15354" max="15354" width="7.7109375" style="617" bestFit="1" customWidth="1"/>
    <col min="15355" max="15355" width="21" style="617" bestFit="1" customWidth="1"/>
    <col min="15356" max="15356" width="15.140625" style="617" bestFit="1" customWidth="1"/>
    <col min="15357" max="15357" width="17.140625" style="617" bestFit="1" customWidth="1"/>
    <col min="15358" max="15358" width="6" style="617" customWidth="1"/>
    <col min="15359" max="15359" width="14.7109375" style="617" bestFit="1" customWidth="1"/>
    <col min="15360" max="15360" width="16.5703125" style="617" bestFit="1" customWidth="1"/>
    <col min="15361" max="15361" width="15.28515625" style="617" bestFit="1" customWidth="1"/>
    <col min="15362" max="15362" width="18.42578125" style="617" customWidth="1"/>
    <col min="15363" max="15605" width="9.140625" style="617"/>
    <col min="15606" max="15606" width="13" style="617" customWidth="1"/>
    <col min="15607" max="15607" width="9.140625" style="617" customWidth="1"/>
    <col min="15608" max="15608" width="15.42578125" style="617" bestFit="1" customWidth="1"/>
    <col min="15609" max="15609" width="13" style="617" bestFit="1" customWidth="1"/>
    <col min="15610" max="15610" width="7.7109375" style="617" bestFit="1" customWidth="1"/>
    <col min="15611" max="15611" width="21" style="617" bestFit="1" customWidth="1"/>
    <col min="15612" max="15612" width="15.140625" style="617" bestFit="1" customWidth="1"/>
    <col min="15613" max="15613" width="17.140625" style="617" bestFit="1" customWidth="1"/>
    <col min="15614" max="15614" width="6" style="617" customWidth="1"/>
    <col min="15615" max="15615" width="14.7109375" style="617" bestFit="1" customWidth="1"/>
    <col min="15616" max="15616" width="16.5703125" style="617" bestFit="1" customWidth="1"/>
    <col min="15617" max="15617" width="15.28515625" style="617" bestFit="1" customWidth="1"/>
    <col min="15618" max="15618" width="18.42578125" style="617" customWidth="1"/>
    <col min="15619" max="15861" width="9.140625" style="617"/>
    <col min="15862" max="15862" width="13" style="617" customWidth="1"/>
    <col min="15863" max="15863" width="9.140625" style="617" customWidth="1"/>
    <col min="15864" max="15864" width="15.42578125" style="617" bestFit="1" customWidth="1"/>
    <col min="15865" max="15865" width="13" style="617" bestFit="1" customWidth="1"/>
    <col min="15866" max="15866" width="7.7109375" style="617" bestFit="1" customWidth="1"/>
    <col min="15867" max="15867" width="21" style="617" bestFit="1" customWidth="1"/>
    <col min="15868" max="15868" width="15.140625" style="617" bestFit="1" customWidth="1"/>
    <col min="15869" max="15869" width="17.140625" style="617" bestFit="1" customWidth="1"/>
    <col min="15870" max="15870" width="6" style="617" customWidth="1"/>
    <col min="15871" max="15871" width="14.7109375" style="617" bestFit="1" customWidth="1"/>
    <col min="15872" max="15872" width="16.5703125" style="617" bestFit="1" customWidth="1"/>
    <col min="15873" max="15873" width="15.28515625" style="617" bestFit="1" customWidth="1"/>
    <col min="15874" max="15874" width="18.42578125" style="617" customWidth="1"/>
    <col min="15875" max="16117" width="9.140625" style="617"/>
    <col min="16118" max="16118" width="13" style="617" customWidth="1"/>
    <col min="16119" max="16119" width="9.140625" style="617" customWidth="1"/>
    <col min="16120" max="16120" width="15.42578125" style="617" bestFit="1" customWidth="1"/>
    <col min="16121" max="16121" width="13" style="617" bestFit="1" customWidth="1"/>
    <col min="16122" max="16122" width="7.7109375" style="617" bestFit="1" customWidth="1"/>
    <col min="16123" max="16123" width="21" style="617" bestFit="1" customWidth="1"/>
    <col min="16124" max="16124" width="15.140625" style="617" bestFit="1" customWidth="1"/>
    <col min="16125" max="16125" width="17.140625" style="617" bestFit="1" customWidth="1"/>
    <col min="16126" max="16126" width="6" style="617" customWidth="1"/>
    <col min="16127" max="16127" width="14.7109375" style="617" bestFit="1" customWidth="1"/>
    <col min="16128" max="16128" width="16.5703125" style="617" bestFit="1" customWidth="1"/>
    <col min="16129" max="16129" width="15.28515625" style="617" bestFit="1" customWidth="1"/>
    <col min="16130" max="16130" width="18.42578125" style="617" customWidth="1"/>
    <col min="16131" max="16384" width="9.140625" style="617"/>
  </cols>
  <sheetData>
    <row r="1" spans="1:4">
      <c r="A1" s="616" t="s">
        <v>342</v>
      </c>
    </row>
    <row r="2" spans="1:4">
      <c r="A2" s="616" t="s">
        <v>636</v>
      </c>
    </row>
    <row r="3" spans="1:4">
      <c r="A3" s="618" t="s">
        <v>643</v>
      </c>
    </row>
    <row r="5" spans="1:4">
      <c r="A5" s="619" t="s">
        <v>637</v>
      </c>
      <c r="B5" s="620"/>
      <c r="C5" s="619" t="s">
        <v>639</v>
      </c>
      <c r="D5" s="621"/>
    </row>
    <row r="6" spans="1:4">
      <c r="A6" s="617" t="s">
        <v>640</v>
      </c>
    </row>
    <row r="7" spans="1:4">
      <c r="A7" s="622">
        <v>41639</v>
      </c>
      <c r="C7" s="623">
        <v>14587383</v>
      </c>
      <c r="D7" s="624"/>
    </row>
    <row r="8" spans="1:4">
      <c r="A8" s="622">
        <v>41670</v>
      </c>
      <c r="C8" s="623">
        <v>14967017.849315068</v>
      </c>
      <c r="D8" s="625"/>
    </row>
    <row r="9" spans="1:4">
      <c r="A9" s="622">
        <v>41698</v>
      </c>
      <c r="C9" s="623">
        <v>15032742.76438356</v>
      </c>
      <c r="D9" s="625"/>
    </row>
    <row r="10" spans="1:4">
      <c r="A10" s="622">
        <v>41729</v>
      </c>
      <c r="C10" s="623">
        <v>12681967.586301368</v>
      </c>
      <c r="D10" s="625"/>
    </row>
    <row r="11" spans="1:4">
      <c r="A11" s="622">
        <v>41759</v>
      </c>
      <c r="C11" s="623">
        <v>13858872.698630136</v>
      </c>
      <c r="D11" s="625"/>
    </row>
    <row r="12" spans="1:4">
      <c r="A12" s="622">
        <v>41790</v>
      </c>
      <c r="C12" s="623">
        <v>14068020.575342465</v>
      </c>
      <c r="D12" s="625"/>
    </row>
    <row r="13" spans="1:4">
      <c r="A13" s="622">
        <v>41820</v>
      </c>
      <c r="C13" s="623">
        <v>14254589.273972603</v>
      </c>
      <c r="D13" s="625"/>
    </row>
    <row r="14" spans="1:4">
      <c r="A14" s="622">
        <v>41851</v>
      </c>
      <c r="C14" s="623">
        <v>14414170.402739726</v>
      </c>
      <c r="D14" s="625"/>
    </row>
    <row r="15" spans="1:4">
      <c r="A15" s="622">
        <v>41882</v>
      </c>
      <c r="C15" s="623">
        <v>14542575.326027397</v>
      </c>
      <c r="D15" s="625"/>
    </row>
    <row r="16" spans="1:4">
      <c r="A16" s="622">
        <v>41912</v>
      </c>
      <c r="C16" s="623">
        <v>14400280.06849315</v>
      </c>
      <c r="D16" s="625"/>
    </row>
    <row r="17" spans="1:4">
      <c r="A17" s="622">
        <v>41943</v>
      </c>
      <c r="C17" s="623">
        <v>14464556.402739726</v>
      </c>
      <c r="D17" s="625"/>
    </row>
    <row r="18" spans="1:4">
      <c r="A18" s="622">
        <v>41973</v>
      </c>
      <c r="C18" s="623">
        <v>14288163.375342466</v>
      </c>
      <c r="D18" s="625"/>
    </row>
    <row r="19" spans="1:4">
      <c r="A19" s="622">
        <v>42004</v>
      </c>
      <c r="C19" s="623">
        <v>14407198.947945205</v>
      </c>
      <c r="D19" s="625"/>
    </row>
    <row r="20" spans="1:4">
      <c r="C20" s="623"/>
    </row>
    <row r="21" spans="1:4" ht="13.5" thickBot="1">
      <c r="C21" s="626">
        <f>SUM(C7:C19)/13</f>
        <v>14305195.251633298</v>
      </c>
      <c r="D21" s="627"/>
    </row>
    <row r="22" spans="1:4" ht="13.5" thickTop="1">
      <c r="A22" s="617" t="s">
        <v>641</v>
      </c>
      <c r="C22" s="623"/>
    </row>
    <row r="23" spans="1:4">
      <c r="A23" s="622">
        <v>41639</v>
      </c>
      <c r="C23" s="623">
        <v>-568821753</v>
      </c>
    </row>
    <row r="24" spans="1:4">
      <c r="A24" s="622">
        <v>41670</v>
      </c>
      <c r="C24" s="623">
        <v>-570257622.65753424</v>
      </c>
    </row>
    <row r="25" spans="1:4">
      <c r="A25" s="622">
        <v>41698</v>
      </c>
      <c r="C25" s="623">
        <v>-571144940.97260273</v>
      </c>
    </row>
    <row r="26" spans="1:4">
      <c r="A26" s="622">
        <v>41729</v>
      </c>
      <c r="C26" s="623">
        <v>-573918593.52054799</v>
      </c>
    </row>
    <row r="27" spans="1:4">
      <c r="A27" s="622">
        <v>41759</v>
      </c>
      <c r="C27" s="623">
        <v>-574489604.67671239</v>
      </c>
    </row>
    <row r="28" spans="1:4">
      <c r="A28" s="622">
        <v>41790</v>
      </c>
      <c r="C28" s="623">
        <v>-575940349.27945209</v>
      </c>
    </row>
    <row r="29" spans="1:4">
      <c r="A29" s="622">
        <v>41820</v>
      </c>
      <c r="C29" s="623">
        <v>-579146426.14246583</v>
      </c>
    </row>
    <row r="30" spans="1:4">
      <c r="A30" s="622">
        <v>41851</v>
      </c>
      <c r="C30" s="623">
        <v>-582426112.66849327</v>
      </c>
    </row>
    <row r="31" spans="1:4">
      <c r="A31" s="622">
        <v>41882</v>
      </c>
      <c r="C31" s="623">
        <v>-584505112.58630145</v>
      </c>
    </row>
    <row r="32" spans="1:4">
      <c r="A32" s="622">
        <v>41912</v>
      </c>
      <c r="C32" s="623">
        <v>-584231428.31232882</v>
      </c>
    </row>
    <row r="33" spans="1:3">
      <c r="A33" s="622">
        <v>41943</v>
      </c>
      <c r="C33" s="623">
        <v>-585220089.31506848</v>
      </c>
    </row>
    <row r="34" spans="1:3">
      <c r="A34" s="622">
        <v>41973</v>
      </c>
      <c r="C34" s="623">
        <v>-583422078.32602739</v>
      </c>
    </row>
    <row r="35" spans="1:3">
      <c r="A35" s="622">
        <v>42004</v>
      </c>
      <c r="C35" s="623">
        <v>-583414593.84931505</v>
      </c>
    </row>
    <row r="36" spans="1:3">
      <c r="C36" s="623"/>
    </row>
    <row r="37" spans="1:3" ht="13.5" thickBot="1">
      <c r="C37" s="626">
        <f>SUM(C23:C35)/13</f>
        <v>-578226054.25437307</v>
      </c>
    </row>
    <row r="38" spans="1:3" ht="13.5" thickTop="1">
      <c r="A38" s="617" t="s">
        <v>642</v>
      </c>
      <c r="C38" s="623"/>
    </row>
    <row r="39" spans="1:3">
      <c r="A39" s="622">
        <v>41639</v>
      </c>
      <c r="C39" s="623">
        <v>-3149814</v>
      </c>
    </row>
    <row r="40" spans="1:3">
      <c r="A40" s="622">
        <v>41670</v>
      </c>
      <c r="C40" s="623">
        <v>-3096178.2054794519</v>
      </c>
    </row>
    <row r="41" spans="1:3">
      <c r="A41" s="622">
        <v>41698</v>
      </c>
      <c r="C41" s="623">
        <v>-3078902.9369863011</v>
      </c>
    </row>
    <row r="42" spans="1:3">
      <c r="A42" s="622">
        <v>41729</v>
      </c>
      <c r="C42" s="623">
        <v>-3034663.5397260273</v>
      </c>
    </row>
    <row r="43" spans="1:3">
      <c r="A43" s="622">
        <v>41759</v>
      </c>
      <c r="C43" s="623">
        <v>-4856152.6794520542</v>
      </c>
    </row>
    <row r="44" spans="1:3">
      <c r="A44" s="622">
        <v>41790</v>
      </c>
      <c r="C44" s="623">
        <v>-4826666.4602739718</v>
      </c>
    </row>
    <row r="45" spans="1:3">
      <c r="A45" s="622">
        <v>41820</v>
      </c>
      <c r="C45" s="623">
        <v>-3766358.4739726018</v>
      </c>
    </row>
    <row r="46" spans="1:3">
      <c r="A46" s="622">
        <v>41851</v>
      </c>
      <c r="C46" s="623">
        <v>-3740337.115068492</v>
      </c>
    </row>
    <row r="47" spans="1:3">
      <c r="A47" s="622">
        <v>41882</v>
      </c>
      <c r="C47" s="623">
        <v>-3719554.1589041082</v>
      </c>
    </row>
    <row r="48" spans="1:3">
      <c r="A48" s="622">
        <v>41912</v>
      </c>
      <c r="C48" s="623">
        <v>-3882844.5780821904</v>
      </c>
    </row>
    <row r="49" spans="1:3">
      <c r="A49" s="622">
        <v>41943</v>
      </c>
      <c r="C49" s="623">
        <v>-3872368.4465753408</v>
      </c>
    </row>
    <row r="50" spans="1:3">
      <c r="A50" s="622">
        <v>41973</v>
      </c>
      <c r="C50" s="623">
        <v>-3902974.4109589024</v>
      </c>
    </row>
    <row r="51" spans="1:3">
      <c r="A51" s="622">
        <v>42004</v>
      </c>
      <c r="C51" s="623">
        <v>-3902950.268493149</v>
      </c>
    </row>
    <row r="53" spans="1:3" ht="13.5" thickBot="1">
      <c r="C53" s="628">
        <f>SUM(C39:C51)/13</f>
        <v>-3756135.7903055842</v>
      </c>
    </row>
    <row r="54" spans="1:3" ht="13.5" thickTop="1"/>
    <row r="56" spans="1:3" ht="13.5" thickBot="1">
      <c r="C56" s="628">
        <f>C53+C37+C21</f>
        <v>-567676994.7930454</v>
      </c>
    </row>
    <row r="57" spans="1:3" ht="13.5" thickTop="1"/>
    <row r="58" spans="1:3">
      <c r="C58" s="774"/>
    </row>
    <row r="59" spans="1:3">
      <c r="C59" s="625"/>
    </row>
  </sheetData>
  <pageMargins left="0.75" right="0.75" top="1" bottom="1" header="0.5" footer="0.5"/>
  <pageSetup scale="53"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zoomScale="90" zoomScaleNormal="90" workbookViewId="0">
      <selection sqref="A1:A3"/>
    </sheetView>
  </sheetViews>
  <sheetFormatPr defaultRowHeight="12.75"/>
  <cols>
    <col min="1" max="1" width="40.7109375" style="537" customWidth="1"/>
    <col min="2" max="2" width="15.7109375" style="537" bestFit="1" customWidth="1"/>
    <col min="3" max="3" width="9.7109375" style="541" customWidth="1"/>
    <col min="4" max="4" width="17.28515625" style="537" bestFit="1" customWidth="1"/>
    <col min="5" max="5" width="14" style="537" customWidth="1"/>
    <col min="6" max="6" width="3.28515625" style="537" customWidth="1"/>
    <col min="7" max="7" width="11.140625" style="584" bestFit="1" customWidth="1"/>
    <col min="8" max="8" width="16.28515625" style="537" customWidth="1"/>
    <col min="9" max="256" width="9.140625" style="537"/>
    <col min="257" max="257" width="40.7109375" style="537" customWidth="1"/>
    <col min="258" max="258" width="15.7109375" style="537" bestFit="1" customWidth="1"/>
    <col min="259" max="259" width="9.7109375" style="537" customWidth="1"/>
    <col min="260" max="260" width="17.28515625" style="537" bestFit="1" customWidth="1"/>
    <col min="261" max="261" width="14" style="537" customWidth="1"/>
    <col min="262" max="262" width="3.28515625" style="537" customWidth="1"/>
    <col min="263" max="263" width="11.140625" style="537" bestFit="1" customWidth="1"/>
    <col min="264" max="264" width="16.28515625" style="537" customWidth="1"/>
    <col min="265" max="512" width="9.140625" style="537"/>
    <col min="513" max="513" width="40.7109375" style="537" customWidth="1"/>
    <col min="514" max="514" width="15.7109375" style="537" bestFit="1" customWidth="1"/>
    <col min="515" max="515" width="9.7109375" style="537" customWidth="1"/>
    <col min="516" max="516" width="17.28515625" style="537" bestFit="1" customWidth="1"/>
    <col min="517" max="517" width="14" style="537" customWidth="1"/>
    <col min="518" max="518" width="3.28515625" style="537" customWidth="1"/>
    <col min="519" max="519" width="11.140625" style="537" bestFit="1" customWidth="1"/>
    <col min="520" max="520" width="16.28515625" style="537" customWidth="1"/>
    <col min="521" max="768" width="9.140625" style="537"/>
    <col min="769" max="769" width="40.7109375" style="537" customWidth="1"/>
    <col min="770" max="770" width="15.7109375" style="537" bestFit="1" customWidth="1"/>
    <col min="771" max="771" width="9.7109375" style="537" customWidth="1"/>
    <col min="772" max="772" width="17.28515625" style="537" bestFit="1" customWidth="1"/>
    <col min="773" max="773" width="14" style="537" customWidth="1"/>
    <col min="774" max="774" width="3.28515625" style="537" customWidth="1"/>
    <col min="775" max="775" width="11.140625" style="537" bestFit="1" customWidth="1"/>
    <col min="776" max="776" width="16.28515625" style="537" customWidth="1"/>
    <col min="777" max="1024" width="9.140625" style="537"/>
    <col min="1025" max="1025" width="40.7109375" style="537" customWidth="1"/>
    <col min="1026" max="1026" width="15.7109375" style="537" bestFit="1" customWidth="1"/>
    <col min="1027" max="1027" width="9.7109375" style="537" customWidth="1"/>
    <col min="1028" max="1028" width="17.28515625" style="537" bestFit="1" customWidth="1"/>
    <col min="1029" max="1029" width="14" style="537" customWidth="1"/>
    <col min="1030" max="1030" width="3.28515625" style="537" customWidth="1"/>
    <col min="1031" max="1031" width="11.140625" style="537" bestFit="1" customWidth="1"/>
    <col min="1032" max="1032" width="16.28515625" style="537" customWidth="1"/>
    <col min="1033" max="1280" width="9.140625" style="537"/>
    <col min="1281" max="1281" width="40.7109375" style="537" customWidth="1"/>
    <col min="1282" max="1282" width="15.7109375" style="537" bestFit="1" customWidth="1"/>
    <col min="1283" max="1283" width="9.7109375" style="537" customWidth="1"/>
    <col min="1284" max="1284" width="17.28515625" style="537" bestFit="1" customWidth="1"/>
    <col min="1285" max="1285" width="14" style="537" customWidth="1"/>
    <col min="1286" max="1286" width="3.28515625" style="537" customWidth="1"/>
    <col min="1287" max="1287" width="11.140625" style="537" bestFit="1" customWidth="1"/>
    <col min="1288" max="1288" width="16.28515625" style="537" customWidth="1"/>
    <col min="1289" max="1536" width="9.140625" style="537"/>
    <col min="1537" max="1537" width="40.7109375" style="537" customWidth="1"/>
    <col min="1538" max="1538" width="15.7109375" style="537" bestFit="1" customWidth="1"/>
    <col min="1539" max="1539" width="9.7109375" style="537" customWidth="1"/>
    <col min="1540" max="1540" width="17.28515625" style="537" bestFit="1" customWidth="1"/>
    <col min="1541" max="1541" width="14" style="537" customWidth="1"/>
    <col min="1542" max="1542" width="3.28515625" style="537" customWidth="1"/>
    <col min="1543" max="1543" width="11.140625" style="537" bestFit="1" customWidth="1"/>
    <col min="1544" max="1544" width="16.28515625" style="537" customWidth="1"/>
    <col min="1545" max="1792" width="9.140625" style="537"/>
    <col min="1793" max="1793" width="40.7109375" style="537" customWidth="1"/>
    <col min="1794" max="1794" width="15.7109375" style="537" bestFit="1" customWidth="1"/>
    <col min="1795" max="1795" width="9.7109375" style="537" customWidth="1"/>
    <col min="1796" max="1796" width="17.28515625" style="537" bestFit="1" customWidth="1"/>
    <col min="1797" max="1797" width="14" style="537" customWidth="1"/>
    <col min="1798" max="1798" width="3.28515625" style="537" customWidth="1"/>
    <col min="1799" max="1799" width="11.140625" style="537" bestFit="1" customWidth="1"/>
    <col min="1800" max="1800" width="16.28515625" style="537" customWidth="1"/>
    <col min="1801" max="2048" width="9.140625" style="537"/>
    <col min="2049" max="2049" width="40.7109375" style="537" customWidth="1"/>
    <col min="2050" max="2050" width="15.7109375" style="537" bestFit="1" customWidth="1"/>
    <col min="2051" max="2051" width="9.7109375" style="537" customWidth="1"/>
    <col min="2052" max="2052" width="17.28515625" style="537" bestFit="1" customWidth="1"/>
    <col min="2053" max="2053" width="14" style="537" customWidth="1"/>
    <col min="2054" max="2054" width="3.28515625" style="537" customWidth="1"/>
    <col min="2055" max="2055" width="11.140625" style="537" bestFit="1" customWidth="1"/>
    <col min="2056" max="2056" width="16.28515625" style="537" customWidth="1"/>
    <col min="2057" max="2304" width="9.140625" style="537"/>
    <col min="2305" max="2305" width="40.7109375" style="537" customWidth="1"/>
    <col min="2306" max="2306" width="15.7109375" style="537" bestFit="1" customWidth="1"/>
    <col min="2307" max="2307" width="9.7109375" style="537" customWidth="1"/>
    <col min="2308" max="2308" width="17.28515625" style="537" bestFit="1" customWidth="1"/>
    <col min="2309" max="2309" width="14" style="537" customWidth="1"/>
    <col min="2310" max="2310" width="3.28515625" style="537" customWidth="1"/>
    <col min="2311" max="2311" width="11.140625" style="537" bestFit="1" customWidth="1"/>
    <col min="2312" max="2312" width="16.28515625" style="537" customWidth="1"/>
    <col min="2313" max="2560" width="9.140625" style="537"/>
    <col min="2561" max="2561" width="40.7109375" style="537" customWidth="1"/>
    <col min="2562" max="2562" width="15.7109375" style="537" bestFit="1" customWidth="1"/>
    <col min="2563" max="2563" width="9.7109375" style="537" customWidth="1"/>
    <col min="2564" max="2564" width="17.28515625" style="537" bestFit="1" customWidth="1"/>
    <col min="2565" max="2565" width="14" style="537" customWidth="1"/>
    <col min="2566" max="2566" width="3.28515625" style="537" customWidth="1"/>
    <col min="2567" max="2567" width="11.140625" style="537" bestFit="1" customWidth="1"/>
    <col min="2568" max="2568" width="16.28515625" style="537" customWidth="1"/>
    <col min="2569" max="2816" width="9.140625" style="537"/>
    <col min="2817" max="2817" width="40.7109375" style="537" customWidth="1"/>
    <col min="2818" max="2818" width="15.7109375" style="537" bestFit="1" customWidth="1"/>
    <col min="2819" max="2819" width="9.7109375" style="537" customWidth="1"/>
    <col min="2820" max="2820" width="17.28515625" style="537" bestFit="1" customWidth="1"/>
    <col min="2821" max="2821" width="14" style="537" customWidth="1"/>
    <col min="2822" max="2822" width="3.28515625" style="537" customWidth="1"/>
    <col min="2823" max="2823" width="11.140625" style="537" bestFit="1" customWidth="1"/>
    <col min="2824" max="2824" width="16.28515625" style="537" customWidth="1"/>
    <col min="2825" max="3072" width="9.140625" style="537"/>
    <col min="3073" max="3073" width="40.7109375" style="537" customWidth="1"/>
    <col min="3074" max="3074" width="15.7109375" style="537" bestFit="1" customWidth="1"/>
    <col min="3075" max="3075" width="9.7109375" style="537" customWidth="1"/>
    <col min="3076" max="3076" width="17.28515625" style="537" bestFit="1" customWidth="1"/>
    <col min="3077" max="3077" width="14" style="537" customWidth="1"/>
    <col min="3078" max="3078" width="3.28515625" style="537" customWidth="1"/>
    <col min="3079" max="3079" width="11.140625" style="537" bestFit="1" customWidth="1"/>
    <col min="3080" max="3080" width="16.28515625" style="537" customWidth="1"/>
    <col min="3081" max="3328" width="9.140625" style="537"/>
    <col min="3329" max="3329" width="40.7109375" style="537" customWidth="1"/>
    <col min="3330" max="3330" width="15.7109375" style="537" bestFit="1" customWidth="1"/>
    <col min="3331" max="3331" width="9.7109375" style="537" customWidth="1"/>
    <col min="3332" max="3332" width="17.28515625" style="537" bestFit="1" customWidth="1"/>
    <col min="3333" max="3333" width="14" style="537" customWidth="1"/>
    <col min="3334" max="3334" width="3.28515625" style="537" customWidth="1"/>
    <col min="3335" max="3335" width="11.140625" style="537" bestFit="1" customWidth="1"/>
    <col min="3336" max="3336" width="16.28515625" style="537" customWidth="1"/>
    <col min="3337" max="3584" width="9.140625" style="537"/>
    <col min="3585" max="3585" width="40.7109375" style="537" customWidth="1"/>
    <col min="3586" max="3586" width="15.7109375" style="537" bestFit="1" customWidth="1"/>
    <col min="3587" max="3587" width="9.7109375" style="537" customWidth="1"/>
    <col min="3588" max="3588" width="17.28515625" style="537" bestFit="1" customWidth="1"/>
    <col min="3589" max="3589" width="14" style="537" customWidth="1"/>
    <col min="3590" max="3590" width="3.28515625" style="537" customWidth="1"/>
    <col min="3591" max="3591" width="11.140625" style="537" bestFit="1" customWidth="1"/>
    <col min="3592" max="3592" width="16.28515625" style="537" customWidth="1"/>
    <col min="3593" max="3840" width="9.140625" style="537"/>
    <col min="3841" max="3841" width="40.7109375" style="537" customWidth="1"/>
    <col min="3842" max="3842" width="15.7109375" style="537" bestFit="1" customWidth="1"/>
    <col min="3843" max="3843" width="9.7109375" style="537" customWidth="1"/>
    <col min="3844" max="3844" width="17.28515625" style="537" bestFit="1" customWidth="1"/>
    <col min="3845" max="3845" width="14" style="537" customWidth="1"/>
    <col min="3846" max="3846" width="3.28515625" style="537" customWidth="1"/>
    <col min="3847" max="3847" width="11.140625" style="537" bestFit="1" customWidth="1"/>
    <col min="3848" max="3848" width="16.28515625" style="537" customWidth="1"/>
    <col min="3849" max="4096" width="9.140625" style="537"/>
    <col min="4097" max="4097" width="40.7109375" style="537" customWidth="1"/>
    <col min="4098" max="4098" width="15.7109375" style="537" bestFit="1" customWidth="1"/>
    <col min="4099" max="4099" width="9.7109375" style="537" customWidth="1"/>
    <col min="4100" max="4100" width="17.28515625" style="537" bestFit="1" customWidth="1"/>
    <col min="4101" max="4101" width="14" style="537" customWidth="1"/>
    <col min="4102" max="4102" width="3.28515625" style="537" customWidth="1"/>
    <col min="4103" max="4103" width="11.140625" style="537" bestFit="1" customWidth="1"/>
    <col min="4104" max="4104" width="16.28515625" style="537" customWidth="1"/>
    <col min="4105" max="4352" width="9.140625" style="537"/>
    <col min="4353" max="4353" width="40.7109375" style="537" customWidth="1"/>
    <col min="4354" max="4354" width="15.7109375" style="537" bestFit="1" customWidth="1"/>
    <col min="4355" max="4355" width="9.7109375" style="537" customWidth="1"/>
    <col min="4356" max="4356" width="17.28515625" style="537" bestFit="1" customWidth="1"/>
    <col min="4357" max="4357" width="14" style="537" customWidth="1"/>
    <col min="4358" max="4358" width="3.28515625" style="537" customWidth="1"/>
    <col min="4359" max="4359" width="11.140625" style="537" bestFit="1" customWidth="1"/>
    <col min="4360" max="4360" width="16.28515625" style="537" customWidth="1"/>
    <col min="4361" max="4608" width="9.140625" style="537"/>
    <col min="4609" max="4609" width="40.7109375" style="537" customWidth="1"/>
    <col min="4610" max="4610" width="15.7109375" style="537" bestFit="1" customWidth="1"/>
    <col min="4611" max="4611" width="9.7109375" style="537" customWidth="1"/>
    <col min="4612" max="4612" width="17.28515625" style="537" bestFit="1" customWidth="1"/>
    <col min="4613" max="4613" width="14" style="537" customWidth="1"/>
    <col min="4614" max="4614" width="3.28515625" style="537" customWidth="1"/>
    <col min="4615" max="4615" width="11.140625" style="537" bestFit="1" customWidth="1"/>
    <col min="4616" max="4616" width="16.28515625" style="537" customWidth="1"/>
    <col min="4617" max="4864" width="9.140625" style="537"/>
    <col min="4865" max="4865" width="40.7109375" style="537" customWidth="1"/>
    <col min="4866" max="4866" width="15.7109375" style="537" bestFit="1" customWidth="1"/>
    <col min="4867" max="4867" width="9.7109375" style="537" customWidth="1"/>
    <col min="4868" max="4868" width="17.28515625" style="537" bestFit="1" customWidth="1"/>
    <col min="4869" max="4869" width="14" style="537" customWidth="1"/>
    <col min="4870" max="4870" width="3.28515625" style="537" customWidth="1"/>
    <col min="4871" max="4871" width="11.140625" style="537" bestFit="1" customWidth="1"/>
    <col min="4872" max="4872" width="16.28515625" style="537" customWidth="1"/>
    <col min="4873" max="5120" width="9.140625" style="537"/>
    <col min="5121" max="5121" width="40.7109375" style="537" customWidth="1"/>
    <col min="5122" max="5122" width="15.7109375" style="537" bestFit="1" customWidth="1"/>
    <col min="5123" max="5123" width="9.7109375" style="537" customWidth="1"/>
    <col min="5124" max="5124" width="17.28515625" style="537" bestFit="1" customWidth="1"/>
    <col min="5125" max="5125" width="14" style="537" customWidth="1"/>
    <col min="5126" max="5126" width="3.28515625" style="537" customWidth="1"/>
    <col min="5127" max="5127" width="11.140625" style="537" bestFit="1" customWidth="1"/>
    <col min="5128" max="5128" width="16.28515625" style="537" customWidth="1"/>
    <col min="5129" max="5376" width="9.140625" style="537"/>
    <col min="5377" max="5377" width="40.7109375" style="537" customWidth="1"/>
    <col min="5378" max="5378" width="15.7109375" style="537" bestFit="1" customWidth="1"/>
    <col min="5379" max="5379" width="9.7109375" style="537" customWidth="1"/>
    <col min="5380" max="5380" width="17.28515625" style="537" bestFit="1" customWidth="1"/>
    <col min="5381" max="5381" width="14" style="537" customWidth="1"/>
    <col min="5382" max="5382" width="3.28515625" style="537" customWidth="1"/>
    <col min="5383" max="5383" width="11.140625" style="537" bestFit="1" customWidth="1"/>
    <col min="5384" max="5384" width="16.28515625" style="537" customWidth="1"/>
    <col min="5385" max="5632" width="9.140625" style="537"/>
    <col min="5633" max="5633" width="40.7109375" style="537" customWidth="1"/>
    <col min="5634" max="5634" width="15.7109375" style="537" bestFit="1" customWidth="1"/>
    <col min="5635" max="5635" width="9.7109375" style="537" customWidth="1"/>
    <col min="5636" max="5636" width="17.28515625" style="537" bestFit="1" customWidth="1"/>
    <col min="5637" max="5637" width="14" style="537" customWidth="1"/>
    <col min="5638" max="5638" width="3.28515625" style="537" customWidth="1"/>
    <col min="5639" max="5639" width="11.140625" style="537" bestFit="1" customWidth="1"/>
    <col min="5640" max="5640" width="16.28515625" style="537" customWidth="1"/>
    <col min="5641" max="5888" width="9.140625" style="537"/>
    <col min="5889" max="5889" width="40.7109375" style="537" customWidth="1"/>
    <col min="5890" max="5890" width="15.7109375" style="537" bestFit="1" customWidth="1"/>
    <col min="5891" max="5891" width="9.7109375" style="537" customWidth="1"/>
    <col min="5892" max="5892" width="17.28515625" style="537" bestFit="1" customWidth="1"/>
    <col min="5893" max="5893" width="14" style="537" customWidth="1"/>
    <col min="5894" max="5894" width="3.28515625" style="537" customWidth="1"/>
    <col min="5895" max="5895" width="11.140625" style="537" bestFit="1" customWidth="1"/>
    <col min="5896" max="5896" width="16.28515625" style="537" customWidth="1"/>
    <col min="5897" max="6144" width="9.140625" style="537"/>
    <col min="6145" max="6145" width="40.7109375" style="537" customWidth="1"/>
    <col min="6146" max="6146" width="15.7109375" style="537" bestFit="1" customWidth="1"/>
    <col min="6147" max="6147" width="9.7109375" style="537" customWidth="1"/>
    <col min="6148" max="6148" width="17.28515625" style="537" bestFit="1" customWidth="1"/>
    <col min="6149" max="6149" width="14" style="537" customWidth="1"/>
    <col min="6150" max="6150" width="3.28515625" style="537" customWidth="1"/>
    <col min="6151" max="6151" width="11.140625" style="537" bestFit="1" customWidth="1"/>
    <col min="6152" max="6152" width="16.28515625" style="537" customWidth="1"/>
    <col min="6153" max="6400" width="9.140625" style="537"/>
    <col min="6401" max="6401" width="40.7109375" style="537" customWidth="1"/>
    <col min="6402" max="6402" width="15.7109375" style="537" bestFit="1" customWidth="1"/>
    <col min="6403" max="6403" width="9.7109375" style="537" customWidth="1"/>
    <col min="6404" max="6404" width="17.28515625" style="537" bestFit="1" customWidth="1"/>
    <col min="6405" max="6405" width="14" style="537" customWidth="1"/>
    <col min="6406" max="6406" width="3.28515625" style="537" customWidth="1"/>
    <col min="6407" max="6407" width="11.140625" style="537" bestFit="1" customWidth="1"/>
    <col min="6408" max="6408" width="16.28515625" style="537" customWidth="1"/>
    <col min="6409" max="6656" width="9.140625" style="537"/>
    <col min="6657" max="6657" width="40.7109375" style="537" customWidth="1"/>
    <col min="6658" max="6658" width="15.7109375" style="537" bestFit="1" customWidth="1"/>
    <col min="6659" max="6659" width="9.7109375" style="537" customWidth="1"/>
    <col min="6660" max="6660" width="17.28515625" style="537" bestFit="1" customWidth="1"/>
    <col min="6661" max="6661" width="14" style="537" customWidth="1"/>
    <col min="6662" max="6662" width="3.28515625" style="537" customWidth="1"/>
    <col min="6663" max="6663" width="11.140625" style="537" bestFit="1" customWidth="1"/>
    <col min="6664" max="6664" width="16.28515625" style="537" customWidth="1"/>
    <col min="6665" max="6912" width="9.140625" style="537"/>
    <col min="6913" max="6913" width="40.7109375" style="537" customWidth="1"/>
    <col min="6914" max="6914" width="15.7109375" style="537" bestFit="1" customWidth="1"/>
    <col min="6915" max="6915" width="9.7109375" style="537" customWidth="1"/>
    <col min="6916" max="6916" width="17.28515625" style="537" bestFit="1" customWidth="1"/>
    <col min="6917" max="6917" width="14" style="537" customWidth="1"/>
    <col min="6918" max="6918" width="3.28515625" style="537" customWidth="1"/>
    <col min="6919" max="6919" width="11.140625" style="537" bestFit="1" customWidth="1"/>
    <col min="6920" max="6920" width="16.28515625" style="537" customWidth="1"/>
    <col min="6921" max="7168" width="9.140625" style="537"/>
    <col min="7169" max="7169" width="40.7109375" style="537" customWidth="1"/>
    <col min="7170" max="7170" width="15.7109375" style="537" bestFit="1" customWidth="1"/>
    <col min="7171" max="7171" width="9.7109375" style="537" customWidth="1"/>
    <col min="7172" max="7172" width="17.28515625" style="537" bestFit="1" customWidth="1"/>
    <col min="7173" max="7173" width="14" style="537" customWidth="1"/>
    <col min="7174" max="7174" width="3.28515625" style="537" customWidth="1"/>
    <col min="7175" max="7175" width="11.140625" style="537" bestFit="1" customWidth="1"/>
    <col min="7176" max="7176" width="16.28515625" style="537" customWidth="1"/>
    <col min="7177" max="7424" width="9.140625" style="537"/>
    <col min="7425" max="7425" width="40.7109375" style="537" customWidth="1"/>
    <col min="7426" max="7426" width="15.7109375" style="537" bestFit="1" customWidth="1"/>
    <col min="7427" max="7427" width="9.7109375" style="537" customWidth="1"/>
    <col min="7428" max="7428" width="17.28515625" style="537" bestFit="1" customWidth="1"/>
    <col min="7429" max="7429" width="14" style="537" customWidth="1"/>
    <col min="7430" max="7430" width="3.28515625" style="537" customWidth="1"/>
    <col min="7431" max="7431" width="11.140625" style="537" bestFit="1" customWidth="1"/>
    <col min="7432" max="7432" width="16.28515625" style="537" customWidth="1"/>
    <col min="7433" max="7680" width="9.140625" style="537"/>
    <col min="7681" max="7681" width="40.7109375" style="537" customWidth="1"/>
    <col min="7682" max="7682" width="15.7109375" style="537" bestFit="1" customWidth="1"/>
    <col min="7683" max="7683" width="9.7109375" style="537" customWidth="1"/>
    <col min="7684" max="7684" width="17.28515625" style="537" bestFit="1" customWidth="1"/>
    <col min="7685" max="7685" width="14" style="537" customWidth="1"/>
    <col min="7686" max="7686" width="3.28515625" style="537" customWidth="1"/>
    <col min="7687" max="7687" width="11.140625" style="537" bestFit="1" customWidth="1"/>
    <col min="7688" max="7688" width="16.28515625" style="537" customWidth="1"/>
    <col min="7689" max="7936" width="9.140625" style="537"/>
    <col min="7937" max="7937" width="40.7109375" style="537" customWidth="1"/>
    <col min="7938" max="7938" width="15.7109375" style="537" bestFit="1" customWidth="1"/>
    <col min="7939" max="7939" width="9.7109375" style="537" customWidth="1"/>
    <col min="7940" max="7940" width="17.28515625" style="537" bestFit="1" customWidth="1"/>
    <col min="7941" max="7941" width="14" style="537" customWidth="1"/>
    <col min="7942" max="7942" width="3.28515625" style="537" customWidth="1"/>
    <col min="7943" max="7943" width="11.140625" style="537" bestFit="1" customWidth="1"/>
    <col min="7944" max="7944" width="16.28515625" style="537" customWidth="1"/>
    <col min="7945" max="8192" width="9.140625" style="537"/>
    <col min="8193" max="8193" width="40.7109375" style="537" customWidth="1"/>
    <col min="8194" max="8194" width="15.7109375" style="537" bestFit="1" customWidth="1"/>
    <col min="8195" max="8195" width="9.7109375" style="537" customWidth="1"/>
    <col min="8196" max="8196" width="17.28515625" style="537" bestFit="1" customWidth="1"/>
    <col min="8197" max="8197" width="14" style="537" customWidth="1"/>
    <col min="8198" max="8198" width="3.28515625" style="537" customWidth="1"/>
    <col min="8199" max="8199" width="11.140625" style="537" bestFit="1" customWidth="1"/>
    <col min="8200" max="8200" width="16.28515625" style="537" customWidth="1"/>
    <col min="8201" max="8448" width="9.140625" style="537"/>
    <col min="8449" max="8449" width="40.7109375" style="537" customWidth="1"/>
    <col min="8450" max="8450" width="15.7109375" style="537" bestFit="1" customWidth="1"/>
    <col min="8451" max="8451" width="9.7109375" style="537" customWidth="1"/>
    <col min="8452" max="8452" width="17.28515625" style="537" bestFit="1" customWidth="1"/>
    <col min="8453" max="8453" width="14" style="537" customWidth="1"/>
    <col min="8454" max="8454" width="3.28515625" style="537" customWidth="1"/>
    <col min="8455" max="8455" width="11.140625" style="537" bestFit="1" customWidth="1"/>
    <col min="8456" max="8456" width="16.28515625" style="537" customWidth="1"/>
    <col min="8457" max="8704" width="9.140625" style="537"/>
    <col min="8705" max="8705" width="40.7109375" style="537" customWidth="1"/>
    <col min="8706" max="8706" width="15.7109375" style="537" bestFit="1" customWidth="1"/>
    <col min="8707" max="8707" width="9.7109375" style="537" customWidth="1"/>
    <col min="8708" max="8708" width="17.28515625" style="537" bestFit="1" customWidth="1"/>
    <col min="8709" max="8709" width="14" style="537" customWidth="1"/>
    <col min="8710" max="8710" width="3.28515625" style="537" customWidth="1"/>
    <col min="8711" max="8711" width="11.140625" style="537" bestFit="1" customWidth="1"/>
    <col min="8712" max="8712" width="16.28515625" style="537" customWidth="1"/>
    <col min="8713" max="8960" width="9.140625" style="537"/>
    <col min="8961" max="8961" width="40.7109375" style="537" customWidth="1"/>
    <col min="8962" max="8962" width="15.7109375" style="537" bestFit="1" customWidth="1"/>
    <col min="8963" max="8963" width="9.7109375" style="537" customWidth="1"/>
    <col min="8964" max="8964" width="17.28515625" style="537" bestFit="1" customWidth="1"/>
    <col min="8965" max="8965" width="14" style="537" customWidth="1"/>
    <col min="8966" max="8966" width="3.28515625" style="537" customWidth="1"/>
    <col min="8967" max="8967" width="11.140625" style="537" bestFit="1" customWidth="1"/>
    <col min="8968" max="8968" width="16.28515625" style="537" customWidth="1"/>
    <col min="8969" max="9216" width="9.140625" style="537"/>
    <col min="9217" max="9217" width="40.7109375" style="537" customWidth="1"/>
    <col min="9218" max="9218" width="15.7109375" style="537" bestFit="1" customWidth="1"/>
    <col min="9219" max="9219" width="9.7109375" style="537" customWidth="1"/>
    <col min="9220" max="9220" width="17.28515625" style="537" bestFit="1" customWidth="1"/>
    <col min="9221" max="9221" width="14" style="537" customWidth="1"/>
    <col min="9222" max="9222" width="3.28515625" style="537" customWidth="1"/>
    <col min="9223" max="9223" width="11.140625" style="537" bestFit="1" customWidth="1"/>
    <col min="9224" max="9224" width="16.28515625" style="537" customWidth="1"/>
    <col min="9225" max="9472" width="9.140625" style="537"/>
    <col min="9473" max="9473" width="40.7109375" style="537" customWidth="1"/>
    <col min="9474" max="9474" width="15.7109375" style="537" bestFit="1" customWidth="1"/>
    <col min="9475" max="9475" width="9.7109375" style="537" customWidth="1"/>
    <col min="9476" max="9476" width="17.28515625" style="537" bestFit="1" customWidth="1"/>
    <col min="9477" max="9477" width="14" style="537" customWidth="1"/>
    <col min="9478" max="9478" width="3.28515625" style="537" customWidth="1"/>
    <col min="9479" max="9479" width="11.140625" style="537" bestFit="1" customWidth="1"/>
    <col min="9480" max="9480" width="16.28515625" style="537" customWidth="1"/>
    <col min="9481" max="9728" width="9.140625" style="537"/>
    <col min="9729" max="9729" width="40.7109375" style="537" customWidth="1"/>
    <col min="9730" max="9730" width="15.7109375" style="537" bestFit="1" customWidth="1"/>
    <col min="9731" max="9731" width="9.7109375" style="537" customWidth="1"/>
    <col min="9732" max="9732" width="17.28515625" style="537" bestFit="1" customWidth="1"/>
    <col min="9733" max="9733" width="14" style="537" customWidth="1"/>
    <col min="9734" max="9734" width="3.28515625" style="537" customWidth="1"/>
    <col min="9735" max="9735" width="11.140625" style="537" bestFit="1" customWidth="1"/>
    <col min="9736" max="9736" width="16.28515625" style="537" customWidth="1"/>
    <col min="9737" max="9984" width="9.140625" style="537"/>
    <col min="9985" max="9985" width="40.7109375" style="537" customWidth="1"/>
    <col min="9986" max="9986" width="15.7109375" style="537" bestFit="1" customWidth="1"/>
    <col min="9987" max="9987" width="9.7109375" style="537" customWidth="1"/>
    <col min="9988" max="9988" width="17.28515625" style="537" bestFit="1" customWidth="1"/>
    <col min="9989" max="9989" width="14" style="537" customWidth="1"/>
    <col min="9990" max="9990" width="3.28515625" style="537" customWidth="1"/>
    <col min="9991" max="9991" width="11.140625" style="537" bestFit="1" customWidth="1"/>
    <col min="9992" max="9992" width="16.28515625" style="537" customWidth="1"/>
    <col min="9993" max="10240" width="9.140625" style="537"/>
    <col min="10241" max="10241" width="40.7109375" style="537" customWidth="1"/>
    <col min="10242" max="10242" width="15.7109375" style="537" bestFit="1" customWidth="1"/>
    <col min="10243" max="10243" width="9.7109375" style="537" customWidth="1"/>
    <col min="10244" max="10244" width="17.28515625" style="537" bestFit="1" customWidth="1"/>
    <col min="10245" max="10245" width="14" style="537" customWidth="1"/>
    <col min="10246" max="10246" width="3.28515625" style="537" customWidth="1"/>
    <col min="10247" max="10247" width="11.140625" style="537" bestFit="1" customWidth="1"/>
    <col min="10248" max="10248" width="16.28515625" style="537" customWidth="1"/>
    <col min="10249" max="10496" width="9.140625" style="537"/>
    <col min="10497" max="10497" width="40.7109375" style="537" customWidth="1"/>
    <col min="10498" max="10498" width="15.7109375" style="537" bestFit="1" customWidth="1"/>
    <col min="10499" max="10499" width="9.7109375" style="537" customWidth="1"/>
    <col min="10500" max="10500" width="17.28515625" style="537" bestFit="1" customWidth="1"/>
    <col min="10501" max="10501" width="14" style="537" customWidth="1"/>
    <col min="10502" max="10502" width="3.28515625" style="537" customWidth="1"/>
    <col min="10503" max="10503" width="11.140625" style="537" bestFit="1" customWidth="1"/>
    <col min="10504" max="10504" width="16.28515625" style="537" customWidth="1"/>
    <col min="10505" max="10752" width="9.140625" style="537"/>
    <col min="10753" max="10753" width="40.7109375" style="537" customWidth="1"/>
    <col min="10754" max="10754" width="15.7109375" style="537" bestFit="1" customWidth="1"/>
    <col min="10755" max="10755" width="9.7109375" style="537" customWidth="1"/>
    <col min="10756" max="10756" width="17.28515625" style="537" bestFit="1" customWidth="1"/>
    <col min="10757" max="10757" width="14" style="537" customWidth="1"/>
    <col min="10758" max="10758" width="3.28515625" style="537" customWidth="1"/>
    <col min="10759" max="10759" width="11.140625" style="537" bestFit="1" customWidth="1"/>
    <col min="10760" max="10760" width="16.28515625" style="537" customWidth="1"/>
    <col min="10761" max="11008" width="9.140625" style="537"/>
    <col min="11009" max="11009" width="40.7109375" style="537" customWidth="1"/>
    <col min="11010" max="11010" width="15.7109375" style="537" bestFit="1" customWidth="1"/>
    <col min="11011" max="11011" width="9.7109375" style="537" customWidth="1"/>
    <col min="11012" max="11012" width="17.28515625" style="537" bestFit="1" customWidth="1"/>
    <col min="11013" max="11013" width="14" style="537" customWidth="1"/>
    <col min="11014" max="11014" width="3.28515625" style="537" customWidth="1"/>
    <col min="11015" max="11015" width="11.140625" style="537" bestFit="1" customWidth="1"/>
    <col min="11016" max="11016" width="16.28515625" style="537" customWidth="1"/>
    <col min="11017" max="11264" width="9.140625" style="537"/>
    <col min="11265" max="11265" width="40.7109375" style="537" customWidth="1"/>
    <col min="11266" max="11266" width="15.7109375" style="537" bestFit="1" customWidth="1"/>
    <col min="11267" max="11267" width="9.7109375" style="537" customWidth="1"/>
    <col min="11268" max="11268" width="17.28515625" style="537" bestFit="1" customWidth="1"/>
    <col min="11269" max="11269" width="14" style="537" customWidth="1"/>
    <col min="11270" max="11270" width="3.28515625" style="537" customWidth="1"/>
    <col min="11271" max="11271" width="11.140625" style="537" bestFit="1" customWidth="1"/>
    <col min="11272" max="11272" width="16.28515625" style="537" customWidth="1"/>
    <col min="11273" max="11520" width="9.140625" style="537"/>
    <col min="11521" max="11521" width="40.7109375" style="537" customWidth="1"/>
    <col min="11522" max="11522" width="15.7109375" style="537" bestFit="1" customWidth="1"/>
    <col min="11523" max="11523" width="9.7109375" style="537" customWidth="1"/>
    <col min="11524" max="11524" width="17.28515625" style="537" bestFit="1" customWidth="1"/>
    <col min="11525" max="11525" width="14" style="537" customWidth="1"/>
    <col min="11526" max="11526" width="3.28515625" style="537" customWidth="1"/>
    <col min="11527" max="11527" width="11.140625" style="537" bestFit="1" customWidth="1"/>
    <col min="11528" max="11528" width="16.28515625" style="537" customWidth="1"/>
    <col min="11529" max="11776" width="9.140625" style="537"/>
    <col min="11777" max="11777" width="40.7109375" style="537" customWidth="1"/>
    <col min="11778" max="11778" width="15.7109375" style="537" bestFit="1" customWidth="1"/>
    <col min="11779" max="11779" width="9.7109375" style="537" customWidth="1"/>
    <col min="11780" max="11780" width="17.28515625" style="537" bestFit="1" customWidth="1"/>
    <col min="11781" max="11781" width="14" style="537" customWidth="1"/>
    <col min="11782" max="11782" width="3.28515625" style="537" customWidth="1"/>
    <col min="11783" max="11783" width="11.140625" style="537" bestFit="1" customWidth="1"/>
    <col min="11784" max="11784" width="16.28515625" style="537" customWidth="1"/>
    <col min="11785" max="12032" width="9.140625" style="537"/>
    <col min="12033" max="12033" width="40.7109375" style="537" customWidth="1"/>
    <col min="12034" max="12034" width="15.7109375" style="537" bestFit="1" customWidth="1"/>
    <col min="12035" max="12035" width="9.7109375" style="537" customWidth="1"/>
    <col min="12036" max="12036" width="17.28515625" style="537" bestFit="1" customWidth="1"/>
    <col min="12037" max="12037" width="14" style="537" customWidth="1"/>
    <col min="12038" max="12038" width="3.28515625" style="537" customWidth="1"/>
    <col min="12039" max="12039" width="11.140625" style="537" bestFit="1" customWidth="1"/>
    <col min="12040" max="12040" width="16.28515625" style="537" customWidth="1"/>
    <col min="12041" max="12288" width="9.140625" style="537"/>
    <col min="12289" max="12289" width="40.7109375" style="537" customWidth="1"/>
    <col min="12290" max="12290" width="15.7109375" style="537" bestFit="1" customWidth="1"/>
    <col min="12291" max="12291" width="9.7109375" style="537" customWidth="1"/>
    <col min="12292" max="12292" width="17.28515625" style="537" bestFit="1" customWidth="1"/>
    <col min="12293" max="12293" width="14" style="537" customWidth="1"/>
    <col min="12294" max="12294" width="3.28515625" style="537" customWidth="1"/>
    <col min="12295" max="12295" width="11.140625" style="537" bestFit="1" customWidth="1"/>
    <col min="12296" max="12296" width="16.28515625" style="537" customWidth="1"/>
    <col min="12297" max="12544" width="9.140625" style="537"/>
    <col min="12545" max="12545" width="40.7109375" style="537" customWidth="1"/>
    <col min="12546" max="12546" width="15.7109375" style="537" bestFit="1" customWidth="1"/>
    <col min="12547" max="12547" width="9.7109375" style="537" customWidth="1"/>
    <col min="12548" max="12548" width="17.28515625" style="537" bestFit="1" customWidth="1"/>
    <col min="12549" max="12549" width="14" style="537" customWidth="1"/>
    <col min="12550" max="12550" width="3.28515625" style="537" customWidth="1"/>
    <col min="12551" max="12551" width="11.140625" style="537" bestFit="1" customWidth="1"/>
    <col min="12552" max="12552" width="16.28515625" style="537" customWidth="1"/>
    <col min="12553" max="12800" width="9.140625" style="537"/>
    <col min="12801" max="12801" width="40.7109375" style="537" customWidth="1"/>
    <col min="12802" max="12802" width="15.7109375" style="537" bestFit="1" customWidth="1"/>
    <col min="12803" max="12803" width="9.7109375" style="537" customWidth="1"/>
    <col min="12804" max="12804" width="17.28515625" style="537" bestFit="1" customWidth="1"/>
    <col min="12805" max="12805" width="14" style="537" customWidth="1"/>
    <col min="12806" max="12806" width="3.28515625" style="537" customWidth="1"/>
    <col min="12807" max="12807" width="11.140625" style="537" bestFit="1" customWidth="1"/>
    <col min="12808" max="12808" width="16.28515625" style="537" customWidth="1"/>
    <col min="12809" max="13056" width="9.140625" style="537"/>
    <col min="13057" max="13057" width="40.7109375" style="537" customWidth="1"/>
    <col min="13058" max="13058" width="15.7109375" style="537" bestFit="1" customWidth="1"/>
    <col min="13059" max="13059" width="9.7109375" style="537" customWidth="1"/>
    <col min="13060" max="13060" width="17.28515625" style="537" bestFit="1" customWidth="1"/>
    <col min="13061" max="13061" width="14" style="537" customWidth="1"/>
    <col min="13062" max="13062" width="3.28515625" style="537" customWidth="1"/>
    <col min="13063" max="13063" width="11.140625" style="537" bestFit="1" customWidth="1"/>
    <col min="13064" max="13064" width="16.28515625" style="537" customWidth="1"/>
    <col min="13065" max="13312" width="9.140625" style="537"/>
    <col min="13313" max="13313" width="40.7109375" style="537" customWidth="1"/>
    <col min="13314" max="13314" width="15.7109375" style="537" bestFit="1" customWidth="1"/>
    <col min="13315" max="13315" width="9.7109375" style="537" customWidth="1"/>
    <col min="13316" max="13316" width="17.28515625" style="537" bestFit="1" customWidth="1"/>
    <col min="13317" max="13317" width="14" style="537" customWidth="1"/>
    <col min="13318" max="13318" width="3.28515625" style="537" customWidth="1"/>
    <col min="13319" max="13319" width="11.140625" style="537" bestFit="1" customWidth="1"/>
    <col min="13320" max="13320" width="16.28515625" style="537" customWidth="1"/>
    <col min="13321" max="13568" width="9.140625" style="537"/>
    <col min="13569" max="13569" width="40.7109375" style="537" customWidth="1"/>
    <col min="13570" max="13570" width="15.7109375" style="537" bestFit="1" customWidth="1"/>
    <col min="13571" max="13571" width="9.7109375" style="537" customWidth="1"/>
    <col min="13572" max="13572" width="17.28515625" style="537" bestFit="1" customWidth="1"/>
    <col min="13573" max="13573" width="14" style="537" customWidth="1"/>
    <col min="13574" max="13574" width="3.28515625" style="537" customWidth="1"/>
    <col min="13575" max="13575" width="11.140625" style="537" bestFit="1" customWidth="1"/>
    <col min="13576" max="13576" width="16.28515625" style="537" customWidth="1"/>
    <col min="13577" max="13824" width="9.140625" style="537"/>
    <col min="13825" max="13825" width="40.7109375" style="537" customWidth="1"/>
    <col min="13826" max="13826" width="15.7109375" style="537" bestFit="1" customWidth="1"/>
    <col min="13827" max="13827" width="9.7109375" style="537" customWidth="1"/>
    <col min="13828" max="13828" width="17.28515625" style="537" bestFit="1" customWidth="1"/>
    <col min="13829" max="13829" width="14" style="537" customWidth="1"/>
    <col min="13830" max="13830" width="3.28515625" style="537" customWidth="1"/>
    <col min="13831" max="13831" width="11.140625" style="537" bestFit="1" customWidth="1"/>
    <col min="13832" max="13832" width="16.28515625" style="537" customWidth="1"/>
    <col min="13833" max="14080" width="9.140625" style="537"/>
    <col min="14081" max="14081" width="40.7109375" style="537" customWidth="1"/>
    <col min="14082" max="14082" width="15.7109375" style="537" bestFit="1" customWidth="1"/>
    <col min="14083" max="14083" width="9.7109375" style="537" customWidth="1"/>
    <col min="14084" max="14084" width="17.28515625" style="537" bestFit="1" customWidth="1"/>
    <col min="14085" max="14085" width="14" style="537" customWidth="1"/>
    <col min="14086" max="14086" width="3.28515625" style="537" customWidth="1"/>
    <col min="14087" max="14087" width="11.140625" style="537" bestFit="1" customWidth="1"/>
    <col min="14088" max="14088" width="16.28515625" style="537" customWidth="1"/>
    <col min="14089" max="14336" width="9.140625" style="537"/>
    <col min="14337" max="14337" width="40.7109375" style="537" customWidth="1"/>
    <col min="14338" max="14338" width="15.7109375" style="537" bestFit="1" customWidth="1"/>
    <col min="14339" max="14339" width="9.7109375" style="537" customWidth="1"/>
    <col min="14340" max="14340" width="17.28515625" style="537" bestFit="1" customWidth="1"/>
    <col min="14341" max="14341" width="14" style="537" customWidth="1"/>
    <col min="14342" max="14342" width="3.28515625" style="537" customWidth="1"/>
    <col min="14343" max="14343" width="11.140625" style="537" bestFit="1" customWidth="1"/>
    <col min="14344" max="14344" width="16.28515625" style="537" customWidth="1"/>
    <col min="14345" max="14592" width="9.140625" style="537"/>
    <col min="14593" max="14593" width="40.7109375" style="537" customWidth="1"/>
    <col min="14594" max="14594" width="15.7109375" style="537" bestFit="1" customWidth="1"/>
    <col min="14595" max="14595" width="9.7109375" style="537" customWidth="1"/>
    <col min="14596" max="14596" width="17.28515625" style="537" bestFit="1" customWidth="1"/>
    <col min="14597" max="14597" width="14" style="537" customWidth="1"/>
    <col min="14598" max="14598" width="3.28515625" style="537" customWidth="1"/>
    <col min="14599" max="14599" width="11.140625" style="537" bestFit="1" customWidth="1"/>
    <col min="14600" max="14600" width="16.28515625" style="537" customWidth="1"/>
    <col min="14601" max="14848" width="9.140625" style="537"/>
    <col min="14849" max="14849" width="40.7109375" style="537" customWidth="1"/>
    <col min="14850" max="14850" width="15.7109375" style="537" bestFit="1" customWidth="1"/>
    <col min="14851" max="14851" width="9.7109375" style="537" customWidth="1"/>
    <col min="14852" max="14852" width="17.28515625" style="537" bestFit="1" customWidth="1"/>
    <col min="14853" max="14853" width="14" style="537" customWidth="1"/>
    <col min="14854" max="14854" width="3.28515625" style="537" customWidth="1"/>
    <col min="14855" max="14855" width="11.140625" style="537" bestFit="1" customWidth="1"/>
    <col min="14856" max="14856" width="16.28515625" style="537" customWidth="1"/>
    <col min="14857" max="15104" width="9.140625" style="537"/>
    <col min="15105" max="15105" width="40.7109375" style="537" customWidth="1"/>
    <col min="15106" max="15106" width="15.7109375" style="537" bestFit="1" customWidth="1"/>
    <col min="15107" max="15107" width="9.7109375" style="537" customWidth="1"/>
    <col min="15108" max="15108" width="17.28515625" style="537" bestFit="1" customWidth="1"/>
    <col min="15109" max="15109" width="14" style="537" customWidth="1"/>
    <col min="15110" max="15110" width="3.28515625" style="537" customWidth="1"/>
    <col min="15111" max="15111" width="11.140625" style="537" bestFit="1" customWidth="1"/>
    <col min="15112" max="15112" width="16.28515625" style="537" customWidth="1"/>
    <col min="15113" max="15360" width="9.140625" style="537"/>
    <col min="15361" max="15361" width="40.7109375" style="537" customWidth="1"/>
    <col min="15362" max="15362" width="15.7109375" style="537" bestFit="1" customWidth="1"/>
    <col min="15363" max="15363" width="9.7109375" style="537" customWidth="1"/>
    <col min="15364" max="15364" width="17.28515625" style="537" bestFit="1" customWidth="1"/>
    <col min="15365" max="15365" width="14" style="537" customWidth="1"/>
    <col min="15366" max="15366" width="3.28515625" style="537" customWidth="1"/>
    <col min="15367" max="15367" width="11.140625" style="537" bestFit="1" customWidth="1"/>
    <col min="15368" max="15368" width="16.28515625" style="537" customWidth="1"/>
    <col min="15369" max="15616" width="9.140625" style="537"/>
    <col min="15617" max="15617" width="40.7109375" style="537" customWidth="1"/>
    <col min="15618" max="15618" width="15.7109375" style="537" bestFit="1" customWidth="1"/>
    <col min="15619" max="15619" width="9.7109375" style="537" customWidth="1"/>
    <col min="15620" max="15620" width="17.28515625" style="537" bestFit="1" customWidth="1"/>
    <col min="15621" max="15621" width="14" style="537" customWidth="1"/>
    <col min="15622" max="15622" width="3.28515625" style="537" customWidth="1"/>
    <col min="15623" max="15623" width="11.140625" style="537" bestFit="1" customWidth="1"/>
    <col min="15624" max="15624" width="16.28515625" style="537" customWidth="1"/>
    <col min="15625" max="15872" width="9.140625" style="537"/>
    <col min="15873" max="15873" width="40.7109375" style="537" customWidth="1"/>
    <col min="15874" max="15874" width="15.7109375" style="537" bestFit="1" customWidth="1"/>
    <col min="15875" max="15875" width="9.7109375" style="537" customWidth="1"/>
    <col min="15876" max="15876" width="17.28515625" style="537" bestFit="1" customWidth="1"/>
    <col min="15877" max="15877" width="14" style="537" customWidth="1"/>
    <col min="15878" max="15878" width="3.28515625" style="537" customWidth="1"/>
    <col min="15879" max="15879" width="11.140625" style="537" bestFit="1" customWidth="1"/>
    <col min="15880" max="15880" width="16.28515625" style="537" customWidth="1"/>
    <col min="15881" max="16128" width="9.140625" style="537"/>
    <col min="16129" max="16129" width="40.7109375" style="537" customWidth="1"/>
    <col min="16130" max="16130" width="15.7109375" style="537" bestFit="1" customWidth="1"/>
    <col min="16131" max="16131" width="9.7109375" style="537" customWidth="1"/>
    <col min="16132" max="16132" width="17.28515625" style="537" bestFit="1" customWidth="1"/>
    <col min="16133" max="16133" width="14" style="537" customWidth="1"/>
    <col min="16134" max="16134" width="3.28515625" style="537" customWidth="1"/>
    <col min="16135" max="16135" width="11.140625" style="537" bestFit="1" customWidth="1"/>
    <col min="16136" max="16136" width="16.28515625" style="537" customWidth="1"/>
    <col min="16137" max="16384" width="9.140625" style="537"/>
  </cols>
  <sheetData>
    <row r="1" spans="1:13">
      <c r="A1" s="616" t="s">
        <v>342</v>
      </c>
    </row>
    <row r="2" spans="1:13">
      <c r="A2" s="585" t="s">
        <v>805</v>
      </c>
    </row>
    <row r="3" spans="1:13">
      <c r="A3" s="583" t="s">
        <v>576</v>
      </c>
    </row>
    <row r="5" spans="1:13" ht="51">
      <c r="A5" s="586" t="s">
        <v>598</v>
      </c>
      <c r="B5" s="586" t="s">
        <v>599</v>
      </c>
      <c r="C5" s="810" t="s">
        <v>600</v>
      </c>
      <c r="D5" s="587" t="s">
        <v>601</v>
      </c>
      <c r="E5" s="587"/>
      <c r="F5" s="587"/>
      <c r="G5" s="588" t="s">
        <v>602</v>
      </c>
      <c r="H5" s="587" t="s">
        <v>603</v>
      </c>
    </row>
    <row r="6" spans="1:13">
      <c r="B6" s="531"/>
      <c r="D6" s="531"/>
      <c r="E6" s="589"/>
      <c r="F6" s="531"/>
      <c r="G6" s="590"/>
      <c r="H6" s="591"/>
    </row>
    <row r="7" spans="1:13" ht="15" customHeight="1">
      <c r="A7" s="592" t="s">
        <v>604</v>
      </c>
      <c r="L7" s="593"/>
    </row>
    <row r="8" spans="1:13">
      <c r="A8" s="537" t="s">
        <v>605</v>
      </c>
      <c r="B8" s="594">
        <v>50000000</v>
      </c>
      <c r="C8" s="811">
        <v>12</v>
      </c>
      <c r="D8" s="594">
        <f>B8*C8</f>
        <v>600000000</v>
      </c>
      <c r="E8" s="595">
        <f t="shared" ref="E8:E38" si="0">D8/D$39</f>
        <v>2.6702495717646348E-2</v>
      </c>
      <c r="F8" s="594"/>
      <c r="G8" s="596">
        <v>7.1199999999999999E-2</v>
      </c>
      <c r="H8" s="597">
        <f t="shared" ref="H8:H38" si="1">E8*G8</f>
        <v>1.9012176950964201E-3</v>
      </c>
      <c r="I8" s="538"/>
      <c r="J8" s="596"/>
      <c r="K8" s="598"/>
      <c r="L8" s="599"/>
      <c r="M8" s="598"/>
    </row>
    <row r="9" spans="1:13">
      <c r="A9" s="537" t="s">
        <v>606</v>
      </c>
      <c r="B9" s="594">
        <f>70000000+30000000</f>
        <v>100000000</v>
      </c>
      <c r="C9" s="541">
        <f>C$8</f>
        <v>12</v>
      </c>
      <c r="D9" s="594">
        <f t="shared" ref="D9:D38" si="2">B9*C9</f>
        <v>1200000000</v>
      </c>
      <c r="E9" s="595">
        <f t="shared" si="0"/>
        <v>5.3404991435292697E-2</v>
      </c>
      <c r="F9" s="594"/>
      <c r="G9" s="596">
        <v>6.8513000000000004E-2</v>
      </c>
      <c r="H9" s="597">
        <f t="shared" si="1"/>
        <v>3.6589361782062087E-3</v>
      </c>
      <c r="I9" s="538"/>
      <c r="J9" s="596"/>
      <c r="K9" s="598"/>
      <c r="L9" s="599"/>
      <c r="M9" s="598"/>
    </row>
    <row r="10" spans="1:13">
      <c r="A10" s="537" t="s">
        <v>607</v>
      </c>
      <c r="B10" s="594">
        <v>100000000</v>
      </c>
      <c r="C10" s="541">
        <f t="shared" ref="C10:C21" si="3">C$8</f>
        <v>12</v>
      </c>
      <c r="D10" s="594">
        <f t="shared" si="2"/>
        <v>1200000000</v>
      </c>
      <c r="E10" s="595">
        <f t="shared" si="0"/>
        <v>5.3404991435292697E-2</v>
      </c>
      <c r="F10" s="594"/>
      <c r="G10" s="596">
        <v>5.0705E-2</v>
      </c>
      <c r="H10" s="597">
        <f t="shared" si="1"/>
        <v>2.7079000907265162E-3</v>
      </c>
      <c r="I10" s="538"/>
      <c r="J10" s="596"/>
      <c r="K10" s="598"/>
      <c r="L10" s="599"/>
      <c r="M10" s="598"/>
    </row>
    <row r="11" spans="1:13">
      <c r="A11" s="537" t="s">
        <v>608</v>
      </c>
      <c r="B11" s="594">
        <v>100000000</v>
      </c>
      <c r="C11" s="541">
        <f t="shared" si="3"/>
        <v>12</v>
      </c>
      <c r="D11" s="594">
        <f t="shared" si="2"/>
        <v>1200000000</v>
      </c>
      <c r="E11" s="595">
        <f t="shared" si="0"/>
        <v>5.3404991435292697E-2</v>
      </c>
      <c r="F11" s="594"/>
      <c r="G11" s="596">
        <v>5.6383999999999997E-2</v>
      </c>
      <c r="H11" s="597">
        <f t="shared" si="1"/>
        <v>3.0111870370875433E-3</v>
      </c>
      <c r="I11" s="538"/>
      <c r="J11" s="596"/>
      <c r="K11" s="598"/>
      <c r="L11" s="599"/>
      <c r="M11" s="598"/>
    </row>
    <row r="12" spans="1:13">
      <c r="A12" s="537" t="s">
        <v>609</v>
      </c>
      <c r="B12" s="594">
        <v>250000000</v>
      </c>
      <c r="C12" s="541">
        <f t="shared" si="3"/>
        <v>12</v>
      </c>
      <c r="D12" s="594">
        <f t="shared" si="2"/>
        <v>3000000000</v>
      </c>
      <c r="E12" s="595">
        <f t="shared" si="0"/>
        <v>0.13351247858823176</v>
      </c>
      <c r="F12" s="594"/>
      <c r="G12" s="596">
        <v>5.9595000000000002E-2</v>
      </c>
      <c r="H12" s="597">
        <f t="shared" si="1"/>
        <v>7.9566761614656718E-3</v>
      </c>
      <c r="I12" s="538"/>
      <c r="J12" s="596"/>
      <c r="K12" s="598"/>
      <c r="L12" s="599"/>
      <c r="M12" s="598"/>
    </row>
    <row r="13" spans="1:13">
      <c r="A13" s="537" t="s">
        <v>610</v>
      </c>
      <c r="B13" s="594">
        <v>200000000</v>
      </c>
      <c r="C13" s="541">
        <f t="shared" si="3"/>
        <v>12</v>
      </c>
      <c r="D13" s="594">
        <f t="shared" si="2"/>
        <v>2400000000</v>
      </c>
      <c r="E13" s="595">
        <f t="shared" si="0"/>
        <v>0.10680998287058539</v>
      </c>
      <c r="F13" s="594"/>
      <c r="G13" s="596">
        <v>5.6633999999999997E-2</v>
      </c>
      <c r="H13" s="597">
        <f t="shared" si="1"/>
        <v>6.0490765698927324E-3</v>
      </c>
      <c r="I13" s="538"/>
      <c r="J13" s="596"/>
      <c r="K13" s="598"/>
      <c r="L13" s="599"/>
      <c r="M13" s="598"/>
    </row>
    <row r="14" spans="1:13">
      <c r="A14" s="547" t="s">
        <v>611</v>
      </c>
      <c r="B14" s="594">
        <v>115000000</v>
      </c>
      <c r="C14" s="541">
        <f t="shared" si="3"/>
        <v>12</v>
      </c>
      <c r="D14" s="594">
        <f t="shared" si="2"/>
        <v>1380000000</v>
      </c>
      <c r="E14" s="595">
        <f t="shared" si="0"/>
        <v>6.1415740150586602E-2</v>
      </c>
      <c r="F14" s="594"/>
      <c r="G14" s="596">
        <v>5.4828000000000002E-2</v>
      </c>
      <c r="H14" s="597">
        <f t="shared" si="1"/>
        <v>3.3673022009763623E-3</v>
      </c>
      <c r="I14" s="538"/>
      <c r="J14" s="596"/>
      <c r="K14" s="598"/>
      <c r="L14" s="599"/>
      <c r="M14" s="598"/>
    </row>
    <row r="15" spans="1:13">
      <c r="A15" s="547" t="s">
        <v>612</v>
      </c>
      <c r="B15" s="594">
        <v>35000000</v>
      </c>
      <c r="C15" s="541">
        <f t="shared" si="3"/>
        <v>12</v>
      </c>
      <c r="D15" s="594">
        <f t="shared" si="2"/>
        <v>420000000</v>
      </c>
      <c r="E15" s="595">
        <f t="shared" si="0"/>
        <v>1.8691747002352446E-2</v>
      </c>
      <c r="F15" s="594"/>
      <c r="G15" s="596">
        <v>5.4828000000000002E-2</v>
      </c>
      <c r="H15" s="597">
        <f t="shared" si="1"/>
        <v>1.0248311046449799E-3</v>
      </c>
      <c r="I15" s="538"/>
      <c r="J15" s="600"/>
      <c r="K15" s="598"/>
      <c r="L15" s="599"/>
      <c r="M15" s="598"/>
    </row>
    <row r="16" spans="1:13">
      <c r="A16" s="547" t="s">
        <v>613</v>
      </c>
      <c r="B16" s="594">
        <v>100000000</v>
      </c>
      <c r="C16" s="541">
        <f t="shared" si="3"/>
        <v>12</v>
      </c>
      <c r="D16" s="594">
        <f t="shared" si="2"/>
        <v>1200000000</v>
      </c>
      <c r="E16" s="595">
        <f t="shared" si="0"/>
        <v>5.3404991435292697E-2</v>
      </c>
      <c r="F16" s="594"/>
      <c r="G16" s="600">
        <v>4.6550000000000001E-2</v>
      </c>
      <c r="H16" s="597">
        <f t="shared" si="1"/>
        <v>2.4860023513128752E-3</v>
      </c>
      <c r="I16" s="538"/>
      <c r="J16" s="600"/>
      <c r="K16" s="598"/>
      <c r="L16" s="599"/>
      <c r="M16" s="598"/>
    </row>
    <row r="17" spans="1:13">
      <c r="A17" s="547" t="s">
        <v>614</v>
      </c>
      <c r="B17" s="601">
        <v>50000000</v>
      </c>
      <c r="C17" s="541">
        <f t="shared" si="3"/>
        <v>12</v>
      </c>
      <c r="D17" s="594">
        <f t="shared" si="2"/>
        <v>600000000</v>
      </c>
      <c r="E17" s="595">
        <f t="shared" si="0"/>
        <v>2.6702495717646348E-2</v>
      </c>
      <c r="F17" s="594"/>
      <c r="G17" s="600">
        <v>5.7703999999999998E-2</v>
      </c>
      <c r="H17" s="597">
        <f t="shared" si="1"/>
        <v>1.5408408128910649E-3</v>
      </c>
      <c r="I17" s="538"/>
      <c r="J17" s="600"/>
      <c r="K17" s="598"/>
      <c r="L17" s="599"/>
      <c r="M17" s="598"/>
    </row>
    <row r="18" spans="1:13">
      <c r="A18" s="545" t="s">
        <v>615</v>
      </c>
      <c r="B18" s="601">
        <v>75000000</v>
      </c>
      <c r="C18" s="541">
        <f t="shared" si="3"/>
        <v>12</v>
      </c>
      <c r="D18" s="594">
        <f t="shared" si="2"/>
        <v>900000000</v>
      </c>
      <c r="E18" s="595">
        <f t="shared" si="0"/>
        <v>4.0053743576469521E-2</v>
      </c>
      <c r="F18" s="594"/>
      <c r="G18" s="600">
        <v>4.2229999999999997E-2</v>
      </c>
      <c r="H18" s="597">
        <f t="shared" si="1"/>
        <v>1.6914695912343077E-3</v>
      </c>
      <c r="I18" s="538"/>
      <c r="J18" s="600"/>
      <c r="K18" s="598"/>
      <c r="L18" s="599"/>
      <c r="M18" s="598"/>
    </row>
    <row r="19" spans="1:13">
      <c r="A19" s="602" t="s">
        <v>616</v>
      </c>
      <c r="B19" s="601">
        <v>75000000</v>
      </c>
      <c r="C19" s="541">
        <f t="shared" si="3"/>
        <v>12</v>
      </c>
      <c r="D19" s="594">
        <f t="shared" si="2"/>
        <v>900000000</v>
      </c>
      <c r="E19" s="595">
        <f t="shared" si="0"/>
        <v>4.0053743576469521E-2</v>
      </c>
      <c r="F19" s="594"/>
      <c r="G19" s="600">
        <v>4.3235999999999997E-2</v>
      </c>
      <c r="H19" s="597">
        <f t="shared" si="1"/>
        <v>1.7317636572722361E-3</v>
      </c>
      <c r="I19" s="538"/>
      <c r="J19" s="600"/>
      <c r="K19" s="598"/>
      <c r="L19" s="599"/>
      <c r="M19" s="598"/>
    </row>
    <row r="20" spans="1:13">
      <c r="A20" s="603" t="s">
        <v>617</v>
      </c>
      <c r="B20" s="601">
        <v>150000000</v>
      </c>
      <c r="C20" s="541">
        <f t="shared" si="3"/>
        <v>12</v>
      </c>
      <c r="D20" s="594">
        <f t="shared" si="2"/>
        <v>1800000000</v>
      </c>
      <c r="E20" s="595">
        <f t="shared" si="0"/>
        <v>8.0107487152939041E-2</v>
      </c>
      <c r="F20" s="594"/>
      <c r="G20" s="600">
        <v>5.2138999999999998E-2</v>
      </c>
      <c r="H20" s="597">
        <f t="shared" si="1"/>
        <v>4.1767242726670883E-3</v>
      </c>
      <c r="I20" s="538"/>
      <c r="J20" s="596"/>
      <c r="K20" s="598"/>
      <c r="L20" s="599"/>
      <c r="M20" s="598"/>
    </row>
    <row r="21" spans="1:13">
      <c r="A21" s="537" t="s">
        <v>618</v>
      </c>
      <c r="B21" s="601">
        <v>150000000</v>
      </c>
      <c r="C21" s="541">
        <f t="shared" si="3"/>
        <v>12</v>
      </c>
      <c r="D21" s="594">
        <f t="shared" si="2"/>
        <v>1800000000</v>
      </c>
      <c r="E21" s="595">
        <f t="shared" si="0"/>
        <v>8.0107487152939041E-2</v>
      </c>
      <c r="F21" s="594"/>
      <c r="G21" s="596">
        <v>4.4116000000000002E-2</v>
      </c>
      <c r="H21" s="597">
        <f t="shared" si="1"/>
        <v>3.5340219032390591E-3</v>
      </c>
      <c r="I21" s="538"/>
      <c r="J21" s="596"/>
      <c r="K21" s="598"/>
      <c r="L21" s="599"/>
      <c r="M21" s="598"/>
    </row>
    <row r="22" spans="1:13">
      <c r="A22" s="550" t="s">
        <v>619</v>
      </c>
      <c r="B22" s="601">
        <v>50000000</v>
      </c>
      <c r="C22" s="541">
        <f>$C$8-1+(10/30)</f>
        <v>11.333333333333334</v>
      </c>
      <c r="D22" s="594">
        <f t="shared" si="2"/>
        <v>566666666.66666675</v>
      </c>
      <c r="E22" s="595">
        <f t="shared" si="0"/>
        <v>2.5219023733332666E-2</v>
      </c>
      <c r="F22" s="594"/>
      <c r="G22" s="596">
        <v>3.7957999999999999E-2</v>
      </c>
      <c r="H22" s="597">
        <f t="shared" si="1"/>
        <v>9.5726370286984129E-4</v>
      </c>
      <c r="I22" s="538"/>
      <c r="J22" s="600"/>
      <c r="K22" s="598"/>
      <c r="L22" s="599"/>
      <c r="M22" s="598"/>
    </row>
    <row r="23" spans="1:13" s="541" customFormat="1">
      <c r="A23" s="604" t="s">
        <v>620</v>
      </c>
      <c r="B23" s="605">
        <v>50000000</v>
      </c>
      <c r="C23" s="541">
        <f>$C$22</f>
        <v>11.333333333333334</v>
      </c>
      <c r="D23" s="601">
        <f t="shared" si="2"/>
        <v>566666666.66666675</v>
      </c>
      <c r="E23" s="597">
        <f t="shared" si="0"/>
        <v>2.5219023733332666E-2</v>
      </c>
      <c r="F23" s="601"/>
      <c r="G23" s="600">
        <v>4.7142999999999997E-2</v>
      </c>
      <c r="H23" s="597">
        <f t="shared" si="1"/>
        <v>1.1889004358605019E-3</v>
      </c>
      <c r="I23" s="566"/>
      <c r="J23" s="596"/>
      <c r="K23" s="598"/>
      <c r="L23" s="599"/>
      <c r="M23" s="598"/>
    </row>
    <row r="24" spans="1:13" s="541" customFormat="1">
      <c r="A24" s="604" t="s">
        <v>621</v>
      </c>
      <c r="B24" s="605">
        <v>75000000</v>
      </c>
      <c r="C24" s="541">
        <f>21/30</f>
        <v>0.7</v>
      </c>
      <c r="D24" s="601">
        <f t="shared" si="2"/>
        <v>52500000</v>
      </c>
      <c r="E24" s="597">
        <f t="shared" si="0"/>
        <v>2.3364683752940558E-3</v>
      </c>
      <c r="F24" s="601"/>
      <c r="G24" s="600">
        <v>3.3951000000000002E-2</v>
      </c>
      <c r="H24" s="597">
        <f t="shared" si="1"/>
        <v>7.932543780960849E-5</v>
      </c>
      <c r="I24" s="566"/>
      <c r="J24" s="596"/>
      <c r="K24" s="598"/>
      <c r="L24" s="599"/>
      <c r="M24" s="598"/>
    </row>
    <row r="25" spans="1:13" s="541" customFormat="1">
      <c r="A25" s="604" t="s">
        <v>622</v>
      </c>
      <c r="B25" s="605">
        <v>29000000</v>
      </c>
      <c r="C25" s="541">
        <f>$C$24</f>
        <v>0.7</v>
      </c>
      <c r="D25" s="601">
        <f t="shared" si="2"/>
        <v>20300000</v>
      </c>
      <c r="E25" s="597">
        <f t="shared" si="0"/>
        <v>9.0343443844703481E-4</v>
      </c>
      <c r="F25" s="601"/>
      <c r="G25" s="600">
        <v>3.635E-2</v>
      </c>
      <c r="H25" s="597">
        <f t="shared" si="1"/>
        <v>3.2839841837549718E-5</v>
      </c>
      <c r="I25" s="566"/>
      <c r="J25" s="596"/>
      <c r="K25" s="598"/>
      <c r="L25" s="599"/>
      <c r="M25" s="598"/>
    </row>
    <row r="26" spans="1:13" s="541" customFormat="1">
      <c r="A26" s="604" t="s">
        <v>623</v>
      </c>
      <c r="B26" s="605">
        <v>47000000</v>
      </c>
      <c r="C26" s="541">
        <f>$C$24</f>
        <v>0.7</v>
      </c>
      <c r="D26" s="601">
        <f t="shared" si="2"/>
        <v>32899999.999999996</v>
      </c>
      <c r="E26" s="597">
        <f t="shared" si="0"/>
        <v>1.4641868485176081E-3</v>
      </c>
      <c r="F26" s="601"/>
      <c r="G26" s="600">
        <v>4.3360999999999997E-2</v>
      </c>
      <c r="H26" s="597">
        <f t="shared" si="1"/>
        <v>6.3488605938571995E-5</v>
      </c>
      <c r="I26" s="566"/>
      <c r="J26" s="596"/>
      <c r="K26" s="598"/>
      <c r="L26" s="599"/>
      <c r="M26" s="598"/>
    </row>
    <row r="27" spans="1:13">
      <c r="A27" s="547" t="s">
        <v>624</v>
      </c>
      <c r="B27" s="606">
        <v>228756290.32258072</v>
      </c>
      <c r="C27" s="812">
        <v>1</v>
      </c>
      <c r="D27" s="594">
        <f t="shared" si="2"/>
        <v>228756290.32258072</v>
      </c>
      <c r="E27" s="595">
        <f t="shared" si="0"/>
        <v>1.0180606437872294E-2</v>
      </c>
      <c r="F27" s="594"/>
      <c r="G27" s="607">
        <v>2.1216981165333715E-3</v>
      </c>
      <c r="H27" s="597">
        <f t="shared" si="1"/>
        <v>2.1600173504401164E-5</v>
      </c>
      <c r="I27" s="538"/>
    </row>
    <row r="28" spans="1:13">
      <c r="A28" s="537" t="s">
        <v>625</v>
      </c>
      <c r="B28" s="606">
        <v>203433785.71428573</v>
      </c>
      <c r="C28" s="813">
        <f>IF(C$8-SUM(C$27:C27)&lt;=0,0,1)</f>
        <v>1</v>
      </c>
      <c r="D28" s="594">
        <f t="shared" si="2"/>
        <v>203433785.71428573</v>
      </c>
      <c r="E28" s="595">
        <f t="shared" si="0"/>
        <v>9.0536496531004994E-3</v>
      </c>
      <c r="F28" s="594"/>
      <c r="G28" s="607">
        <v>2.0793390829518762E-3</v>
      </c>
      <c r="H28" s="597">
        <f t="shared" si="1"/>
        <v>1.8825607567045563E-5</v>
      </c>
      <c r="I28" s="538"/>
    </row>
    <row r="29" spans="1:13">
      <c r="A29" s="537" t="s">
        <v>626</v>
      </c>
      <c r="B29" s="606">
        <v>206030258</v>
      </c>
      <c r="C29" s="813">
        <f>IF(C$8-SUM(C$27:C28)&lt;=0,0,1)</f>
        <v>1</v>
      </c>
      <c r="D29" s="594">
        <f t="shared" si="2"/>
        <v>206030258</v>
      </c>
      <c r="E29" s="595">
        <f t="shared" si="0"/>
        <v>9.1692034699176212E-3</v>
      </c>
      <c r="F29" s="594"/>
      <c r="G29" s="607">
        <v>2.0899999999999998E-3</v>
      </c>
      <c r="H29" s="597">
        <f t="shared" si="1"/>
        <v>1.9163635252127827E-5</v>
      </c>
      <c r="I29" s="538"/>
    </row>
    <row r="30" spans="1:13">
      <c r="A30" s="537" t="s">
        <v>627</v>
      </c>
      <c r="B30" s="606">
        <v>201252300</v>
      </c>
      <c r="C30" s="813">
        <f>IF(C$8-SUM(C$27:C29)&lt;=0,0,1)</f>
        <v>1</v>
      </c>
      <c r="D30" s="594">
        <f t="shared" si="2"/>
        <v>201252300</v>
      </c>
      <c r="E30" s="595">
        <f t="shared" si="0"/>
        <v>8.9565644648607976E-3</v>
      </c>
      <c r="F30" s="594"/>
      <c r="G30" s="607">
        <v>2.16E-3</v>
      </c>
      <c r="H30" s="597">
        <f t="shared" si="1"/>
        <v>1.9346179244099324E-5</v>
      </c>
      <c r="I30" s="538"/>
    </row>
    <row r="31" spans="1:13">
      <c r="A31" s="537" t="s">
        <v>628</v>
      </c>
      <c r="B31" s="606">
        <v>233184355</v>
      </c>
      <c r="C31" s="813">
        <f>IF(C$8-SUM(C$27:C30)&lt;=0,0,1)</f>
        <v>1</v>
      </c>
      <c r="D31" s="594">
        <f t="shared" si="2"/>
        <v>233184355</v>
      </c>
      <c r="E31" s="595">
        <f t="shared" si="0"/>
        <v>1.0377673734682711E-2</v>
      </c>
      <c r="F31" s="594"/>
      <c r="G31" s="607">
        <v>2.0999999999999999E-3</v>
      </c>
      <c r="H31" s="597">
        <f t="shared" si="1"/>
        <v>2.1793114842833691E-5</v>
      </c>
      <c r="I31" s="538"/>
    </row>
    <row r="32" spans="1:13">
      <c r="A32" s="537" t="s">
        <v>629</v>
      </c>
      <c r="B32" s="606">
        <v>216582933</v>
      </c>
      <c r="C32" s="813">
        <f>IF(C$8-SUM(C$27:C31)&lt;=0,0,1)</f>
        <v>1</v>
      </c>
      <c r="D32" s="594">
        <f t="shared" si="2"/>
        <v>216582933</v>
      </c>
      <c r="E32" s="595">
        <f t="shared" si="0"/>
        <v>9.6388414015796432E-3</v>
      </c>
      <c r="F32" s="594"/>
      <c r="G32" s="607">
        <v>2.0999999999999999E-3</v>
      </c>
      <c r="H32" s="597">
        <f t="shared" si="1"/>
        <v>2.0241566943317249E-5</v>
      </c>
      <c r="I32" s="538"/>
    </row>
    <row r="33" spans="1:9">
      <c r="A33" s="537" t="s">
        <v>630</v>
      </c>
      <c r="B33" s="606">
        <v>195595323</v>
      </c>
      <c r="C33" s="813">
        <f>IF(C$8-SUM(C$27:C32)&lt;=0,0,1)</f>
        <v>1</v>
      </c>
      <c r="D33" s="594">
        <f t="shared" si="2"/>
        <v>195595323</v>
      </c>
      <c r="E33" s="595">
        <f t="shared" si="0"/>
        <v>8.7048054579985917E-3</v>
      </c>
      <c r="F33" s="594"/>
      <c r="G33" s="607">
        <v>2.0899999999999998E-3</v>
      </c>
      <c r="H33" s="597">
        <f t="shared" si="1"/>
        <v>1.8193043407217054E-5</v>
      </c>
      <c r="I33" s="539"/>
    </row>
    <row r="34" spans="1:9">
      <c r="A34" s="547" t="s">
        <v>631</v>
      </c>
      <c r="B34" s="606">
        <v>230265903</v>
      </c>
      <c r="C34" s="813">
        <f>IF(C$8-SUM(C$27:C33)&lt;=0,0,1)</f>
        <v>1</v>
      </c>
      <c r="D34" s="594">
        <f t="shared" si="2"/>
        <v>230265903</v>
      </c>
      <c r="E34" s="595">
        <f t="shared" si="0"/>
        <v>1.0247790481295782E-2</v>
      </c>
      <c r="F34" s="594"/>
      <c r="G34" s="607">
        <v>2.0999999999999999E-3</v>
      </c>
      <c r="H34" s="597">
        <f t="shared" si="1"/>
        <v>2.1520360010721142E-5</v>
      </c>
      <c r="I34" s="538"/>
    </row>
    <row r="35" spans="1:9">
      <c r="A35" s="547" t="s">
        <v>632</v>
      </c>
      <c r="B35" s="606">
        <v>233595233</v>
      </c>
      <c r="C35" s="813">
        <f>IF(C$8-SUM(C$27:C34)&lt;=0,0,1)</f>
        <v>1</v>
      </c>
      <c r="D35" s="594">
        <f t="shared" si="2"/>
        <v>233595233</v>
      </c>
      <c r="E35" s="595">
        <f t="shared" si="0"/>
        <v>1.0395959514741836E-2</v>
      </c>
      <c r="F35" s="594"/>
      <c r="G35" s="607">
        <v>2.0749925833246888E-3</v>
      </c>
      <c r="H35" s="597">
        <f t="shared" si="1"/>
        <v>2.1571538889633039E-5</v>
      </c>
      <c r="I35" s="538"/>
    </row>
    <row r="36" spans="1:9">
      <c r="A36" s="547" t="s">
        <v>633</v>
      </c>
      <c r="B36" s="606">
        <v>234316838.70967743</v>
      </c>
      <c r="C36" s="813">
        <f>IF(C$8-SUM(C$27:C35)&lt;=0,0,1)</f>
        <v>1</v>
      </c>
      <c r="D36" s="594">
        <f t="shared" si="2"/>
        <v>234316838.70967743</v>
      </c>
      <c r="E36" s="595">
        <f t="shared" si="0"/>
        <v>1.0428073970362653E-2</v>
      </c>
      <c r="F36" s="594"/>
      <c r="G36" s="607">
        <v>2.0321379020576216E-3</v>
      </c>
      <c r="H36" s="597">
        <f t="shared" si="1"/>
        <v>2.1191284360634453E-5</v>
      </c>
      <c r="I36" s="538"/>
    </row>
    <row r="37" spans="1:9">
      <c r="A37" s="547" t="s">
        <v>634</v>
      </c>
      <c r="B37" s="606">
        <v>282717699.99999994</v>
      </c>
      <c r="C37" s="813">
        <f>IF(C$8-SUM(C$27:C36)&lt;=0,0,1)</f>
        <v>1</v>
      </c>
      <c r="D37" s="594">
        <f t="shared" si="2"/>
        <v>282717699.99999994</v>
      </c>
      <c r="E37" s="595">
        <f t="shared" si="0"/>
        <v>1.2582113622588039E-2</v>
      </c>
      <c r="F37" s="594"/>
      <c r="G37" s="607">
        <v>2.0287795328461341E-3</v>
      </c>
      <c r="H37" s="597">
        <f t="shared" si="1"/>
        <v>2.5526334597451142E-5</v>
      </c>
      <c r="I37" s="538"/>
    </row>
    <row r="38" spans="1:9">
      <c r="A38" s="547" t="s">
        <v>635</v>
      </c>
      <c r="B38" s="608">
        <v>165045548.38709676</v>
      </c>
      <c r="C38" s="813">
        <f>IF(C$8-SUM(C$27:C37)&lt;=0,0,1)</f>
        <v>1</v>
      </c>
      <c r="D38" s="609">
        <f t="shared" si="2"/>
        <v>165045548.38709676</v>
      </c>
      <c r="E38" s="610">
        <f t="shared" si="0"/>
        <v>7.3452134150384079E-3</v>
      </c>
      <c r="F38" s="594"/>
      <c r="G38" s="607">
        <v>2.0587429628419296E-3</v>
      </c>
      <c r="H38" s="597">
        <f t="shared" si="1"/>
        <v>1.512190642878246E-5</v>
      </c>
      <c r="I38" s="538"/>
    </row>
    <row r="39" spans="1:9" ht="13.5" thickBot="1">
      <c r="B39" s="544">
        <f>SUM(B8:B38)</f>
        <v>4431776468.1336403</v>
      </c>
      <c r="D39" s="544">
        <f>SUM(D8:D38)</f>
        <v>22469809801.46698</v>
      </c>
      <c r="E39" s="595">
        <f>SUM(E8:E38)</f>
        <v>0.99999999999999944</v>
      </c>
      <c r="F39" s="611"/>
      <c r="G39" s="612"/>
      <c r="H39" s="613">
        <f>SUM(H8:H38)</f>
        <v>4.7403862396077391E-2</v>
      </c>
    </row>
    <row r="40" spans="1:9" ht="13.5" thickTop="1">
      <c r="G40" s="614"/>
      <c r="H40" s="541"/>
    </row>
    <row r="41" spans="1:9">
      <c r="G41" s="614"/>
      <c r="H41" s="541"/>
    </row>
    <row r="44" spans="1:9">
      <c r="H44" s="615"/>
    </row>
  </sheetData>
  <sheetProtection formatCells="0" formatColumns="0" formatRows="0" insertRows="0"/>
  <pageMargins left="0.75" right="0.75" top="1" bottom="1" header="0.5" footer="0.5"/>
  <pageSetup scale="9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G37" sqref="G37"/>
    </sheetView>
  </sheetViews>
  <sheetFormatPr defaultRowHeight="12.75"/>
  <cols>
    <col min="1" max="1" width="23.28515625" style="537" customWidth="1"/>
    <col min="2" max="2" width="11.140625" style="537" customWidth="1"/>
    <col min="3" max="3" width="12.140625" style="537" customWidth="1"/>
    <col min="4" max="4" width="14.5703125" style="537" customWidth="1"/>
    <col min="5" max="5" width="9.140625" style="537"/>
    <col min="6" max="6" width="9.7109375" style="537" bestFit="1" customWidth="1"/>
    <col min="7" max="256" width="9.140625" style="537"/>
    <col min="257" max="257" width="23.28515625" style="537" customWidth="1"/>
    <col min="258" max="258" width="11.140625" style="537" customWidth="1"/>
    <col min="259" max="259" width="12.140625" style="537" customWidth="1"/>
    <col min="260" max="260" width="14.5703125" style="537" customWidth="1"/>
    <col min="261" max="261" width="9.140625" style="537"/>
    <col min="262" max="262" width="9.7109375" style="537" bestFit="1" customWidth="1"/>
    <col min="263" max="512" width="9.140625" style="537"/>
    <col min="513" max="513" width="23.28515625" style="537" customWidth="1"/>
    <col min="514" max="514" width="11.140625" style="537" customWidth="1"/>
    <col min="515" max="515" width="12.140625" style="537" customWidth="1"/>
    <col min="516" max="516" width="14.5703125" style="537" customWidth="1"/>
    <col min="517" max="517" width="9.140625" style="537"/>
    <col min="518" max="518" width="9.7109375" style="537" bestFit="1" customWidth="1"/>
    <col min="519" max="768" width="9.140625" style="537"/>
    <col min="769" max="769" width="23.28515625" style="537" customWidth="1"/>
    <col min="770" max="770" width="11.140625" style="537" customWidth="1"/>
    <col min="771" max="771" width="12.140625" style="537" customWidth="1"/>
    <col min="772" max="772" width="14.5703125" style="537" customWidth="1"/>
    <col min="773" max="773" width="9.140625" style="537"/>
    <col min="774" max="774" width="9.7109375" style="537" bestFit="1" customWidth="1"/>
    <col min="775" max="1024" width="9.140625" style="537"/>
    <col min="1025" max="1025" width="23.28515625" style="537" customWidth="1"/>
    <col min="1026" max="1026" width="11.140625" style="537" customWidth="1"/>
    <col min="1027" max="1027" width="12.140625" style="537" customWidth="1"/>
    <col min="1028" max="1028" width="14.5703125" style="537" customWidth="1"/>
    <col min="1029" max="1029" width="9.140625" style="537"/>
    <col min="1030" max="1030" width="9.7109375" style="537" bestFit="1" customWidth="1"/>
    <col min="1031" max="1280" width="9.140625" style="537"/>
    <col min="1281" max="1281" width="23.28515625" style="537" customWidth="1"/>
    <col min="1282" max="1282" width="11.140625" style="537" customWidth="1"/>
    <col min="1283" max="1283" width="12.140625" style="537" customWidth="1"/>
    <col min="1284" max="1284" width="14.5703125" style="537" customWidth="1"/>
    <col min="1285" max="1285" width="9.140625" style="537"/>
    <col min="1286" max="1286" width="9.7109375" style="537" bestFit="1" customWidth="1"/>
    <col min="1287" max="1536" width="9.140625" style="537"/>
    <col min="1537" max="1537" width="23.28515625" style="537" customWidth="1"/>
    <col min="1538" max="1538" width="11.140625" style="537" customWidth="1"/>
    <col min="1539" max="1539" width="12.140625" style="537" customWidth="1"/>
    <col min="1540" max="1540" width="14.5703125" style="537" customWidth="1"/>
    <col min="1541" max="1541" width="9.140625" style="537"/>
    <col min="1542" max="1542" width="9.7109375" style="537" bestFit="1" customWidth="1"/>
    <col min="1543" max="1792" width="9.140625" style="537"/>
    <col min="1793" max="1793" width="23.28515625" style="537" customWidth="1"/>
    <col min="1794" max="1794" width="11.140625" style="537" customWidth="1"/>
    <col min="1795" max="1795" width="12.140625" style="537" customWidth="1"/>
    <col min="1796" max="1796" width="14.5703125" style="537" customWidth="1"/>
    <col min="1797" max="1797" width="9.140625" style="537"/>
    <col min="1798" max="1798" width="9.7109375" style="537" bestFit="1" customWidth="1"/>
    <col min="1799" max="2048" width="9.140625" style="537"/>
    <col min="2049" max="2049" width="23.28515625" style="537" customWidth="1"/>
    <col min="2050" max="2050" width="11.140625" style="537" customWidth="1"/>
    <col min="2051" max="2051" width="12.140625" style="537" customWidth="1"/>
    <col min="2052" max="2052" width="14.5703125" style="537" customWidth="1"/>
    <col min="2053" max="2053" width="9.140625" style="537"/>
    <col min="2054" max="2054" width="9.7109375" style="537" bestFit="1" customWidth="1"/>
    <col min="2055" max="2304" width="9.140625" style="537"/>
    <col min="2305" max="2305" width="23.28515625" style="537" customWidth="1"/>
    <col min="2306" max="2306" width="11.140625" style="537" customWidth="1"/>
    <col min="2307" max="2307" width="12.140625" style="537" customWidth="1"/>
    <col min="2308" max="2308" width="14.5703125" style="537" customWidth="1"/>
    <col min="2309" max="2309" width="9.140625" style="537"/>
    <col min="2310" max="2310" width="9.7109375" style="537" bestFit="1" customWidth="1"/>
    <col min="2311" max="2560" width="9.140625" style="537"/>
    <col min="2561" max="2561" width="23.28515625" style="537" customWidth="1"/>
    <col min="2562" max="2562" width="11.140625" style="537" customWidth="1"/>
    <col min="2563" max="2563" width="12.140625" style="537" customWidth="1"/>
    <col min="2564" max="2564" width="14.5703125" style="537" customWidth="1"/>
    <col min="2565" max="2565" width="9.140625" style="537"/>
    <col min="2566" max="2566" width="9.7109375" style="537" bestFit="1" customWidth="1"/>
    <col min="2567" max="2816" width="9.140625" style="537"/>
    <col min="2817" max="2817" width="23.28515625" style="537" customWidth="1"/>
    <col min="2818" max="2818" width="11.140625" style="537" customWidth="1"/>
    <col min="2819" max="2819" width="12.140625" style="537" customWidth="1"/>
    <col min="2820" max="2820" width="14.5703125" style="537" customWidth="1"/>
    <col min="2821" max="2821" width="9.140625" style="537"/>
    <col min="2822" max="2822" width="9.7109375" style="537" bestFit="1" customWidth="1"/>
    <col min="2823" max="3072" width="9.140625" style="537"/>
    <col min="3073" max="3073" width="23.28515625" style="537" customWidth="1"/>
    <col min="3074" max="3074" width="11.140625" style="537" customWidth="1"/>
    <col min="3075" max="3075" width="12.140625" style="537" customWidth="1"/>
    <col min="3076" max="3076" width="14.5703125" style="537" customWidth="1"/>
    <col min="3077" max="3077" width="9.140625" style="537"/>
    <col min="3078" max="3078" width="9.7109375" style="537" bestFit="1" customWidth="1"/>
    <col min="3079" max="3328" width="9.140625" style="537"/>
    <col min="3329" max="3329" width="23.28515625" style="537" customWidth="1"/>
    <col min="3330" max="3330" width="11.140625" style="537" customWidth="1"/>
    <col min="3331" max="3331" width="12.140625" style="537" customWidth="1"/>
    <col min="3332" max="3332" width="14.5703125" style="537" customWidth="1"/>
    <col min="3333" max="3333" width="9.140625" style="537"/>
    <col min="3334" max="3334" width="9.7109375" style="537" bestFit="1" customWidth="1"/>
    <col min="3335" max="3584" width="9.140625" style="537"/>
    <col min="3585" max="3585" width="23.28515625" style="537" customWidth="1"/>
    <col min="3586" max="3586" width="11.140625" style="537" customWidth="1"/>
    <col min="3587" max="3587" width="12.140625" style="537" customWidth="1"/>
    <col min="3588" max="3588" width="14.5703125" style="537" customWidth="1"/>
    <col min="3589" max="3589" width="9.140625" style="537"/>
    <col min="3590" max="3590" width="9.7109375" style="537" bestFit="1" customWidth="1"/>
    <col min="3591" max="3840" width="9.140625" style="537"/>
    <col min="3841" max="3841" width="23.28515625" style="537" customWidth="1"/>
    <col min="3842" max="3842" width="11.140625" style="537" customWidth="1"/>
    <col min="3843" max="3843" width="12.140625" style="537" customWidth="1"/>
    <col min="3844" max="3844" width="14.5703125" style="537" customWidth="1"/>
    <col min="3845" max="3845" width="9.140625" style="537"/>
    <col min="3846" max="3846" width="9.7109375" style="537" bestFit="1" customWidth="1"/>
    <col min="3847" max="4096" width="9.140625" style="537"/>
    <col min="4097" max="4097" width="23.28515625" style="537" customWidth="1"/>
    <col min="4098" max="4098" width="11.140625" style="537" customWidth="1"/>
    <col min="4099" max="4099" width="12.140625" style="537" customWidth="1"/>
    <col min="4100" max="4100" width="14.5703125" style="537" customWidth="1"/>
    <col min="4101" max="4101" width="9.140625" style="537"/>
    <col min="4102" max="4102" width="9.7109375" style="537" bestFit="1" customWidth="1"/>
    <col min="4103" max="4352" width="9.140625" style="537"/>
    <col min="4353" max="4353" width="23.28515625" style="537" customWidth="1"/>
    <col min="4354" max="4354" width="11.140625" style="537" customWidth="1"/>
    <col min="4355" max="4355" width="12.140625" style="537" customWidth="1"/>
    <col min="4356" max="4356" width="14.5703125" style="537" customWidth="1"/>
    <col min="4357" max="4357" width="9.140625" style="537"/>
    <col min="4358" max="4358" width="9.7109375" style="537" bestFit="1" customWidth="1"/>
    <col min="4359" max="4608" width="9.140625" style="537"/>
    <col min="4609" max="4609" width="23.28515625" style="537" customWidth="1"/>
    <col min="4610" max="4610" width="11.140625" style="537" customWidth="1"/>
    <col min="4611" max="4611" width="12.140625" style="537" customWidth="1"/>
    <col min="4612" max="4612" width="14.5703125" style="537" customWidth="1"/>
    <col min="4613" max="4613" width="9.140625" style="537"/>
    <col min="4614" max="4614" width="9.7109375" style="537" bestFit="1" customWidth="1"/>
    <col min="4615" max="4864" width="9.140625" style="537"/>
    <col min="4865" max="4865" width="23.28515625" style="537" customWidth="1"/>
    <col min="4866" max="4866" width="11.140625" style="537" customWidth="1"/>
    <col min="4867" max="4867" width="12.140625" style="537" customWidth="1"/>
    <col min="4868" max="4868" width="14.5703125" style="537" customWidth="1"/>
    <col min="4869" max="4869" width="9.140625" style="537"/>
    <col min="4870" max="4870" width="9.7109375" style="537" bestFit="1" customWidth="1"/>
    <col min="4871" max="5120" width="9.140625" style="537"/>
    <col min="5121" max="5121" width="23.28515625" style="537" customWidth="1"/>
    <col min="5122" max="5122" width="11.140625" style="537" customWidth="1"/>
    <col min="5123" max="5123" width="12.140625" style="537" customWidth="1"/>
    <col min="5124" max="5124" width="14.5703125" style="537" customWidth="1"/>
    <col min="5125" max="5125" width="9.140625" style="537"/>
    <col min="5126" max="5126" width="9.7109375" style="537" bestFit="1" customWidth="1"/>
    <col min="5127" max="5376" width="9.140625" style="537"/>
    <col min="5377" max="5377" width="23.28515625" style="537" customWidth="1"/>
    <col min="5378" max="5378" width="11.140625" style="537" customWidth="1"/>
    <col min="5379" max="5379" width="12.140625" style="537" customWidth="1"/>
    <col min="5380" max="5380" width="14.5703125" style="537" customWidth="1"/>
    <col min="5381" max="5381" width="9.140625" style="537"/>
    <col min="5382" max="5382" width="9.7109375" style="537" bestFit="1" customWidth="1"/>
    <col min="5383" max="5632" width="9.140625" style="537"/>
    <col min="5633" max="5633" width="23.28515625" style="537" customWidth="1"/>
    <col min="5634" max="5634" width="11.140625" style="537" customWidth="1"/>
    <col min="5635" max="5635" width="12.140625" style="537" customWidth="1"/>
    <col min="5636" max="5636" width="14.5703125" style="537" customWidth="1"/>
    <col min="5637" max="5637" width="9.140625" style="537"/>
    <col min="5638" max="5638" width="9.7109375" style="537" bestFit="1" customWidth="1"/>
    <col min="5639" max="5888" width="9.140625" style="537"/>
    <col min="5889" max="5889" width="23.28515625" style="537" customWidth="1"/>
    <col min="5890" max="5890" width="11.140625" style="537" customWidth="1"/>
    <col min="5891" max="5891" width="12.140625" style="537" customWidth="1"/>
    <col min="5892" max="5892" width="14.5703125" style="537" customWidth="1"/>
    <col min="5893" max="5893" width="9.140625" style="537"/>
    <col min="5894" max="5894" width="9.7109375" style="537" bestFit="1" customWidth="1"/>
    <col min="5895" max="6144" width="9.140625" style="537"/>
    <col min="6145" max="6145" width="23.28515625" style="537" customWidth="1"/>
    <col min="6146" max="6146" width="11.140625" style="537" customWidth="1"/>
    <col min="6147" max="6147" width="12.140625" style="537" customWidth="1"/>
    <col min="6148" max="6148" width="14.5703125" style="537" customWidth="1"/>
    <col min="6149" max="6149" width="9.140625" style="537"/>
    <col min="6150" max="6150" width="9.7109375" style="537" bestFit="1" customWidth="1"/>
    <col min="6151" max="6400" width="9.140625" style="537"/>
    <col min="6401" max="6401" width="23.28515625" style="537" customWidth="1"/>
    <col min="6402" max="6402" width="11.140625" style="537" customWidth="1"/>
    <col min="6403" max="6403" width="12.140625" style="537" customWidth="1"/>
    <col min="6404" max="6404" width="14.5703125" style="537" customWidth="1"/>
    <col min="6405" max="6405" width="9.140625" style="537"/>
    <col min="6406" max="6406" width="9.7109375" style="537" bestFit="1" customWidth="1"/>
    <col min="6407" max="6656" width="9.140625" style="537"/>
    <col min="6657" max="6657" width="23.28515625" style="537" customWidth="1"/>
    <col min="6658" max="6658" width="11.140625" style="537" customWidth="1"/>
    <col min="6659" max="6659" width="12.140625" style="537" customWidth="1"/>
    <col min="6660" max="6660" width="14.5703125" style="537" customWidth="1"/>
    <col min="6661" max="6661" width="9.140625" style="537"/>
    <col min="6662" max="6662" width="9.7109375" style="537" bestFit="1" customWidth="1"/>
    <col min="6663" max="6912" width="9.140625" style="537"/>
    <col min="6913" max="6913" width="23.28515625" style="537" customWidth="1"/>
    <col min="6914" max="6914" width="11.140625" style="537" customWidth="1"/>
    <col min="6915" max="6915" width="12.140625" style="537" customWidth="1"/>
    <col min="6916" max="6916" width="14.5703125" style="537" customWidth="1"/>
    <col min="6917" max="6917" width="9.140625" style="537"/>
    <col min="6918" max="6918" width="9.7109375" style="537" bestFit="1" customWidth="1"/>
    <col min="6919" max="7168" width="9.140625" style="537"/>
    <col min="7169" max="7169" width="23.28515625" style="537" customWidth="1"/>
    <col min="7170" max="7170" width="11.140625" style="537" customWidth="1"/>
    <col min="7171" max="7171" width="12.140625" style="537" customWidth="1"/>
    <col min="7172" max="7172" width="14.5703125" style="537" customWidth="1"/>
    <col min="7173" max="7173" width="9.140625" style="537"/>
    <col min="7174" max="7174" width="9.7109375" style="537" bestFit="1" customWidth="1"/>
    <col min="7175" max="7424" width="9.140625" style="537"/>
    <col min="7425" max="7425" width="23.28515625" style="537" customWidth="1"/>
    <col min="7426" max="7426" width="11.140625" style="537" customWidth="1"/>
    <col min="7427" max="7427" width="12.140625" style="537" customWidth="1"/>
    <col min="7428" max="7428" width="14.5703125" style="537" customWidth="1"/>
    <col min="7429" max="7429" width="9.140625" style="537"/>
    <col min="7430" max="7430" width="9.7109375" style="537" bestFit="1" customWidth="1"/>
    <col min="7431" max="7680" width="9.140625" style="537"/>
    <col min="7681" max="7681" width="23.28515625" style="537" customWidth="1"/>
    <col min="7682" max="7682" width="11.140625" style="537" customWidth="1"/>
    <col min="7683" max="7683" width="12.140625" style="537" customWidth="1"/>
    <col min="7684" max="7684" width="14.5703125" style="537" customWidth="1"/>
    <col min="7685" max="7685" width="9.140625" style="537"/>
    <col min="7686" max="7686" width="9.7109375" style="537" bestFit="1" customWidth="1"/>
    <col min="7687" max="7936" width="9.140625" style="537"/>
    <col min="7937" max="7937" width="23.28515625" style="537" customWidth="1"/>
    <col min="7938" max="7938" width="11.140625" style="537" customWidth="1"/>
    <col min="7939" max="7939" width="12.140625" style="537" customWidth="1"/>
    <col min="7940" max="7940" width="14.5703125" style="537" customWidth="1"/>
    <col min="7941" max="7941" width="9.140625" style="537"/>
    <col min="7942" max="7942" width="9.7109375" style="537" bestFit="1" customWidth="1"/>
    <col min="7943" max="8192" width="9.140625" style="537"/>
    <col min="8193" max="8193" width="23.28515625" style="537" customWidth="1"/>
    <col min="8194" max="8194" width="11.140625" style="537" customWidth="1"/>
    <col min="8195" max="8195" width="12.140625" style="537" customWidth="1"/>
    <col min="8196" max="8196" width="14.5703125" style="537" customWidth="1"/>
    <col min="8197" max="8197" width="9.140625" style="537"/>
    <col min="8198" max="8198" width="9.7109375" style="537" bestFit="1" customWidth="1"/>
    <col min="8199" max="8448" width="9.140625" style="537"/>
    <col min="8449" max="8449" width="23.28515625" style="537" customWidth="1"/>
    <col min="8450" max="8450" width="11.140625" style="537" customWidth="1"/>
    <col min="8451" max="8451" width="12.140625" style="537" customWidth="1"/>
    <col min="8452" max="8452" width="14.5703125" style="537" customWidth="1"/>
    <col min="8453" max="8453" width="9.140625" style="537"/>
    <col min="8454" max="8454" width="9.7109375" style="537" bestFit="1" customWidth="1"/>
    <col min="8455" max="8704" width="9.140625" style="537"/>
    <col min="8705" max="8705" width="23.28515625" style="537" customWidth="1"/>
    <col min="8706" max="8706" width="11.140625" style="537" customWidth="1"/>
    <col min="8707" max="8707" width="12.140625" style="537" customWidth="1"/>
    <col min="8708" max="8708" width="14.5703125" style="537" customWidth="1"/>
    <col min="8709" max="8709" width="9.140625" style="537"/>
    <col min="8710" max="8710" width="9.7109375" style="537" bestFit="1" customWidth="1"/>
    <col min="8711" max="8960" width="9.140625" style="537"/>
    <col min="8961" max="8961" width="23.28515625" style="537" customWidth="1"/>
    <col min="8962" max="8962" width="11.140625" style="537" customWidth="1"/>
    <col min="8963" max="8963" width="12.140625" style="537" customWidth="1"/>
    <col min="8964" max="8964" width="14.5703125" style="537" customWidth="1"/>
    <col min="8965" max="8965" width="9.140625" style="537"/>
    <col min="8966" max="8966" width="9.7109375" style="537" bestFit="1" customWidth="1"/>
    <col min="8967" max="9216" width="9.140625" style="537"/>
    <col min="9217" max="9217" width="23.28515625" style="537" customWidth="1"/>
    <col min="9218" max="9218" width="11.140625" style="537" customWidth="1"/>
    <col min="9219" max="9219" width="12.140625" style="537" customWidth="1"/>
    <col min="9220" max="9220" width="14.5703125" style="537" customWidth="1"/>
    <col min="9221" max="9221" width="9.140625" style="537"/>
    <col min="9222" max="9222" width="9.7109375" style="537" bestFit="1" customWidth="1"/>
    <col min="9223" max="9472" width="9.140625" style="537"/>
    <col min="9473" max="9473" width="23.28515625" style="537" customWidth="1"/>
    <col min="9474" max="9474" width="11.140625" style="537" customWidth="1"/>
    <col min="9475" max="9475" width="12.140625" style="537" customWidth="1"/>
    <col min="9476" max="9476" width="14.5703125" style="537" customWidth="1"/>
    <col min="9477" max="9477" width="9.140625" style="537"/>
    <col min="9478" max="9478" width="9.7109375" style="537" bestFit="1" customWidth="1"/>
    <col min="9479" max="9728" width="9.140625" style="537"/>
    <col min="9729" max="9729" width="23.28515625" style="537" customWidth="1"/>
    <col min="9730" max="9730" width="11.140625" style="537" customWidth="1"/>
    <col min="9731" max="9731" width="12.140625" style="537" customWidth="1"/>
    <col min="9732" max="9732" width="14.5703125" style="537" customWidth="1"/>
    <col min="9733" max="9733" width="9.140625" style="537"/>
    <col min="9734" max="9734" width="9.7109375" style="537" bestFit="1" customWidth="1"/>
    <col min="9735" max="9984" width="9.140625" style="537"/>
    <col min="9985" max="9985" width="23.28515625" style="537" customWidth="1"/>
    <col min="9986" max="9986" width="11.140625" style="537" customWidth="1"/>
    <col min="9987" max="9987" width="12.140625" style="537" customWidth="1"/>
    <col min="9988" max="9988" width="14.5703125" style="537" customWidth="1"/>
    <col min="9989" max="9989" width="9.140625" style="537"/>
    <col min="9990" max="9990" width="9.7109375" style="537" bestFit="1" customWidth="1"/>
    <col min="9991" max="10240" width="9.140625" style="537"/>
    <col min="10241" max="10241" width="23.28515625" style="537" customWidth="1"/>
    <col min="10242" max="10242" width="11.140625" style="537" customWidth="1"/>
    <col min="10243" max="10243" width="12.140625" style="537" customWidth="1"/>
    <col min="10244" max="10244" width="14.5703125" style="537" customWidth="1"/>
    <col min="10245" max="10245" width="9.140625" style="537"/>
    <col min="10246" max="10246" width="9.7109375" style="537" bestFit="1" customWidth="1"/>
    <col min="10247" max="10496" width="9.140625" style="537"/>
    <col min="10497" max="10497" width="23.28515625" style="537" customWidth="1"/>
    <col min="10498" max="10498" width="11.140625" style="537" customWidth="1"/>
    <col min="10499" max="10499" width="12.140625" style="537" customWidth="1"/>
    <col min="10500" max="10500" width="14.5703125" style="537" customWidth="1"/>
    <col min="10501" max="10501" width="9.140625" style="537"/>
    <col min="10502" max="10502" width="9.7109375" style="537" bestFit="1" customWidth="1"/>
    <col min="10503" max="10752" width="9.140625" style="537"/>
    <col min="10753" max="10753" width="23.28515625" style="537" customWidth="1"/>
    <col min="10754" max="10754" width="11.140625" style="537" customWidth="1"/>
    <col min="10755" max="10755" width="12.140625" style="537" customWidth="1"/>
    <col min="10756" max="10756" width="14.5703125" style="537" customWidth="1"/>
    <col min="10757" max="10757" width="9.140625" style="537"/>
    <col min="10758" max="10758" width="9.7109375" style="537" bestFit="1" customWidth="1"/>
    <col min="10759" max="11008" width="9.140625" style="537"/>
    <col min="11009" max="11009" width="23.28515625" style="537" customWidth="1"/>
    <col min="11010" max="11010" width="11.140625" style="537" customWidth="1"/>
    <col min="11011" max="11011" width="12.140625" style="537" customWidth="1"/>
    <col min="11012" max="11012" width="14.5703125" style="537" customWidth="1"/>
    <col min="11013" max="11013" width="9.140625" style="537"/>
    <col min="11014" max="11014" width="9.7109375" style="537" bestFit="1" customWidth="1"/>
    <col min="11015" max="11264" width="9.140625" style="537"/>
    <col min="11265" max="11265" width="23.28515625" style="537" customWidth="1"/>
    <col min="11266" max="11266" width="11.140625" style="537" customWidth="1"/>
    <col min="11267" max="11267" width="12.140625" style="537" customWidth="1"/>
    <col min="11268" max="11268" width="14.5703125" style="537" customWidth="1"/>
    <col min="11269" max="11269" width="9.140625" style="537"/>
    <col min="11270" max="11270" width="9.7109375" style="537" bestFit="1" customWidth="1"/>
    <col min="11271" max="11520" width="9.140625" style="537"/>
    <col min="11521" max="11521" width="23.28515625" style="537" customWidth="1"/>
    <col min="11522" max="11522" width="11.140625" style="537" customWidth="1"/>
    <col min="11523" max="11523" width="12.140625" style="537" customWidth="1"/>
    <col min="11524" max="11524" width="14.5703125" style="537" customWidth="1"/>
    <col min="11525" max="11525" width="9.140625" style="537"/>
    <col min="11526" max="11526" width="9.7109375" style="537" bestFit="1" customWidth="1"/>
    <col min="11527" max="11776" width="9.140625" style="537"/>
    <col min="11777" max="11777" width="23.28515625" style="537" customWidth="1"/>
    <col min="11778" max="11778" width="11.140625" style="537" customWidth="1"/>
    <col min="11779" max="11779" width="12.140625" style="537" customWidth="1"/>
    <col min="11780" max="11780" width="14.5703125" style="537" customWidth="1"/>
    <col min="11781" max="11781" width="9.140625" style="537"/>
    <col min="11782" max="11782" width="9.7109375" style="537" bestFit="1" customWidth="1"/>
    <col min="11783" max="12032" width="9.140625" style="537"/>
    <col min="12033" max="12033" width="23.28515625" style="537" customWidth="1"/>
    <col min="12034" max="12034" width="11.140625" style="537" customWidth="1"/>
    <col min="12035" max="12035" width="12.140625" style="537" customWidth="1"/>
    <col min="12036" max="12036" width="14.5703125" style="537" customWidth="1"/>
    <col min="12037" max="12037" width="9.140625" style="537"/>
    <col min="12038" max="12038" width="9.7109375" style="537" bestFit="1" customWidth="1"/>
    <col min="12039" max="12288" width="9.140625" style="537"/>
    <col min="12289" max="12289" width="23.28515625" style="537" customWidth="1"/>
    <col min="12290" max="12290" width="11.140625" style="537" customWidth="1"/>
    <col min="12291" max="12291" width="12.140625" style="537" customWidth="1"/>
    <col min="12292" max="12292" width="14.5703125" style="537" customWidth="1"/>
    <col min="12293" max="12293" width="9.140625" style="537"/>
    <col min="12294" max="12294" width="9.7109375" style="537" bestFit="1" customWidth="1"/>
    <col min="12295" max="12544" width="9.140625" style="537"/>
    <col min="12545" max="12545" width="23.28515625" style="537" customWidth="1"/>
    <col min="12546" max="12546" width="11.140625" style="537" customWidth="1"/>
    <col min="12547" max="12547" width="12.140625" style="537" customWidth="1"/>
    <col min="12548" max="12548" width="14.5703125" style="537" customWidth="1"/>
    <col min="12549" max="12549" width="9.140625" style="537"/>
    <col min="12550" max="12550" width="9.7109375" style="537" bestFit="1" customWidth="1"/>
    <col min="12551" max="12800" width="9.140625" style="537"/>
    <col min="12801" max="12801" width="23.28515625" style="537" customWidth="1"/>
    <col min="12802" max="12802" width="11.140625" style="537" customWidth="1"/>
    <col min="12803" max="12803" width="12.140625" style="537" customWidth="1"/>
    <col min="12804" max="12804" width="14.5703125" style="537" customWidth="1"/>
    <col min="12805" max="12805" width="9.140625" style="537"/>
    <col min="12806" max="12806" width="9.7109375" style="537" bestFit="1" customWidth="1"/>
    <col min="12807" max="13056" width="9.140625" style="537"/>
    <col min="13057" max="13057" width="23.28515625" style="537" customWidth="1"/>
    <col min="13058" max="13058" width="11.140625" style="537" customWidth="1"/>
    <col min="13059" max="13059" width="12.140625" style="537" customWidth="1"/>
    <col min="13060" max="13060" width="14.5703125" style="537" customWidth="1"/>
    <col min="13061" max="13061" width="9.140625" style="537"/>
    <col min="13062" max="13062" width="9.7109375" style="537" bestFit="1" customWidth="1"/>
    <col min="13063" max="13312" width="9.140625" style="537"/>
    <col min="13313" max="13313" width="23.28515625" style="537" customWidth="1"/>
    <col min="13314" max="13314" width="11.140625" style="537" customWidth="1"/>
    <col min="13315" max="13315" width="12.140625" style="537" customWidth="1"/>
    <col min="13316" max="13316" width="14.5703125" style="537" customWidth="1"/>
    <col min="13317" max="13317" width="9.140625" style="537"/>
    <col min="13318" max="13318" width="9.7109375" style="537" bestFit="1" customWidth="1"/>
    <col min="13319" max="13568" width="9.140625" style="537"/>
    <col min="13569" max="13569" width="23.28515625" style="537" customWidth="1"/>
    <col min="13570" max="13570" width="11.140625" style="537" customWidth="1"/>
    <col min="13571" max="13571" width="12.140625" style="537" customWidth="1"/>
    <col min="13572" max="13572" width="14.5703125" style="537" customWidth="1"/>
    <col min="13573" max="13573" width="9.140625" style="537"/>
    <col min="13574" max="13574" width="9.7109375" style="537" bestFit="1" customWidth="1"/>
    <col min="13575" max="13824" width="9.140625" style="537"/>
    <col min="13825" max="13825" width="23.28515625" style="537" customWidth="1"/>
    <col min="13826" max="13826" width="11.140625" style="537" customWidth="1"/>
    <col min="13827" max="13827" width="12.140625" style="537" customWidth="1"/>
    <col min="13828" max="13828" width="14.5703125" style="537" customWidth="1"/>
    <col min="13829" max="13829" width="9.140625" style="537"/>
    <col min="13830" max="13830" width="9.7109375" style="537" bestFit="1" customWidth="1"/>
    <col min="13831" max="14080" width="9.140625" style="537"/>
    <col min="14081" max="14081" width="23.28515625" style="537" customWidth="1"/>
    <col min="14082" max="14082" width="11.140625" style="537" customWidth="1"/>
    <col min="14083" max="14083" width="12.140625" style="537" customWidth="1"/>
    <col min="14084" max="14084" width="14.5703125" style="537" customWidth="1"/>
    <col min="14085" max="14085" width="9.140625" style="537"/>
    <col min="14086" max="14086" width="9.7109375" style="537" bestFit="1" customWidth="1"/>
    <col min="14087" max="14336" width="9.140625" style="537"/>
    <col min="14337" max="14337" width="23.28515625" style="537" customWidth="1"/>
    <col min="14338" max="14338" width="11.140625" style="537" customWidth="1"/>
    <col min="14339" max="14339" width="12.140625" style="537" customWidth="1"/>
    <col min="14340" max="14340" width="14.5703125" style="537" customWidth="1"/>
    <col min="14341" max="14341" width="9.140625" style="537"/>
    <col min="14342" max="14342" width="9.7109375" style="537" bestFit="1" customWidth="1"/>
    <col min="14343" max="14592" width="9.140625" style="537"/>
    <col min="14593" max="14593" width="23.28515625" style="537" customWidth="1"/>
    <col min="14594" max="14594" width="11.140625" style="537" customWidth="1"/>
    <col min="14595" max="14595" width="12.140625" style="537" customWidth="1"/>
    <col min="14596" max="14596" width="14.5703125" style="537" customWidth="1"/>
    <col min="14597" max="14597" width="9.140625" style="537"/>
    <col min="14598" max="14598" width="9.7109375" style="537" bestFit="1" customWidth="1"/>
    <col min="14599" max="14848" width="9.140625" style="537"/>
    <col min="14849" max="14849" width="23.28515625" style="537" customWidth="1"/>
    <col min="14850" max="14850" width="11.140625" style="537" customWidth="1"/>
    <col min="14851" max="14851" width="12.140625" style="537" customWidth="1"/>
    <col min="14852" max="14852" width="14.5703125" style="537" customWidth="1"/>
    <col min="14853" max="14853" width="9.140625" style="537"/>
    <col min="14854" max="14854" width="9.7109375" style="537" bestFit="1" customWidth="1"/>
    <col min="14855" max="15104" width="9.140625" style="537"/>
    <col min="15105" max="15105" width="23.28515625" style="537" customWidth="1"/>
    <col min="15106" max="15106" width="11.140625" style="537" customWidth="1"/>
    <col min="15107" max="15107" width="12.140625" style="537" customWidth="1"/>
    <col min="15108" max="15108" width="14.5703125" style="537" customWidth="1"/>
    <col min="15109" max="15109" width="9.140625" style="537"/>
    <col min="15110" max="15110" width="9.7109375" style="537" bestFit="1" customWidth="1"/>
    <col min="15111" max="15360" width="9.140625" style="537"/>
    <col min="15361" max="15361" width="23.28515625" style="537" customWidth="1"/>
    <col min="15362" max="15362" width="11.140625" style="537" customWidth="1"/>
    <col min="15363" max="15363" width="12.140625" style="537" customWidth="1"/>
    <col min="15364" max="15364" width="14.5703125" style="537" customWidth="1"/>
    <col min="15365" max="15365" width="9.140625" style="537"/>
    <col min="15366" max="15366" width="9.7109375" style="537" bestFit="1" customWidth="1"/>
    <col min="15367" max="15616" width="9.140625" style="537"/>
    <col min="15617" max="15617" width="23.28515625" style="537" customWidth="1"/>
    <col min="15618" max="15618" width="11.140625" style="537" customWidth="1"/>
    <col min="15619" max="15619" width="12.140625" style="537" customWidth="1"/>
    <col min="15620" max="15620" width="14.5703125" style="537" customWidth="1"/>
    <col min="15621" max="15621" width="9.140625" style="537"/>
    <col min="15622" max="15622" width="9.7109375" style="537" bestFit="1" customWidth="1"/>
    <col min="15623" max="15872" width="9.140625" style="537"/>
    <col min="15873" max="15873" width="23.28515625" style="537" customWidth="1"/>
    <col min="15874" max="15874" width="11.140625" style="537" customWidth="1"/>
    <col min="15875" max="15875" width="12.140625" style="537" customWidth="1"/>
    <col min="15876" max="15876" width="14.5703125" style="537" customWidth="1"/>
    <col min="15877" max="15877" width="9.140625" style="537"/>
    <col min="15878" max="15878" width="9.7109375" style="537" bestFit="1" customWidth="1"/>
    <col min="15879" max="16128" width="9.140625" style="537"/>
    <col min="16129" max="16129" width="23.28515625" style="537" customWidth="1"/>
    <col min="16130" max="16130" width="11.140625" style="537" customWidth="1"/>
    <col min="16131" max="16131" width="12.140625" style="537" customWidth="1"/>
    <col min="16132" max="16132" width="14.5703125" style="537" customWidth="1"/>
    <col min="16133" max="16133" width="9.140625" style="537"/>
    <col min="16134" max="16134" width="9.7109375" style="537" bestFit="1" customWidth="1"/>
    <col min="16135" max="16384" width="9.140625" style="537"/>
  </cols>
  <sheetData>
    <row r="1" spans="1:8">
      <c r="A1" s="616" t="s">
        <v>342</v>
      </c>
    </row>
    <row r="2" spans="1:8">
      <c r="A2" s="585" t="s">
        <v>847</v>
      </c>
    </row>
    <row r="3" spans="1:8">
      <c r="A3" s="583" t="s">
        <v>576</v>
      </c>
      <c r="H3" s="554"/>
    </row>
    <row r="4" spans="1:8">
      <c r="H4" s="554"/>
    </row>
    <row r="5" spans="1:8">
      <c r="H5" s="554"/>
    </row>
    <row r="6" spans="1:8">
      <c r="H6" s="554"/>
    </row>
    <row r="7" spans="1:8">
      <c r="B7" s="540" t="s">
        <v>335</v>
      </c>
      <c r="C7" s="540" t="s">
        <v>592</v>
      </c>
      <c r="D7" s="540" t="s">
        <v>593</v>
      </c>
      <c r="F7" s="540" t="s">
        <v>594</v>
      </c>
      <c r="H7" s="554"/>
    </row>
    <row r="8" spans="1:8">
      <c r="A8" s="537" t="s">
        <v>595</v>
      </c>
    </row>
    <row r="10" spans="1:8">
      <c r="A10" s="537" t="s">
        <v>596</v>
      </c>
      <c r="B10" s="537">
        <v>0</v>
      </c>
      <c r="C10" s="575">
        <f>F10/12*E10</f>
        <v>722454</v>
      </c>
      <c r="E10" s="537">
        <v>12</v>
      </c>
      <c r="F10" s="576">
        <v>722454</v>
      </c>
    </row>
    <row r="11" spans="1:8">
      <c r="D11" s="577"/>
      <c r="F11" s="576"/>
    </row>
    <row r="12" spans="1:8">
      <c r="A12" s="537" t="s">
        <v>848</v>
      </c>
      <c r="D12" s="577">
        <f>+F12/12*E12</f>
        <v>13680</v>
      </c>
      <c r="E12" s="537">
        <f>+E10</f>
        <v>12</v>
      </c>
      <c r="F12" s="578">
        <v>13680</v>
      </c>
    </row>
    <row r="14" spans="1:8">
      <c r="C14" s="579">
        <f>SUM(C10:C13)</f>
        <v>722454</v>
      </c>
      <c r="D14" s="579">
        <f>SUM(D10:D13)</f>
        <v>13680</v>
      </c>
    </row>
    <row r="15" spans="1:8">
      <c r="A15" s="537" t="s">
        <v>597</v>
      </c>
      <c r="C15" s="580">
        <v>0.36794682690178548</v>
      </c>
      <c r="D15" s="580">
        <v>4.4433144748719511E-2</v>
      </c>
    </row>
    <row r="17" spans="1:4">
      <c r="A17" s="537" t="s">
        <v>335</v>
      </c>
      <c r="B17" s="581">
        <f>SUM(C17:D17)</f>
        <v>266433</v>
      </c>
      <c r="C17" s="579">
        <f>ROUND(C15*C14,0)</f>
        <v>265825</v>
      </c>
      <c r="D17" s="579">
        <f>ROUND(D15*D14,0)</f>
        <v>608</v>
      </c>
    </row>
    <row r="19" spans="1:4">
      <c r="B19" s="543"/>
    </row>
  </sheetData>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3"/>
  <sheetViews>
    <sheetView zoomScaleNormal="100" workbookViewId="0">
      <selection activeCell="K18" sqref="K18"/>
    </sheetView>
  </sheetViews>
  <sheetFormatPr defaultRowHeight="12.75"/>
  <cols>
    <col min="1" max="1" width="17.140625" style="814" customWidth="1"/>
    <col min="2" max="2" width="19.28515625" style="815" customWidth="1"/>
    <col min="3" max="5" width="13" style="815" customWidth="1"/>
    <col min="6" max="6" width="11.85546875" style="815" customWidth="1"/>
    <col min="7" max="7" width="11.42578125" style="815" customWidth="1"/>
    <col min="8" max="16384" width="9.140625" style="815"/>
  </cols>
  <sheetData>
    <row r="1" spans="1:11">
      <c r="A1" s="814" t="s">
        <v>342</v>
      </c>
    </row>
    <row r="2" spans="1:11">
      <c r="A2" s="814" t="s">
        <v>780</v>
      </c>
      <c r="K2" s="835"/>
    </row>
    <row r="3" spans="1:11">
      <c r="A3" s="814" t="s">
        <v>781</v>
      </c>
    </row>
    <row r="5" spans="1:11">
      <c r="A5" s="814" t="s">
        <v>672</v>
      </c>
      <c r="B5" s="816" t="s">
        <v>335</v>
      </c>
      <c r="C5" s="815" t="s">
        <v>782</v>
      </c>
      <c r="D5" s="815" t="s">
        <v>783</v>
      </c>
      <c r="E5" s="815" t="s">
        <v>784</v>
      </c>
      <c r="F5" s="815" t="s">
        <v>782</v>
      </c>
      <c r="G5" s="815" t="s">
        <v>783</v>
      </c>
    </row>
    <row r="7" spans="1:11">
      <c r="A7" s="814" t="s">
        <v>785</v>
      </c>
      <c r="C7" s="817">
        <v>24</v>
      </c>
    </row>
    <row r="9" spans="1:11">
      <c r="A9" s="815" t="s">
        <v>786</v>
      </c>
      <c r="C9" s="815">
        <v>9910505</v>
      </c>
      <c r="D9" s="815">
        <v>261371</v>
      </c>
      <c r="E9" s="815">
        <f>SUM(C9:D9)</f>
        <v>10171876</v>
      </c>
    </row>
    <row r="10" spans="1:11">
      <c r="A10" s="815" t="s">
        <v>787</v>
      </c>
      <c r="C10" s="815">
        <v>6016074</v>
      </c>
      <c r="D10" s="815">
        <v>-1725916.964746</v>
      </c>
      <c r="E10" s="815">
        <f>SUM(C10:D10)</f>
        <v>4290157.0352539998</v>
      </c>
      <c r="F10" s="815">
        <v>6016074</v>
      </c>
      <c r="G10" s="815">
        <v>-1725916.964746</v>
      </c>
    </row>
    <row r="11" spans="1:11">
      <c r="A11" s="814">
        <v>2006</v>
      </c>
      <c r="B11" s="815">
        <v>-452083</v>
      </c>
      <c r="C11" s="815">
        <v>-440467</v>
      </c>
      <c r="D11" s="815">
        <v>-11616</v>
      </c>
      <c r="E11" s="815">
        <v>3838074.0352539998</v>
      </c>
      <c r="F11" s="815">
        <v>5575607</v>
      </c>
      <c r="G11" s="815">
        <v>-1737532.964746</v>
      </c>
    </row>
    <row r="12" spans="1:11">
      <c r="A12" s="814">
        <v>2007</v>
      </c>
      <c r="B12" s="815">
        <v>-422609</v>
      </c>
      <c r="C12" s="815">
        <v>-411750</v>
      </c>
      <c r="D12" s="815">
        <v>-10859</v>
      </c>
      <c r="E12" s="815">
        <v>3415465.0352539998</v>
      </c>
      <c r="F12" s="815">
        <v>5163857</v>
      </c>
      <c r="G12" s="815">
        <v>-1748391.964746</v>
      </c>
    </row>
    <row r="13" spans="1:11">
      <c r="A13" s="814">
        <v>2008</v>
      </c>
      <c r="B13" s="815">
        <v>-155249</v>
      </c>
      <c r="C13" s="815">
        <v>-234721</v>
      </c>
      <c r="D13" s="815">
        <v>79472</v>
      </c>
      <c r="E13" s="815">
        <v>3260216.0352539998</v>
      </c>
      <c r="F13" s="815">
        <v>4929136</v>
      </c>
      <c r="G13" s="815">
        <v>-1668919.964746</v>
      </c>
    </row>
    <row r="14" spans="1:11">
      <c r="A14" s="814">
        <v>2009</v>
      </c>
      <c r="B14" s="815">
        <v>-155249</v>
      </c>
      <c r="C14" s="815">
        <v>-234721</v>
      </c>
      <c r="D14" s="815">
        <v>79472</v>
      </c>
      <c r="E14" s="815">
        <v>3104967.0352539998</v>
      </c>
      <c r="F14" s="815">
        <v>4694415</v>
      </c>
      <c r="G14" s="815">
        <v>-1589447.964746</v>
      </c>
    </row>
    <row r="15" spans="1:11">
      <c r="A15" s="814">
        <v>2010</v>
      </c>
      <c r="B15" s="815">
        <v>-155249</v>
      </c>
      <c r="C15" s="815">
        <v>-234721</v>
      </c>
      <c r="D15" s="815">
        <v>79472</v>
      </c>
      <c r="E15" s="815">
        <v>2949718.0352539998</v>
      </c>
      <c r="F15" s="815">
        <v>4459694</v>
      </c>
      <c r="G15" s="815">
        <v>-1509975.964746</v>
      </c>
    </row>
    <row r="16" spans="1:11">
      <c r="A16" s="814">
        <v>2011</v>
      </c>
      <c r="B16" s="815">
        <v>-155249</v>
      </c>
      <c r="C16" s="815">
        <v>-234721</v>
      </c>
      <c r="D16" s="815">
        <v>79472</v>
      </c>
      <c r="E16" s="815">
        <v>2794469.0352539998</v>
      </c>
      <c r="F16" s="815">
        <v>4224973</v>
      </c>
      <c r="G16" s="815">
        <v>-1430503.964746</v>
      </c>
    </row>
    <row r="18" spans="1:7" ht="38.25">
      <c r="A18" s="818" t="s">
        <v>788</v>
      </c>
      <c r="C18" s="815">
        <v>210414</v>
      </c>
      <c r="D18" s="815">
        <v>-913504</v>
      </c>
      <c r="E18" s="815">
        <f>SUM(F18:G18)</f>
        <v>-703090</v>
      </c>
      <c r="F18" s="815">
        <v>210414</v>
      </c>
      <c r="G18" s="815">
        <v>-913504</v>
      </c>
    </row>
    <row r="19" spans="1:7">
      <c r="A19" s="814">
        <v>2012</v>
      </c>
      <c r="B19" s="819">
        <f t="shared" ref="B19:B36" si="0">SUM(C19:D19)</f>
        <v>39060</v>
      </c>
      <c r="C19" s="815">
        <f>ROUND(-SUM(C$18:C18)/($C$7+$A$11-$A19),0)</f>
        <v>-11690</v>
      </c>
      <c r="D19" s="815">
        <f>ROUND(-SUM(D$18:D18)/($C$7+$A$11-$A19),0)</f>
        <v>50750</v>
      </c>
      <c r="E19" s="815">
        <f>+E18+SUM(C19:D19)</f>
        <v>-664030</v>
      </c>
      <c r="F19" s="815">
        <f>+F18+C19</f>
        <v>198724</v>
      </c>
      <c r="G19" s="815">
        <f>+G18+D19</f>
        <v>-862754</v>
      </c>
    </row>
    <row r="20" spans="1:7">
      <c r="A20" s="814">
        <v>2013</v>
      </c>
      <c r="B20" s="819">
        <f t="shared" si="0"/>
        <v>39060</v>
      </c>
      <c r="C20" s="815">
        <f>ROUND(-SUM(C$18:C19)/($C$7+$A$11-$A20),0)</f>
        <v>-11690</v>
      </c>
      <c r="D20" s="815">
        <f>ROUND(-SUM(D$18:D19)/($C$7+$A$11-$A20),0)</f>
        <v>50750</v>
      </c>
      <c r="E20" s="815">
        <f t="shared" ref="E20:E36" si="1">+E19+SUM(C20:D20)</f>
        <v>-624970</v>
      </c>
      <c r="F20" s="815">
        <f t="shared" ref="F20:G35" si="2">+F19+C20</f>
        <v>187034</v>
      </c>
      <c r="G20" s="815">
        <f t="shared" si="2"/>
        <v>-812004</v>
      </c>
    </row>
    <row r="21" spans="1:7">
      <c r="A21" s="814">
        <v>2014</v>
      </c>
      <c r="B21" s="820">
        <f t="shared" si="0"/>
        <v>39060</v>
      </c>
      <c r="C21" s="815">
        <f>ROUND(-SUM(C$18:C20)/($C$7+$A$11-$A21),0)</f>
        <v>-11690</v>
      </c>
      <c r="D21" s="815">
        <f>ROUND(-SUM(D$18:D20)/($C$7+$A$11-$A21),0)</f>
        <v>50750</v>
      </c>
      <c r="E21" s="815">
        <f t="shared" si="1"/>
        <v>-585910</v>
      </c>
      <c r="F21" s="815">
        <f t="shared" si="2"/>
        <v>175344</v>
      </c>
      <c r="G21" s="815">
        <f t="shared" si="2"/>
        <v>-761254</v>
      </c>
    </row>
    <row r="22" spans="1:7">
      <c r="A22" s="814">
        <v>2015</v>
      </c>
      <c r="B22" s="815">
        <f t="shared" si="0"/>
        <v>39060</v>
      </c>
      <c r="C22" s="815">
        <f>ROUND(-SUM(C$18:C21)/($C$7+$A$11-$A22),0)</f>
        <v>-11690</v>
      </c>
      <c r="D22" s="815">
        <f>ROUND(-SUM(D$18:D21)/($C$7+$A$11-$A22),0)</f>
        <v>50750</v>
      </c>
      <c r="E22" s="815">
        <f t="shared" si="1"/>
        <v>-546850</v>
      </c>
      <c r="F22" s="815">
        <f t="shared" si="2"/>
        <v>163654</v>
      </c>
      <c r="G22" s="815">
        <f t="shared" si="2"/>
        <v>-710504</v>
      </c>
    </row>
    <row r="23" spans="1:7">
      <c r="A23" s="814">
        <v>2016</v>
      </c>
      <c r="B23" s="815">
        <f t="shared" si="0"/>
        <v>39060</v>
      </c>
      <c r="C23" s="815">
        <f>ROUND(-SUM(C$18:C22)/($C$7+$A$11-$A23),0)</f>
        <v>-11690</v>
      </c>
      <c r="D23" s="815">
        <f>ROUND(-SUM(D$18:D22)/($C$7+$A$11-$A23),0)</f>
        <v>50750</v>
      </c>
      <c r="E23" s="815">
        <f t="shared" si="1"/>
        <v>-507790</v>
      </c>
      <c r="F23" s="815">
        <f t="shared" si="2"/>
        <v>151964</v>
      </c>
      <c r="G23" s="815">
        <f t="shared" si="2"/>
        <v>-659754</v>
      </c>
    </row>
    <row r="24" spans="1:7">
      <c r="A24" s="814">
        <v>2017</v>
      </c>
      <c r="B24" s="815">
        <f t="shared" si="0"/>
        <v>39060</v>
      </c>
      <c r="C24" s="815">
        <f>ROUND(-SUM(C$18:C23)/($C$7+$A$11-$A24),0)</f>
        <v>-11690</v>
      </c>
      <c r="D24" s="815">
        <f>ROUND(-SUM(D$18:D23)/($C$7+$A$11-$A24),0)</f>
        <v>50750</v>
      </c>
      <c r="E24" s="815">
        <f t="shared" si="1"/>
        <v>-468730</v>
      </c>
      <c r="F24" s="815">
        <f t="shared" si="2"/>
        <v>140274</v>
      </c>
      <c r="G24" s="815">
        <f t="shared" si="2"/>
        <v>-609004</v>
      </c>
    </row>
    <row r="25" spans="1:7">
      <c r="A25" s="814">
        <v>2018</v>
      </c>
      <c r="B25" s="815">
        <f t="shared" si="0"/>
        <v>39060</v>
      </c>
      <c r="C25" s="815">
        <f>ROUND(-SUM(C$18:C24)/($C$7+$A$11-$A25),0)</f>
        <v>-11690</v>
      </c>
      <c r="D25" s="815">
        <f>ROUND(-SUM(D$18:D24)/($C$7+$A$11-$A25),0)</f>
        <v>50750</v>
      </c>
      <c r="E25" s="815">
        <f t="shared" si="1"/>
        <v>-429670</v>
      </c>
      <c r="F25" s="815">
        <f t="shared" si="2"/>
        <v>128584</v>
      </c>
      <c r="G25" s="815">
        <f t="shared" si="2"/>
        <v>-558254</v>
      </c>
    </row>
    <row r="26" spans="1:7">
      <c r="A26" s="814">
        <v>2019</v>
      </c>
      <c r="B26" s="815">
        <f t="shared" si="0"/>
        <v>39061</v>
      </c>
      <c r="C26" s="815">
        <f>ROUND(-SUM(C$18:C25)/($C$7+$A$11-$A26),0)</f>
        <v>-11689</v>
      </c>
      <c r="D26" s="815">
        <f>ROUND(-SUM(D$18:D25)/($C$7+$A$11-$A26),0)</f>
        <v>50750</v>
      </c>
      <c r="E26" s="815">
        <f t="shared" si="1"/>
        <v>-390609</v>
      </c>
      <c r="F26" s="815">
        <f t="shared" si="2"/>
        <v>116895</v>
      </c>
      <c r="G26" s="815">
        <f t="shared" si="2"/>
        <v>-507504</v>
      </c>
    </row>
    <row r="27" spans="1:7">
      <c r="A27" s="814">
        <v>2020</v>
      </c>
      <c r="B27" s="815">
        <f t="shared" si="0"/>
        <v>39060</v>
      </c>
      <c r="C27" s="815">
        <f>ROUND(-SUM(C$18:C26)/($C$7+$A$11-$A27),0)</f>
        <v>-11690</v>
      </c>
      <c r="D27" s="815">
        <f>ROUND(-SUM(D$18:D26)/($C$7+$A$11-$A27),0)</f>
        <v>50750</v>
      </c>
      <c r="E27" s="815">
        <f t="shared" si="1"/>
        <v>-351549</v>
      </c>
      <c r="F27" s="815">
        <f t="shared" si="2"/>
        <v>105205</v>
      </c>
      <c r="G27" s="815">
        <f t="shared" si="2"/>
        <v>-456754</v>
      </c>
    </row>
    <row r="28" spans="1:7">
      <c r="A28" s="814">
        <v>2021</v>
      </c>
      <c r="B28" s="815">
        <f t="shared" si="0"/>
        <v>39061</v>
      </c>
      <c r="C28" s="815">
        <f>ROUND(-SUM(C$18:C27)/($C$7+$A$11-$A28),0)</f>
        <v>-11689</v>
      </c>
      <c r="D28" s="815">
        <f>ROUND(-SUM(D$18:D27)/($C$7+$A$11-$A28),0)</f>
        <v>50750</v>
      </c>
      <c r="E28" s="815">
        <f t="shared" si="1"/>
        <v>-312488</v>
      </c>
      <c r="F28" s="815">
        <f t="shared" si="2"/>
        <v>93516</v>
      </c>
      <c r="G28" s="815">
        <f t="shared" si="2"/>
        <v>-406004</v>
      </c>
    </row>
    <row r="29" spans="1:7">
      <c r="A29" s="814">
        <v>2022</v>
      </c>
      <c r="B29" s="815">
        <f t="shared" si="0"/>
        <v>39061</v>
      </c>
      <c r="C29" s="815">
        <f>ROUND(-SUM(C$18:C28)/($C$7+$A$11-$A29),0)</f>
        <v>-11690</v>
      </c>
      <c r="D29" s="815">
        <f>ROUND(-SUM(D$18:D28)/($C$7+$A$11-$A29),0)</f>
        <v>50751</v>
      </c>
      <c r="E29" s="815">
        <f t="shared" si="1"/>
        <v>-273427</v>
      </c>
      <c r="F29" s="815">
        <f t="shared" si="2"/>
        <v>81826</v>
      </c>
      <c r="G29" s="815">
        <f t="shared" si="2"/>
        <v>-355253</v>
      </c>
    </row>
    <row r="30" spans="1:7">
      <c r="A30" s="814">
        <v>2023</v>
      </c>
      <c r="B30" s="815">
        <f t="shared" si="0"/>
        <v>39061</v>
      </c>
      <c r="C30" s="815">
        <f>ROUND(-SUM(C$18:C29)/($C$7+$A$11-$A30),0)</f>
        <v>-11689</v>
      </c>
      <c r="D30" s="815">
        <f>ROUND(-SUM(D$18:D29)/($C$7+$A$11-$A30),0)</f>
        <v>50750</v>
      </c>
      <c r="E30" s="815">
        <f t="shared" si="1"/>
        <v>-234366</v>
      </c>
      <c r="F30" s="815">
        <f t="shared" si="2"/>
        <v>70137</v>
      </c>
      <c r="G30" s="815">
        <f t="shared" si="2"/>
        <v>-304503</v>
      </c>
    </row>
    <row r="31" spans="1:7">
      <c r="A31" s="814">
        <v>2024</v>
      </c>
      <c r="B31" s="815">
        <f t="shared" si="0"/>
        <v>39061</v>
      </c>
      <c r="C31" s="815">
        <f>ROUND(-SUM(C$18:C30)/($C$7+$A$11-$A31),0)</f>
        <v>-11690</v>
      </c>
      <c r="D31" s="815">
        <f>ROUND(-SUM(D$18:D30)/($C$7+$A$11-$A31),0)</f>
        <v>50751</v>
      </c>
      <c r="E31" s="815">
        <f t="shared" si="1"/>
        <v>-195305</v>
      </c>
      <c r="F31" s="815">
        <f t="shared" si="2"/>
        <v>58447</v>
      </c>
      <c r="G31" s="815">
        <f t="shared" si="2"/>
        <v>-253752</v>
      </c>
    </row>
    <row r="32" spans="1:7">
      <c r="A32" s="814">
        <v>2025</v>
      </c>
      <c r="B32" s="815">
        <f t="shared" si="0"/>
        <v>39061</v>
      </c>
      <c r="C32" s="815">
        <f>ROUND(-SUM(C$18:C31)/($C$7+$A$11-$A32),0)</f>
        <v>-11689</v>
      </c>
      <c r="D32" s="815">
        <f>ROUND(-SUM(D$18:D31)/($C$7+$A$11-$A32),0)</f>
        <v>50750</v>
      </c>
      <c r="E32" s="815">
        <f t="shared" si="1"/>
        <v>-156244</v>
      </c>
      <c r="F32" s="815">
        <f t="shared" si="2"/>
        <v>46758</v>
      </c>
      <c r="G32" s="815">
        <f t="shared" si="2"/>
        <v>-203002</v>
      </c>
    </row>
    <row r="33" spans="1:7">
      <c r="A33" s="814">
        <v>2026</v>
      </c>
      <c r="B33" s="815">
        <f t="shared" si="0"/>
        <v>39061</v>
      </c>
      <c r="C33" s="815">
        <f>ROUND(-SUM(C$18:C32)/($C$7+$A$11-$A33),0)</f>
        <v>-11690</v>
      </c>
      <c r="D33" s="815">
        <f>ROUND(-SUM(D$18:D32)/($C$7+$A$11-$A33),0)</f>
        <v>50751</v>
      </c>
      <c r="E33" s="815">
        <f t="shared" si="1"/>
        <v>-117183</v>
      </c>
      <c r="F33" s="815">
        <f t="shared" si="2"/>
        <v>35068</v>
      </c>
      <c r="G33" s="815">
        <f t="shared" si="2"/>
        <v>-152251</v>
      </c>
    </row>
    <row r="34" spans="1:7">
      <c r="A34" s="814">
        <v>2027</v>
      </c>
      <c r="B34" s="815">
        <f t="shared" si="0"/>
        <v>39061</v>
      </c>
      <c r="C34" s="815">
        <f>ROUND(-SUM(C$18:C33)/($C$7+$A$11-$A34),0)</f>
        <v>-11689</v>
      </c>
      <c r="D34" s="815">
        <f>ROUND(-SUM(D$18:D33)/($C$7+$A$11-$A34),0)</f>
        <v>50750</v>
      </c>
      <c r="E34" s="815">
        <f t="shared" si="1"/>
        <v>-78122</v>
      </c>
      <c r="F34" s="815">
        <f t="shared" si="2"/>
        <v>23379</v>
      </c>
      <c r="G34" s="815">
        <f t="shared" si="2"/>
        <v>-101501</v>
      </c>
    </row>
    <row r="35" spans="1:7">
      <c r="A35" s="814">
        <v>2028</v>
      </c>
      <c r="B35" s="815">
        <f t="shared" si="0"/>
        <v>39061</v>
      </c>
      <c r="C35" s="815">
        <f>ROUND(-SUM(C$18:C34)/($C$7+$A$11-$A35),0)</f>
        <v>-11690</v>
      </c>
      <c r="D35" s="815">
        <f>ROUND(-SUM(D$18:D34)/($C$7+$A$11-$A35),0)</f>
        <v>50751</v>
      </c>
      <c r="E35" s="815">
        <f t="shared" si="1"/>
        <v>-39061</v>
      </c>
      <c r="F35" s="815">
        <f t="shared" si="2"/>
        <v>11689</v>
      </c>
      <c r="G35" s="815">
        <f t="shared" si="2"/>
        <v>-50750</v>
      </c>
    </row>
    <row r="36" spans="1:7">
      <c r="A36" s="814">
        <v>2029</v>
      </c>
      <c r="B36" s="815">
        <f t="shared" si="0"/>
        <v>39061</v>
      </c>
      <c r="C36" s="815">
        <f>ROUND(-SUM(C$18:C35)/($C$7+$A$11-$A36),0)</f>
        <v>-11689</v>
      </c>
      <c r="D36" s="815">
        <f>ROUND(-SUM(D$18:D35)/($C$7+$A$11-$A36),0)</f>
        <v>50750</v>
      </c>
      <c r="E36" s="815">
        <f t="shared" si="1"/>
        <v>0</v>
      </c>
      <c r="F36" s="815">
        <f t="shared" ref="F36:G36" si="3">+F35+C36</f>
        <v>0</v>
      </c>
      <c r="G36" s="815">
        <f t="shared" si="3"/>
        <v>0</v>
      </c>
    </row>
    <row r="40" spans="1:7">
      <c r="A40" s="815" t="s">
        <v>789</v>
      </c>
    </row>
    <row r="41" spans="1:7">
      <c r="A41" s="815" t="s">
        <v>790</v>
      </c>
    </row>
    <row r="42" spans="1:7">
      <c r="A42" s="814" t="s">
        <v>791</v>
      </c>
    </row>
    <row r="43" spans="1:7">
      <c r="A43" s="814" t="s">
        <v>792</v>
      </c>
    </row>
  </sheetData>
  <printOptions gridLines="1"/>
  <pageMargins left="1.01" right="0.25" top="1" bottom="1" header="0.5" footer="0.5"/>
  <pageSetup scale="93" orientation="portrait" r:id="rId1"/>
  <headerFooter alignWithMargins="0">
    <oddHeader>&amp;R&amp;D  &amp;T</oddHeader>
    <oddFooter>&amp;L&amp;Z&amp;F</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zoomScaleNormal="100" workbookViewId="0">
      <pane xSplit="2" ySplit="2" topLeftCell="C3" activePane="bottomRight" state="frozen"/>
      <selection activeCell="B98" sqref="B98"/>
      <selection pane="topRight" activeCell="B98" sqref="B98"/>
      <selection pane="bottomLeft" activeCell="B98" sqref="B98"/>
      <selection pane="bottomRight" activeCell="G9" sqref="G9"/>
    </sheetView>
  </sheetViews>
  <sheetFormatPr defaultRowHeight="12.75"/>
  <cols>
    <col min="1" max="1" width="57.140625" style="537" bestFit="1" customWidth="1"/>
    <col min="2" max="2" width="12.140625" style="537" customWidth="1"/>
    <col min="3" max="3" width="14.140625" style="537" customWidth="1"/>
    <col min="4" max="4" width="12.85546875" style="537" customWidth="1"/>
    <col min="5" max="5" width="11.42578125" style="537" customWidth="1"/>
    <col min="6" max="6" width="2.28515625" style="537" customWidth="1"/>
    <col min="7" max="7" width="12.85546875" style="537" customWidth="1"/>
    <col min="8" max="8" width="11.85546875" style="537" customWidth="1"/>
    <col min="9" max="9" width="1.7109375" style="537" customWidth="1"/>
    <col min="10" max="10" width="8.28515625" style="537" customWidth="1"/>
    <col min="11" max="11" width="13" style="537" customWidth="1"/>
    <col min="12" max="12" width="11.140625" style="537" customWidth="1"/>
    <col min="13" max="13" width="4.42578125" style="537" customWidth="1"/>
    <col min="14" max="14" width="9.140625" style="537"/>
    <col min="15" max="15" width="10.28515625" style="537" customWidth="1"/>
    <col min="16" max="16" width="11" style="537" customWidth="1"/>
    <col min="17" max="17" width="7.5703125" style="537" customWidth="1"/>
    <col min="18" max="18" width="9.140625" style="537"/>
    <col min="19" max="19" width="11.7109375" style="537" customWidth="1"/>
    <col min="20" max="20" width="12.140625" style="537" bestFit="1" customWidth="1"/>
    <col min="21" max="21" width="7.5703125" style="537" customWidth="1"/>
    <col min="22" max="22" width="9.140625" style="537"/>
    <col min="23" max="23" width="11.7109375" style="537" customWidth="1"/>
    <col min="24" max="24" width="12.140625" style="537" bestFit="1" customWidth="1"/>
    <col min="25" max="25" width="7.5703125" style="537" customWidth="1"/>
    <col min="26" max="26" width="9.140625" style="537"/>
    <col min="27" max="27" width="11.42578125" style="537" customWidth="1"/>
    <col min="28" max="28" width="9.140625" style="537"/>
    <col min="29" max="29" width="10.28515625" style="537" bestFit="1" customWidth="1"/>
    <col min="30" max="30" width="12" style="537" customWidth="1"/>
    <col min="31" max="32" width="9.140625" style="537"/>
    <col min="33" max="33" width="12" style="537" customWidth="1"/>
    <col min="34" max="34" width="11" style="537" customWidth="1"/>
    <col min="35" max="35" width="9.140625" style="537"/>
    <col min="36" max="36" width="12.42578125" style="537" customWidth="1"/>
    <col min="37" max="256" width="9.140625" style="537"/>
    <col min="257" max="257" width="57.140625" style="537" bestFit="1" customWidth="1"/>
    <col min="258" max="258" width="12.140625" style="537" customWidth="1"/>
    <col min="259" max="259" width="14.140625" style="537" customWidth="1"/>
    <col min="260" max="260" width="12.85546875" style="537" customWidth="1"/>
    <col min="261" max="261" width="11.42578125" style="537" customWidth="1"/>
    <col min="262" max="262" width="2.28515625" style="537" customWidth="1"/>
    <col min="263" max="263" width="12.85546875" style="537" customWidth="1"/>
    <col min="264" max="264" width="11.85546875" style="537" customWidth="1"/>
    <col min="265" max="265" width="1.7109375" style="537" customWidth="1"/>
    <col min="266" max="266" width="8.28515625" style="537" customWidth="1"/>
    <col min="267" max="267" width="13" style="537" customWidth="1"/>
    <col min="268" max="268" width="11.140625" style="537" customWidth="1"/>
    <col min="269" max="269" width="4.42578125" style="537" customWidth="1"/>
    <col min="270" max="270" width="9.140625" style="537"/>
    <col min="271" max="271" width="10.28515625" style="537" customWidth="1"/>
    <col min="272" max="272" width="11" style="537" customWidth="1"/>
    <col min="273" max="273" width="7.5703125" style="537" customWidth="1"/>
    <col min="274" max="274" width="9.140625" style="537"/>
    <col min="275" max="275" width="11.7109375" style="537" customWidth="1"/>
    <col min="276" max="276" width="12.140625" style="537" bestFit="1" customWidth="1"/>
    <col min="277" max="277" width="7.5703125" style="537" customWidth="1"/>
    <col min="278" max="278" width="9.140625" style="537"/>
    <col min="279" max="279" width="11.7109375" style="537" customWidth="1"/>
    <col min="280" max="280" width="12.140625" style="537" bestFit="1" customWidth="1"/>
    <col min="281" max="281" width="7.5703125" style="537" customWidth="1"/>
    <col min="282" max="282" width="9.140625" style="537"/>
    <col min="283" max="283" width="11.42578125" style="537" customWidth="1"/>
    <col min="284" max="284" width="9.140625" style="537"/>
    <col min="285" max="285" width="10.28515625" style="537" bestFit="1" customWidth="1"/>
    <col min="286" max="286" width="12" style="537" customWidth="1"/>
    <col min="287" max="288" width="9.140625" style="537"/>
    <col min="289" max="289" width="12" style="537" customWidth="1"/>
    <col min="290" max="290" width="11" style="537" customWidth="1"/>
    <col min="291" max="291" width="9.140625" style="537"/>
    <col min="292" max="292" width="12.42578125" style="537" customWidth="1"/>
    <col min="293" max="512" width="9.140625" style="537"/>
    <col min="513" max="513" width="57.140625" style="537" bestFit="1" customWidth="1"/>
    <col min="514" max="514" width="12.140625" style="537" customWidth="1"/>
    <col min="515" max="515" width="14.140625" style="537" customWidth="1"/>
    <col min="516" max="516" width="12.85546875" style="537" customWidth="1"/>
    <col min="517" max="517" width="11.42578125" style="537" customWidth="1"/>
    <col min="518" max="518" width="2.28515625" style="537" customWidth="1"/>
    <col min="519" max="519" width="12.85546875" style="537" customWidth="1"/>
    <col min="520" max="520" width="11.85546875" style="537" customWidth="1"/>
    <col min="521" max="521" width="1.7109375" style="537" customWidth="1"/>
    <col min="522" max="522" width="8.28515625" style="537" customWidth="1"/>
    <col min="523" max="523" width="13" style="537" customWidth="1"/>
    <col min="524" max="524" width="11.140625" style="537" customWidth="1"/>
    <col min="525" max="525" width="4.42578125" style="537" customWidth="1"/>
    <col min="526" max="526" width="9.140625" style="537"/>
    <col min="527" max="527" width="10.28515625" style="537" customWidth="1"/>
    <col min="528" max="528" width="11" style="537" customWidth="1"/>
    <col min="529" max="529" width="7.5703125" style="537" customWidth="1"/>
    <col min="530" max="530" width="9.140625" style="537"/>
    <col min="531" max="531" width="11.7109375" style="537" customWidth="1"/>
    <col min="532" max="532" width="12.140625" style="537" bestFit="1" customWidth="1"/>
    <col min="533" max="533" width="7.5703125" style="537" customWidth="1"/>
    <col min="534" max="534" width="9.140625" style="537"/>
    <col min="535" max="535" width="11.7109375" style="537" customWidth="1"/>
    <col min="536" max="536" width="12.140625" style="537" bestFit="1" customWidth="1"/>
    <col min="537" max="537" width="7.5703125" style="537" customWidth="1"/>
    <col min="538" max="538" width="9.140625" style="537"/>
    <col min="539" max="539" width="11.42578125" style="537" customWidth="1"/>
    <col min="540" max="540" width="9.140625" style="537"/>
    <col min="541" max="541" width="10.28515625" style="537" bestFit="1" customWidth="1"/>
    <col min="542" max="542" width="12" style="537" customWidth="1"/>
    <col min="543" max="544" width="9.140625" style="537"/>
    <col min="545" max="545" width="12" style="537" customWidth="1"/>
    <col min="546" max="546" width="11" style="537" customWidth="1"/>
    <col min="547" max="547" width="9.140625" style="537"/>
    <col min="548" max="548" width="12.42578125" style="537" customWidth="1"/>
    <col min="549" max="768" width="9.140625" style="537"/>
    <col min="769" max="769" width="57.140625" style="537" bestFit="1" customWidth="1"/>
    <col min="770" max="770" width="12.140625" style="537" customWidth="1"/>
    <col min="771" max="771" width="14.140625" style="537" customWidth="1"/>
    <col min="772" max="772" width="12.85546875" style="537" customWidth="1"/>
    <col min="773" max="773" width="11.42578125" style="537" customWidth="1"/>
    <col min="774" max="774" width="2.28515625" style="537" customWidth="1"/>
    <col min="775" max="775" width="12.85546875" style="537" customWidth="1"/>
    <col min="776" max="776" width="11.85546875" style="537" customWidth="1"/>
    <col min="777" max="777" width="1.7109375" style="537" customWidth="1"/>
    <col min="778" max="778" width="8.28515625" style="537" customWidth="1"/>
    <col min="779" max="779" width="13" style="537" customWidth="1"/>
    <col min="780" max="780" width="11.140625" style="537" customWidth="1"/>
    <col min="781" max="781" width="4.42578125" style="537" customWidth="1"/>
    <col min="782" max="782" width="9.140625" style="537"/>
    <col min="783" max="783" width="10.28515625" style="537" customWidth="1"/>
    <col min="784" max="784" width="11" style="537" customWidth="1"/>
    <col min="785" max="785" width="7.5703125" style="537" customWidth="1"/>
    <col min="786" max="786" width="9.140625" style="537"/>
    <col min="787" max="787" width="11.7109375" style="537" customWidth="1"/>
    <col min="788" max="788" width="12.140625" style="537" bestFit="1" customWidth="1"/>
    <col min="789" max="789" width="7.5703125" style="537" customWidth="1"/>
    <col min="790" max="790" width="9.140625" style="537"/>
    <col min="791" max="791" width="11.7109375" style="537" customWidth="1"/>
    <col min="792" max="792" width="12.140625" style="537" bestFit="1" customWidth="1"/>
    <col min="793" max="793" width="7.5703125" style="537" customWidth="1"/>
    <col min="794" max="794" width="9.140625" style="537"/>
    <col min="795" max="795" width="11.42578125" style="537" customWidth="1"/>
    <col min="796" max="796" width="9.140625" style="537"/>
    <col min="797" max="797" width="10.28515625" style="537" bestFit="1" customWidth="1"/>
    <col min="798" max="798" width="12" style="537" customWidth="1"/>
    <col min="799" max="800" width="9.140625" style="537"/>
    <col min="801" max="801" width="12" style="537" customWidth="1"/>
    <col min="802" max="802" width="11" style="537" customWidth="1"/>
    <col min="803" max="803" width="9.140625" style="537"/>
    <col min="804" max="804" width="12.42578125" style="537" customWidth="1"/>
    <col min="805" max="1024" width="9.140625" style="537"/>
    <col min="1025" max="1025" width="57.140625" style="537" bestFit="1" customWidth="1"/>
    <col min="1026" max="1026" width="12.140625" style="537" customWidth="1"/>
    <col min="1027" max="1027" width="14.140625" style="537" customWidth="1"/>
    <col min="1028" max="1028" width="12.85546875" style="537" customWidth="1"/>
    <col min="1029" max="1029" width="11.42578125" style="537" customWidth="1"/>
    <col min="1030" max="1030" width="2.28515625" style="537" customWidth="1"/>
    <col min="1031" max="1031" width="12.85546875" style="537" customWidth="1"/>
    <col min="1032" max="1032" width="11.85546875" style="537" customWidth="1"/>
    <col min="1033" max="1033" width="1.7109375" style="537" customWidth="1"/>
    <col min="1034" max="1034" width="8.28515625" style="537" customWidth="1"/>
    <col min="1035" max="1035" width="13" style="537" customWidth="1"/>
    <col min="1036" max="1036" width="11.140625" style="537" customWidth="1"/>
    <col min="1037" max="1037" width="4.42578125" style="537" customWidth="1"/>
    <col min="1038" max="1038" width="9.140625" style="537"/>
    <col min="1039" max="1039" width="10.28515625" style="537" customWidth="1"/>
    <col min="1040" max="1040" width="11" style="537" customWidth="1"/>
    <col min="1041" max="1041" width="7.5703125" style="537" customWidth="1"/>
    <col min="1042" max="1042" width="9.140625" style="537"/>
    <col min="1043" max="1043" width="11.7109375" style="537" customWidth="1"/>
    <col min="1044" max="1044" width="12.140625" style="537" bestFit="1" customWidth="1"/>
    <col min="1045" max="1045" width="7.5703125" style="537" customWidth="1"/>
    <col min="1046" max="1046" width="9.140625" style="537"/>
    <col min="1047" max="1047" width="11.7109375" style="537" customWidth="1"/>
    <col min="1048" max="1048" width="12.140625" style="537" bestFit="1" customWidth="1"/>
    <col min="1049" max="1049" width="7.5703125" style="537" customWidth="1"/>
    <col min="1050" max="1050" width="9.140625" style="537"/>
    <col min="1051" max="1051" width="11.42578125" style="537" customWidth="1"/>
    <col min="1052" max="1052" width="9.140625" style="537"/>
    <col min="1053" max="1053" width="10.28515625" style="537" bestFit="1" customWidth="1"/>
    <col min="1054" max="1054" width="12" style="537" customWidth="1"/>
    <col min="1055" max="1056" width="9.140625" style="537"/>
    <col min="1057" max="1057" width="12" style="537" customWidth="1"/>
    <col min="1058" max="1058" width="11" style="537" customWidth="1"/>
    <col min="1059" max="1059" width="9.140625" style="537"/>
    <col min="1060" max="1060" width="12.42578125" style="537" customWidth="1"/>
    <col min="1061" max="1280" width="9.140625" style="537"/>
    <col min="1281" max="1281" width="57.140625" style="537" bestFit="1" customWidth="1"/>
    <col min="1282" max="1282" width="12.140625" style="537" customWidth="1"/>
    <col min="1283" max="1283" width="14.140625" style="537" customWidth="1"/>
    <col min="1284" max="1284" width="12.85546875" style="537" customWidth="1"/>
    <col min="1285" max="1285" width="11.42578125" style="537" customWidth="1"/>
    <col min="1286" max="1286" width="2.28515625" style="537" customWidth="1"/>
    <col min="1287" max="1287" width="12.85546875" style="537" customWidth="1"/>
    <col min="1288" max="1288" width="11.85546875" style="537" customWidth="1"/>
    <col min="1289" max="1289" width="1.7109375" style="537" customWidth="1"/>
    <col min="1290" max="1290" width="8.28515625" style="537" customWidth="1"/>
    <col min="1291" max="1291" width="13" style="537" customWidth="1"/>
    <col min="1292" max="1292" width="11.140625" style="537" customWidth="1"/>
    <col min="1293" max="1293" width="4.42578125" style="537" customWidth="1"/>
    <col min="1294" max="1294" width="9.140625" style="537"/>
    <col min="1295" max="1295" width="10.28515625" style="537" customWidth="1"/>
    <col min="1296" max="1296" width="11" style="537" customWidth="1"/>
    <col min="1297" max="1297" width="7.5703125" style="537" customWidth="1"/>
    <col min="1298" max="1298" width="9.140625" style="537"/>
    <col min="1299" max="1299" width="11.7109375" style="537" customWidth="1"/>
    <col min="1300" max="1300" width="12.140625" style="537" bestFit="1" customWidth="1"/>
    <col min="1301" max="1301" width="7.5703125" style="537" customWidth="1"/>
    <col min="1302" max="1302" width="9.140625" style="537"/>
    <col min="1303" max="1303" width="11.7109375" style="537" customWidth="1"/>
    <col min="1304" max="1304" width="12.140625" style="537" bestFit="1" customWidth="1"/>
    <col min="1305" max="1305" width="7.5703125" style="537" customWidth="1"/>
    <col min="1306" max="1306" width="9.140625" style="537"/>
    <col min="1307" max="1307" width="11.42578125" style="537" customWidth="1"/>
    <col min="1308" max="1308" width="9.140625" style="537"/>
    <col min="1309" max="1309" width="10.28515625" style="537" bestFit="1" customWidth="1"/>
    <col min="1310" max="1310" width="12" style="537" customWidth="1"/>
    <col min="1311" max="1312" width="9.140625" style="537"/>
    <col min="1313" max="1313" width="12" style="537" customWidth="1"/>
    <col min="1314" max="1314" width="11" style="537" customWidth="1"/>
    <col min="1315" max="1315" width="9.140625" style="537"/>
    <col min="1316" max="1316" width="12.42578125" style="537" customWidth="1"/>
    <col min="1317" max="1536" width="9.140625" style="537"/>
    <col min="1537" max="1537" width="57.140625" style="537" bestFit="1" customWidth="1"/>
    <col min="1538" max="1538" width="12.140625" style="537" customWidth="1"/>
    <col min="1539" max="1539" width="14.140625" style="537" customWidth="1"/>
    <col min="1540" max="1540" width="12.85546875" style="537" customWidth="1"/>
    <col min="1541" max="1541" width="11.42578125" style="537" customWidth="1"/>
    <col min="1542" max="1542" width="2.28515625" style="537" customWidth="1"/>
    <col min="1543" max="1543" width="12.85546875" style="537" customWidth="1"/>
    <col min="1544" max="1544" width="11.85546875" style="537" customWidth="1"/>
    <col min="1545" max="1545" width="1.7109375" style="537" customWidth="1"/>
    <col min="1546" max="1546" width="8.28515625" style="537" customWidth="1"/>
    <col min="1547" max="1547" width="13" style="537" customWidth="1"/>
    <col min="1548" max="1548" width="11.140625" style="537" customWidth="1"/>
    <col min="1549" max="1549" width="4.42578125" style="537" customWidth="1"/>
    <col min="1550" max="1550" width="9.140625" style="537"/>
    <col min="1551" max="1551" width="10.28515625" style="537" customWidth="1"/>
    <col min="1552" max="1552" width="11" style="537" customWidth="1"/>
    <col min="1553" max="1553" width="7.5703125" style="537" customWidth="1"/>
    <col min="1554" max="1554" width="9.140625" style="537"/>
    <col min="1555" max="1555" width="11.7109375" style="537" customWidth="1"/>
    <col min="1556" max="1556" width="12.140625" style="537" bestFit="1" customWidth="1"/>
    <col min="1557" max="1557" width="7.5703125" style="537" customWidth="1"/>
    <col min="1558" max="1558" width="9.140625" style="537"/>
    <col min="1559" max="1559" width="11.7109375" style="537" customWidth="1"/>
    <col min="1560" max="1560" width="12.140625" style="537" bestFit="1" customWidth="1"/>
    <col min="1561" max="1561" width="7.5703125" style="537" customWidth="1"/>
    <col min="1562" max="1562" width="9.140625" style="537"/>
    <col min="1563" max="1563" width="11.42578125" style="537" customWidth="1"/>
    <col min="1564" max="1564" width="9.140625" style="537"/>
    <col min="1565" max="1565" width="10.28515625" style="537" bestFit="1" customWidth="1"/>
    <col min="1566" max="1566" width="12" style="537" customWidth="1"/>
    <col min="1567" max="1568" width="9.140625" style="537"/>
    <col min="1569" max="1569" width="12" style="537" customWidth="1"/>
    <col min="1570" max="1570" width="11" style="537" customWidth="1"/>
    <col min="1571" max="1571" width="9.140625" style="537"/>
    <col min="1572" max="1572" width="12.42578125" style="537" customWidth="1"/>
    <col min="1573" max="1792" width="9.140625" style="537"/>
    <col min="1793" max="1793" width="57.140625" style="537" bestFit="1" customWidth="1"/>
    <col min="1794" max="1794" width="12.140625" style="537" customWidth="1"/>
    <col min="1795" max="1795" width="14.140625" style="537" customWidth="1"/>
    <col min="1796" max="1796" width="12.85546875" style="537" customWidth="1"/>
    <col min="1797" max="1797" width="11.42578125" style="537" customWidth="1"/>
    <col min="1798" max="1798" width="2.28515625" style="537" customWidth="1"/>
    <col min="1799" max="1799" width="12.85546875" style="537" customWidth="1"/>
    <col min="1800" max="1800" width="11.85546875" style="537" customWidth="1"/>
    <col min="1801" max="1801" width="1.7109375" style="537" customWidth="1"/>
    <col min="1802" max="1802" width="8.28515625" style="537" customWidth="1"/>
    <col min="1803" max="1803" width="13" style="537" customWidth="1"/>
    <col min="1804" max="1804" width="11.140625" style="537" customWidth="1"/>
    <col min="1805" max="1805" width="4.42578125" style="537" customWidth="1"/>
    <col min="1806" max="1806" width="9.140625" style="537"/>
    <col min="1807" max="1807" width="10.28515625" style="537" customWidth="1"/>
    <col min="1808" max="1808" width="11" style="537" customWidth="1"/>
    <col min="1809" max="1809" width="7.5703125" style="537" customWidth="1"/>
    <col min="1810" max="1810" width="9.140625" style="537"/>
    <col min="1811" max="1811" width="11.7109375" style="537" customWidth="1"/>
    <col min="1812" max="1812" width="12.140625" style="537" bestFit="1" customWidth="1"/>
    <col min="1813" max="1813" width="7.5703125" style="537" customWidth="1"/>
    <col min="1814" max="1814" width="9.140625" style="537"/>
    <col min="1815" max="1815" width="11.7109375" style="537" customWidth="1"/>
    <col min="1816" max="1816" width="12.140625" style="537" bestFit="1" customWidth="1"/>
    <col min="1817" max="1817" width="7.5703125" style="537" customWidth="1"/>
    <col min="1818" max="1818" width="9.140625" style="537"/>
    <col min="1819" max="1819" width="11.42578125" style="537" customWidth="1"/>
    <col min="1820" max="1820" width="9.140625" style="537"/>
    <col min="1821" max="1821" width="10.28515625" style="537" bestFit="1" customWidth="1"/>
    <col min="1822" max="1822" width="12" style="537" customWidth="1"/>
    <col min="1823" max="1824" width="9.140625" style="537"/>
    <col min="1825" max="1825" width="12" style="537" customWidth="1"/>
    <col min="1826" max="1826" width="11" style="537" customWidth="1"/>
    <col min="1827" max="1827" width="9.140625" style="537"/>
    <col min="1828" max="1828" width="12.42578125" style="537" customWidth="1"/>
    <col min="1829" max="2048" width="9.140625" style="537"/>
    <col min="2049" max="2049" width="57.140625" style="537" bestFit="1" customWidth="1"/>
    <col min="2050" max="2050" width="12.140625" style="537" customWidth="1"/>
    <col min="2051" max="2051" width="14.140625" style="537" customWidth="1"/>
    <col min="2052" max="2052" width="12.85546875" style="537" customWidth="1"/>
    <col min="2053" max="2053" width="11.42578125" style="537" customWidth="1"/>
    <col min="2054" max="2054" width="2.28515625" style="537" customWidth="1"/>
    <col min="2055" max="2055" width="12.85546875" style="537" customWidth="1"/>
    <col min="2056" max="2056" width="11.85546875" style="537" customWidth="1"/>
    <col min="2057" max="2057" width="1.7109375" style="537" customWidth="1"/>
    <col min="2058" max="2058" width="8.28515625" style="537" customWidth="1"/>
    <col min="2059" max="2059" width="13" style="537" customWidth="1"/>
    <col min="2060" max="2060" width="11.140625" style="537" customWidth="1"/>
    <col min="2061" max="2061" width="4.42578125" style="537" customWidth="1"/>
    <col min="2062" max="2062" width="9.140625" style="537"/>
    <col min="2063" max="2063" width="10.28515625" style="537" customWidth="1"/>
    <col min="2064" max="2064" width="11" style="537" customWidth="1"/>
    <col min="2065" max="2065" width="7.5703125" style="537" customWidth="1"/>
    <col min="2066" max="2066" width="9.140625" style="537"/>
    <col min="2067" max="2067" width="11.7109375" style="537" customWidth="1"/>
    <col min="2068" max="2068" width="12.140625" style="537" bestFit="1" customWidth="1"/>
    <col min="2069" max="2069" width="7.5703125" style="537" customWidth="1"/>
    <col min="2070" max="2070" width="9.140625" style="537"/>
    <col min="2071" max="2071" width="11.7109375" style="537" customWidth="1"/>
    <col min="2072" max="2072" width="12.140625" style="537" bestFit="1" customWidth="1"/>
    <col min="2073" max="2073" width="7.5703125" style="537" customWidth="1"/>
    <col min="2074" max="2074" width="9.140625" style="537"/>
    <col min="2075" max="2075" width="11.42578125" style="537" customWidth="1"/>
    <col min="2076" max="2076" width="9.140625" style="537"/>
    <col min="2077" max="2077" width="10.28515625" style="537" bestFit="1" customWidth="1"/>
    <col min="2078" max="2078" width="12" style="537" customWidth="1"/>
    <col min="2079" max="2080" width="9.140625" style="537"/>
    <col min="2081" max="2081" width="12" style="537" customWidth="1"/>
    <col min="2082" max="2082" width="11" style="537" customWidth="1"/>
    <col min="2083" max="2083" width="9.140625" style="537"/>
    <col min="2084" max="2084" width="12.42578125" style="537" customWidth="1"/>
    <col min="2085" max="2304" width="9.140625" style="537"/>
    <col min="2305" max="2305" width="57.140625" style="537" bestFit="1" customWidth="1"/>
    <col min="2306" max="2306" width="12.140625" style="537" customWidth="1"/>
    <col min="2307" max="2307" width="14.140625" style="537" customWidth="1"/>
    <col min="2308" max="2308" width="12.85546875" style="537" customWidth="1"/>
    <col min="2309" max="2309" width="11.42578125" style="537" customWidth="1"/>
    <col min="2310" max="2310" width="2.28515625" style="537" customWidth="1"/>
    <col min="2311" max="2311" width="12.85546875" style="537" customWidth="1"/>
    <col min="2312" max="2312" width="11.85546875" style="537" customWidth="1"/>
    <col min="2313" max="2313" width="1.7109375" style="537" customWidth="1"/>
    <col min="2314" max="2314" width="8.28515625" style="537" customWidth="1"/>
    <col min="2315" max="2315" width="13" style="537" customWidth="1"/>
    <col min="2316" max="2316" width="11.140625" style="537" customWidth="1"/>
    <col min="2317" max="2317" width="4.42578125" style="537" customWidth="1"/>
    <col min="2318" max="2318" width="9.140625" style="537"/>
    <col min="2319" max="2319" width="10.28515625" style="537" customWidth="1"/>
    <col min="2320" max="2320" width="11" style="537" customWidth="1"/>
    <col min="2321" max="2321" width="7.5703125" style="537" customWidth="1"/>
    <col min="2322" max="2322" width="9.140625" style="537"/>
    <col min="2323" max="2323" width="11.7109375" style="537" customWidth="1"/>
    <col min="2324" max="2324" width="12.140625" style="537" bestFit="1" customWidth="1"/>
    <col min="2325" max="2325" width="7.5703125" style="537" customWidth="1"/>
    <col min="2326" max="2326" width="9.140625" style="537"/>
    <col min="2327" max="2327" width="11.7109375" style="537" customWidth="1"/>
    <col min="2328" max="2328" width="12.140625" style="537" bestFit="1" customWidth="1"/>
    <col min="2329" max="2329" width="7.5703125" style="537" customWidth="1"/>
    <col min="2330" max="2330" width="9.140625" style="537"/>
    <col min="2331" max="2331" width="11.42578125" style="537" customWidth="1"/>
    <col min="2332" max="2332" width="9.140625" style="537"/>
    <col min="2333" max="2333" width="10.28515625" style="537" bestFit="1" customWidth="1"/>
    <col min="2334" max="2334" width="12" style="537" customWidth="1"/>
    <col min="2335" max="2336" width="9.140625" style="537"/>
    <col min="2337" max="2337" width="12" style="537" customWidth="1"/>
    <col min="2338" max="2338" width="11" style="537" customWidth="1"/>
    <col min="2339" max="2339" width="9.140625" style="537"/>
    <col min="2340" max="2340" width="12.42578125" style="537" customWidth="1"/>
    <col min="2341" max="2560" width="9.140625" style="537"/>
    <col min="2561" max="2561" width="57.140625" style="537" bestFit="1" customWidth="1"/>
    <col min="2562" max="2562" width="12.140625" style="537" customWidth="1"/>
    <col min="2563" max="2563" width="14.140625" style="537" customWidth="1"/>
    <col min="2564" max="2564" width="12.85546875" style="537" customWidth="1"/>
    <col min="2565" max="2565" width="11.42578125" style="537" customWidth="1"/>
    <col min="2566" max="2566" width="2.28515625" style="537" customWidth="1"/>
    <col min="2567" max="2567" width="12.85546875" style="537" customWidth="1"/>
    <col min="2568" max="2568" width="11.85546875" style="537" customWidth="1"/>
    <col min="2569" max="2569" width="1.7109375" style="537" customWidth="1"/>
    <col min="2570" max="2570" width="8.28515625" style="537" customWidth="1"/>
    <col min="2571" max="2571" width="13" style="537" customWidth="1"/>
    <col min="2572" max="2572" width="11.140625" style="537" customWidth="1"/>
    <col min="2573" max="2573" width="4.42578125" style="537" customWidth="1"/>
    <col min="2574" max="2574" width="9.140625" style="537"/>
    <col min="2575" max="2575" width="10.28515625" style="537" customWidth="1"/>
    <col min="2576" max="2576" width="11" style="537" customWidth="1"/>
    <col min="2577" max="2577" width="7.5703125" style="537" customWidth="1"/>
    <col min="2578" max="2578" width="9.140625" style="537"/>
    <col min="2579" max="2579" width="11.7109375" style="537" customWidth="1"/>
    <col min="2580" max="2580" width="12.140625" style="537" bestFit="1" customWidth="1"/>
    <col min="2581" max="2581" width="7.5703125" style="537" customWidth="1"/>
    <col min="2582" max="2582" width="9.140625" style="537"/>
    <col min="2583" max="2583" width="11.7109375" style="537" customWidth="1"/>
    <col min="2584" max="2584" width="12.140625" style="537" bestFit="1" customWidth="1"/>
    <col min="2585" max="2585" width="7.5703125" style="537" customWidth="1"/>
    <col min="2586" max="2586" width="9.140625" style="537"/>
    <col min="2587" max="2587" width="11.42578125" style="537" customWidth="1"/>
    <col min="2588" max="2588" width="9.140625" style="537"/>
    <col min="2589" max="2589" width="10.28515625" style="537" bestFit="1" customWidth="1"/>
    <col min="2590" max="2590" width="12" style="537" customWidth="1"/>
    <col min="2591" max="2592" width="9.140625" style="537"/>
    <col min="2593" max="2593" width="12" style="537" customWidth="1"/>
    <col min="2594" max="2594" width="11" style="537" customWidth="1"/>
    <col min="2595" max="2595" width="9.140625" style="537"/>
    <col min="2596" max="2596" width="12.42578125" style="537" customWidth="1"/>
    <col min="2597" max="2816" width="9.140625" style="537"/>
    <col min="2817" max="2817" width="57.140625" style="537" bestFit="1" customWidth="1"/>
    <col min="2818" max="2818" width="12.140625" style="537" customWidth="1"/>
    <col min="2819" max="2819" width="14.140625" style="537" customWidth="1"/>
    <col min="2820" max="2820" width="12.85546875" style="537" customWidth="1"/>
    <col min="2821" max="2821" width="11.42578125" style="537" customWidth="1"/>
    <col min="2822" max="2822" width="2.28515625" style="537" customWidth="1"/>
    <col min="2823" max="2823" width="12.85546875" style="537" customWidth="1"/>
    <col min="2824" max="2824" width="11.85546875" style="537" customWidth="1"/>
    <col min="2825" max="2825" width="1.7109375" style="537" customWidth="1"/>
    <col min="2826" max="2826" width="8.28515625" style="537" customWidth="1"/>
    <col min="2827" max="2827" width="13" style="537" customWidth="1"/>
    <col min="2828" max="2828" width="11.140625" style="537" customWidth="1"/>
    <col min="2829" max="2829" width="4.42578125" style="537" customWidth="1"/>
    <col min="2830" max="2830" width="9.140625" style="537"/>
    <col min="2831" max="2831" width="10.28515625" style="537" customWidth="1"/>
    <col min="2832" max="2832" width="11" style="537" customWidth="1"/>
    <col min="2833" max="2833" width="7.5703125" style="537" customWidth="1"/>
    <col min="2834" max="2834" width="9.140625" style="537"/>
    <col min="2835" max="2835" width="11.7109375" style="537" customWidth="1"/>
    <col min="2836" max="2836" width="12.140625" style="537" bestFit="1" customWidth="1"/>
    <col min="2837" max="2837" width="7.5703125" style="537" customWidth="1"/>
    <col min="2838" max="2838" width="9.140625" style="537"/>
    <col min="2839" max="2839" width="11.7109375" style="537" customWidth="1"/>
    <col min="2840" max="2840" width="12.140625" style="537" bestFit="1" customWidth="1"/>
    <col min="2841" max="2841" width="7.5703125" style="537" customWidth="1"/>
    <col min="2842" max="2842" width="9.140625" style="537"/>
    <col min="2843" max="2843" width="11.42578125" style="537" customWidth="1"/>
    <col min="2844" max="2844" width="9.140625" style="537"/>
    <col min="2845" max="2845" width="10.28515625" style="537" bestFit="1" customWidth="1"/>
    <col min="2846" max="2846" width="12" style="537" customWidth="1"/>
    <col min="2847" max="2848" width="9.140625" style="537"/>
    <col min="2849" max="2849" width="12" style="537" customWidth="1"/>
    <col min="2850" max="2850" width="11" style="537" customWidth="1"/>
    <col min="2851" max="2851" width="9.140625" style="537"/>
    <col min="2852" max="2852" width="12.42578125" style="537" customWidth="1"/>
    <col min="2853" max="3072" width="9.140625" style="537"/>
    <col min="3073" max="3073" width="57.140625" style="537" bestFit="1" customWidth="1"/>
    <col min="3074" max="3074" width="12.140625" style="537" customWidth="1"/>
    <col min="3075" max="3075" width="14.140625" style="537" customWidth="1"/>
    <col min="3076" max="3076" width="12.85546875" style="537" customWidth="1"/>
    <col min="3077" max="3077" width="11.42578125" style="537" customWidth="1"/>
    <col min="3078" max="3078" width="2.28515625" style="537" customWidth="1"/>
    <col min="3079" max="3079" width="12.85546875" style="537" customWidth="1"/>
    <col min="3080" max="3080" width="11.85546875" style="537" customWidth="1"/>
    <col min="3081" max="3081" width="1.7109375" style="537" customWidth="1"/>
    <col min="3082" max="3082" width="8.28515625" style="537" customWidth="1"/>
    <col min="3083" max="3083" width="13" style="537" customWidth="1"/>
    <col min="3084" max="3084" width="11.140625" style="537" customWidth="1"/>
    <col min="3085" max="3085" width="4.42578125" style="537" customWidth="1"/>
    <col min="3086" max="3086" width="9.140625" style="537"/>
    <col min="3087" max="3087" width="10.28515625" style="537" customWidth="1"/>
    <col min="3088" max="3088" width="11" style="537" customWidth="1"/>
    <col min="3089" max="3089" width="7.5703125" style="537" customWidth="1"/>
    <col min="3090" max="3090" width="9.140625" style="537"/>
    <col min="3091" max="3091" width="11.7109375" style="537" customWidth="1"/>
    <col min="3092" max="3092" width="12.140625" style="537" bestFit="1" customWidth="1"/>
    <col min="3093" max="3093" width="7.5703125" style="537" customWidth="1"/>
    <col min="3094" max="3094" width="9.140625" style="537"/>
    <col min="3095" max="3095" width="11.7109375" style="537" customWidth="1"/>
    <col min="3096" max="3096" width="12.140625" style="537" bestFit="1" customWidth="1"/>
    <col min="3097" max="3097" width="7.5703125" style="537" customWidth="1"/>
    <col min="3098" max="3098" width="9.140625" style="537"/>
    <col min="3099" max="3099" width="11.42578125" style="537" customWidth="1"/>
    <col min="3100" max="3100" width="9.140625" style="537"/>
    <col min="3101" max="3101" width="10.28515625" style="537" bestFit="1" customWidth="1"/>
    <col min="3102" max="3102" width="12" style="537" customWidth="1"/>
    <col min="3103" max="3104" width="9.140625" style="537"/>
    <col min="3105" max="3105" width="12" style="537" customWidth="1"/>
    <col min="3106" max="3106" width="11" style="537" customWidth="1"/>
    <col min="3107" max="3107" width="9.140625" style="537"/>
    <col min="3108" max="3108" width="12.42578125" style="537" customWidth="1"/>
    <col min="3109" max="3328" width="9.140625" style="537"/>
    <col min="3329" max="3329" width="57.140625" style="537" bestFit="1" customWidth="1"/>
    <col min="3330" max="3330" width="12.140625" style="537" customWidth="1"/>
    <col min="3331" max="3331" width="14.140625" style="537" customWidth="1"/>
    <col min="3332" max="3332" width="12.85546875" style="537" customWidth="1"/>
    <col min="3333" max="3333" width="11.42578125" style="537" customWidth="1"/>
    <col min="3334" max="3334" width="2.28515625" style="537" customWidth="1"/>
    <col min="3335" max="3335" width="12.85546875" style="537" customWidth="1"/>
    <col min="3336" max="3336" width="11.85546875" style="537" customWidth="1"/>
    <col min="3337" max="3337" width="1.7109375" style="537" customWidth="1"/>
    <col min="3338" max="3338" width="8.28515625" style="537" customWidth="1"/>
    <col min="3339" max="3339" width="13" style="537" customWidth="1"/>
    <col min="3340" max="3340" width="11.140625" style="537" customWidth="1"/>
    <col min="3341" max="3341" width="4.42578125" style="537" customWidth="1"/>
    <col min="3342" max="3342" width="9.140625" style="537"/>
    <col min="3343" max="3343" width="10.28515625" style="537" customWidth="1"/>
    <col min="3344" max="3344" width="11" style="537" customWidth="1"/>
    <col min="3345" max="3345" width="7.5703125" style="537" customWidth="1"/>
    <col min="3346" max="3346" width="9.140625" style="537"/>
    <col min="3347" max="3347" width="11.7109375" style="537" customWidth="1"/>
    <col min="3348" max="3348" width="12.140625" style="537" bestFit="1" customWidth="1"/>
    <col min="3349" max="3349" width="7.5703125" style="537" customWidth="1"/>
    <col min="3350" max="3350" width="9.140625" style="537"/>
    <col min="3351" max="3351" width="11.7109375" style="537" customWidth="1"/>
    <col min="3352" max="3352" width="12.140625" style="537" bestFit="1" customWidth="1"/>
    <col min="3353" max="3353" width="7.5703125" style="537" customWidth="1"/>
    <col min="3354" max="3354" width="9.140625" style="537"/>
    <col min="3355" max="3355" width="11.42578125" style="537" customWidth="1"/>
    <col min="3356" max="3356" width="9.140625" style="537"/>
    <col min="3357" max="3357" width="10.28515625" style="537" bestFit="1" customWidth="1"/>
    <col min="3358" max="3358" width="12" style="537" customWidth="1"/>
    <col min="3359" max="3360" width="9.140625" style="537"/>
    <col min="3361" max="3361" width="12" style="537" customWidth="1"/>
    <col min="3362" max="3362" width="11" style="537" customWidth="1"/>
    <col min="3363" max="3363" width="9.140625" style="537"/>
    <col min="3364" max="3364" width="12.42578125" style="537" customWidth="1"/>
    <col min="3365" max="3584" width="9.140625" style="537"/>
    <col min="3585" max="3585" width="57.140625" style="537" bestFit="1" customWidth="1"/>
    <col min="3586" max="3586" width="12.140625" style="537" customWidth="1"/>
    <col min="3587" max="3587" width="14.140625" style="537" customWidth="1"/>
    <col min="3588" max="3588" width="12.85546875" style="537" customWidth="1"/>
    <col min="3589" max="3589" width="11.42578125" style="537" customWidth="1"/>
    <col min="3590" max="3590" width="2.28515625" style="537" customWidth="1"/>
    <col min="3591" max="3591" width="12.85546875" style="537" customWidth="1"/>
    <col min="3592" max="3592" width="11.85546875" style="537" customWidth="1"/>
    <col min="3593" max="3593" width="1.7109375" style="537" customWidth="1"/>
    <col min="3594" max="3594" width="8.28515625" style="537" customWidth="1"/>
    <col min="3595" max="3595" width="13" style="537" customWidth="1"/>
    <col min="3596" max="3596" width="11.140625" style="537" customWidth="1"/>
    <col min="3597" max="3597" width="4.42578125" style="537" customWidth="1"/>
    <col min="3598" max="3598" width="9.140625" style="537"/>
    <col min="3599" max="3599" width="10.28515625" style="537" customWidth="1"/>
    <col min="3600" max="3600" width="11" style="537" customWidth="1"/>
    <col min="3601" max="3601" width="7.5703125" style="537" customWidth="1"/>
    <col min="3602" max="3602" width="9.140625" style="537"/>
    <col min="3603" max="3603" width="11.7109375" style="537" customWidth="1"/>
    <col min="3604" max="3604" width="12.140625" style="537" bestFit="1" customWidth="1"/>
    <col min="3605" max="3605" width="7.5703125" style="537" customWidth="1"/>
    <col min="3606" max="3606" width="9.140625" style="537"/>
    <col min="3607" max="3607" width="11.7109375" style="537" customWidth="1"/>
    <col min="3608" max="3608" width="12.140625" style="537" bestFit="1" customWidth="1"/>
    <col min="3609" max="3609" width="7.5703125" style="537" customWidth="1"/>
    <col min="3610" max="3610" width="9.140625" style="537"/>
    <col min="3611" max="3611" width="11.42578125" style="537" customWidth="1"/>
    <col min="3612" max="3612" width="9.140625" style="537"/>
    <col min="3613" max="3613" width="10.28515625" style="537" bestFit="1" customWidth="1"/>
    <col min="3614" max="3614" width="12" style="537" customWidth="1"/>
    <col min="3615" max="3616" width="9.140625" style="537"/>
    <col min="3617" max="3617" width="12" style="537" customWidth="1"/>
    <col min="3618" max="3618" width="11" style="537" customWidth="1"/>
    <col min="3619" max="3619" width="9.140625" style="537"/>
    <col min="3620" max="3620" width="12.42578125" style="537" customWidth="1"/>
    <col min="3621" max="3840" width="9.140625" style="537"/>
    <col min="3841" max="3841" width="57.140625" style="537" bestFit="1" customWidth="1"/>
    <col min="3842" max="3842" width="12.140625" style="537" customWidth="1"/>
    <col min="3843" max="3843" width="14.140625" style="537" customWidth="1"/>
    <col min="3844" max="3844" width="12.85546875" style="537" customWidth="1"/>
    <col min="3845" max="3845" width="11.42578125" style="537" customWidth="1"/>
    <col min="3846" max="3846" width="2.28515625" style="537" customWidth="1"/>
    <col min="3847" max="3847" width="12.85546875" style="537" customWidth="1"/>
    <col min="3848" max="3848" width="11.85546875" style="537" customWidth="1"/>
    <col min="3849" max="3849" width="1.7109375" style="537" customWidth="1"/>
    <col min="3850" max="3850" width="8.28515625" style="537" customWidth="1"/>
    <col min="3851" max="3851" width="13" style="537" customWidth="1"/>
    <col min="3852" max="3852" width="11.140625" style="537" customWidth="1"/>
    <col min="3853" max="3853" width="4.42578125" style="537" customWidth="1"/>
    <col min="3854" max="3854" width="9.140625" style="537"/>
    <col min="3855" max="3855" width="10.28515625" style="537" customWidth="1"/>
    <col min="3856" max="3856" width="11" style="537" customWidth="1"/>
    <col min="3857" max="3857" width="7.5703125" style="537" customWidth="1"/>
    <col min="3858" max="3858" width="9.140625" style="537"/>
    <col min="3859" max="3859" width="11.7109375" style="537" customWidth="1"/>
    <col min="3860" max="3860" width="12.140625" style="537" bestFit="1" customWidth="1"/>
    <col min="3861" max="3861" width="7.5703125" style="537" customWidth="1"/>
    <col min="3862" max="3862" width="9.140625" style="537"/>
    <col min="3863" max="3863" width="11.7109375" style="537" customWidth="1"/>
    <col min="3864" max="3864" width="12.140625" style="537" bestFit="1" customWidth="1"/>
    <col min="3865" max="3865" width="7.5703125" style="537" customWidth="1"/>
    <col min="3866" max="3866" width="9.140625" style="537"/>
    <col min="3867" max="3867" width="11.42578125" style="537" customWidth="1"/>
    <col min="3868" max="3868" width="9.140625" style="537"/>
    <col min="3869" max="3869" width="10.28515625" style="537" bestFit="1" customWidth="1"/>
    <col min="3870" max="3870" width="12" style="537" customWidth="1"/>
    <col min="3871" max="3872" width="9.140625" style="537"/>
    <col min="3873" max="3873" width="12" style="537" customWidth="1"/>
    <col min="3874" max="3874" width="11" style="537" customWidth="1"/>
    <col min="3875" max="3875" width="9.140625" style="537"/>
    <col min="3876" max="3876" width="12.42578125" style="537" customWidth="1"/>
    <col min="3877" max="4096" width="9.140625" style="537"/>
    <col min="4097" max="4097" width="57.140625" style="537" bestFit="1" customWidth="1"/>
    <col min="4098" max="4098" width="12.140625" style="537" customWidth="1"/>
    <col min="4099" max="4099" width="14.140625" style="537" customWidth="1"/>
    <col min="4100" max="4100" width="12.85546875" style="537" customWidth="1"/>
    <col min="4101" max="4101" width="11.42578125" style="537" customWidth="1"/>
    <col min="4102" max="4102" width="2.28515625" style="537" customWidth="1"/>
    <col min="4103" max="4103" width="12.85546875" style="537" customWidth="1"/>
    <col min="4104" max="4104" width="11.85546875" style="537" customWidth="1"/>
    <col min="4105" max="4105" width="1.7109375" style="537" customWidth="1"/>
    <col min="4106" max="4106" width="8.28515625" style="537" customWidth="1"/>
    <col min="4107" max="4107" width="13" style="537" customWidth="1"/>
    <col min="4108" max="4108" width="11.140625" style="537" customWidth="1"/>
    <col min="4109" max="4109" width="4.42578125" style="537" customWidth="1"/>
    <col min="4110" max="4110" width="9.140625" style="537"/>
    <col min="4111" max="4111" width="10.28515625" style="537" customWidth="1"/>
    <col min="4112" max="4112" width="11" style="537" customWidth="1"/>
    <col min="4113" max="4113" width="7.5703125" style="537" customWidth="1"/>
    <col min="4114" max="4114" width="9.140625" style="537"/>
    <col min="4115" max="4115" width="11.7109375" style="537" customWidth="1"/>
    <col min="4116" max="4116" width="12.140625" style="537" bestFit="1" customWidth="1"/>
    <col min="4117" max="4117" width="7.5703125" style="537" customWidth="1"/>
    <col min="4118" max="4118" width="9.140625" style="537"/>
    <col min="4119" max="4119" width="11.7109375" style="537" customWidth="1"/>
    <col min="4120" max="4120" width="12.140625" style="537" bestFit="1" customWidth="1"/>
    <col min="4121" max="4121" width="7.5703125" style="537" customWidth="1"/>
    <col min="4122" max="4122" width="9.140625" style="537"/>
    <col min="4123" max="4123" width="11.42578125" style="537" customWidth="1"/>
    <col min="4124" max="4124" width="9.140625" style="537"/>
    <col min="4125" max="4125" width="10.28515625" style="537" bestFit="1" customWidth="1"/>
    <col min="4126" max="4126" width="12" style="537" customWidth="1"/>
    <col min="4127" max="4128" width="9.140625" style="537"/>
    <col min="4129" max="4129" width="12" style="537" customWidth="1"/>
    <col min="4130" max="4130" width="11" style="537" customWidth="1"/>
    <col min="4131" max="4131" width="9.140625" style="537"/>
    <col min="4132" max="4132" width="12.42578125" style="537" customWidth="1"/>
    <col min="4133" max="4352" width="9.140625" style="537"/>
    <col min="4353" max="4353" width="57.140625" style="537" bestFit="1" customWidth="1"/>
    <col min="4354" max="4354" width="12.140625" style="537" customWidth="1"/>
    <col min="4355" max="4355" width="14.140625" style="537" customWidth="1"/>
    <col min="4356" max="4356" width="12.85546875" style="537" customWidth="1"/>
    <col min="4357" max="4357" width="11.42578125" style="537" customWidth="1"/>
    <col min="4358" max="4358" width="2.28515625" style="537" customWidth="1"/>
    <col min="4359" max="4359" width="12.85546875" style="537" customWidth="1"/>
    <col min="4360" max="4360" width="11.85546875" style="537" customWidth="1"/>
    <col min="4361" max="4361" width="1.7109375" style="537" customWidth="1"/>
    <col min="4362" max="4362" width="8.28515625" style="537" customWidth="1"/>
    <col min="4363" max="4363" width="13" style="537" customWidth="1"/>
    <col min="4364" max="4364" width="11.140625" style="537" customWidth="1"/>
    <col min="4365" max="4365" width="4.42578125" style="537" customWidth="1"/>
    <col min="4366" max="4366" width="9.140625" style="537"/>
    <col min="4367" max="4367" width="10.28515625" style="537" customWidth="1"/>
    <col min="4368" max="4368" width="11" style="537" customWidth="1"/>
    <col min="4369" max="4369" width="7.5703125" style="537" customWidth="1"/>
    <col min="4370" max="4370" width="9.140625" style="537"/>
    <col min="4371" max="4371" width="11.7109375" style="537" customWidth="1"/>
    <col min="4372" max="4372" width="12.140625" style="537" bestFit="1" customWidth="1"/>
    <col min="4373" max="4373" width="7.5703125" style="537" customWidth="1"/>
    <col min="4374" max="4374" width="9.140625" style="537"/>
    <col min="4375" max="4375" width="11.7109375" style="537" customWidth="1"/>
    <col min="4376" max="4376" width="12.140625" style="537" bestFit="1" customWidth="1"/>
    <col min="4377" max="4377" width="7.5703125" style="537" customWidth="1"/>
    <col min="4378" max="4378" width="9.140625" style="537"/>
    <col min="4379" max="4379" width="11.42578125" style="537" customWidth="1"/>
    <col min="4380" max="4380" width="9.140625" style="537"/>
    <col min="4381" max="4381" width="10.28515625" style="537" bestFit="1" customWidth="1"/>
    <col min="4382" max="4382" width="12" style="537" customWidth="1"/>
    <col min="4383" max="4384" width="9.140625" style="537"/>
    <col min="4385" max="4385" width="12" style="537" customWidth="1"/>
    <col min="4386" max="4386" width="11" style="537" customWidth="1"/>
    <col min="4387" max="4387" width="9.140625" style="537"/>
    <col min="4388" max="4388" width="12.42578125" style="537" customWidth="1"/>
    <col min="4389" max="4608" width="9.140625" style="537"/>
    <col min="4609" max="4609" width="57.140625" style="537" bestFit="1" customWidth="1"/>
    <col min="4610" max="4610" width="12.140625" style="537" customWidth="1"/>
    <col min="4611" max="4611" width="14.140625" style="537" customWidth="1"/>
    <col min="4612" max="4612" width="12.85546875" style="537" customWidth="1"/>
    <col min="4613" max="4613" width="11.42578125" style="537" customWidth="1"/>
    <col min="4614" max="4614" width="2.28515625" style="537" customWidth="1"/>
    <col min="4615" max="4615" width="12.85546875" style="537" customWidth="1"/>
    <col min="4616" max="4616" width="11.85546875" style="537" customWidth="1"/>
    <col min="4617" max="4617" width="1.7109375" style="537" customWidth="1"/>
    <col min="4618" max="4618" width="8.28515625" style="537" customWidth="1"/>
    <col min="4619" max="4619" width="13" style="537" customWidth="1"/>
    <col min="4620" max="4620" width="11.140625" style="537" customWidth="1"/>
    <col min="4621" max="4621" width="4.42578125" style="537" customWidth="1"/>
    <col min="4622" max="4622" width="9.140625" style="537"/>
    <col min="4623" max="4623" width="10.28515625" style="537" customWidth="1"/>
    <col min="4624" max="4624" width="11" style="537" customWidth="1"/>
    <col min="4625" max="4625" width="7.5703125" style="537" customWidth="1"/>
    <col min="4626" max="4626" width="9.140625" style="537"/>
    <col min="4627" max="4627" width="11.7109375" style="537" customWidth="1"/>
    <col min="4628" max="4628" width="12.140625" style="537" bestFit="1" customWidth="1"/>
    <col min="4629" max="4629" width="7.5703125" style="537" customWidth="1"/>
    <col min="4630" max="4630" width="9.140625" style="537"/>
    <col min="4631" max="4631" width="11.7109375" style="537" customWidth="1"/>
    <col min="4632" max="4632" width="12.140625" style="537" bestFit="1" customWidth="1"/>
    <col min="4633" max="4633" width="7.5703125" style="537" customWidth="1"/>
    <col min="4634" max="4634" width="9.140625" style="537"/>
    <col min="4635" max="4635" width="11.42578125" style="537" customWidth="1"/>
    <col min="4636" max="4636" width="9.140625" style="537"/>
    <col min="4637" max="4637" width="10.28515625" style="537" bestFit="1" customWidth="1"/>
    <col min="4638" max="4638" width="12" style="537" customWidth="1"/>
    <col min="4639" max="4640" width="9.140625" style="537"/>
    <col min="4641" max="4641" width="12" style="537" customWidth="1"/>
    <col min="4642" max="4642" width="11" style="537" customWidth="1"/>
    <col min="4643" max="4643" width="9.140625" style="537"/>
    <col min="4644" max="4644" width="12.42578125" style="537" customWidth="1"/>
    <col min="4645" max="4864" width="9.140625" style="537"/>
    <col min="4865" max="4865" width="57.140625" style="537" bestFit="1" customWidth="1"/>
    <col min="4866" max="4866" width="12.140625" style="537" customWidth="1"/>
    <col min="4867" max="4867" width="14.140625" style="537" customWidth="1"/>
    <col min="4868" max="4868" width="12.85546875" style="537" customWidth="1"/>
    <col min="4869" max="4869" width="11.42578125" style="537" customWidth="1"/>
    <col min="4870" max="4870" width="2.28515625" style="537" customWidth="1"/>
    <col min="4871" max="4871" width="12.85546875" style="537" customWidth="1"/>
    <col min="4872" max="4872" width="11.85546875" style="537" customWidth="1"/>
    <col min="4873" max="4873" width="1.7109375" style="537" customWidth="1"/>
    <col min="4874" max="4874" width="8.28515625" style="537" customWidth="1"/>
    <col min="4875" max="4875" width="13" style="537" customWidth="1"/>
    <col min="4876" max="4876" width="11.140625" style="537" customWidth="1"/>
    <col min="4877" max="4877" width="4.42578125" style="537" customWidth="1"/>
    <col min="4878" max="4878" width="9.140625" style="537"/>
    <col min="4879" max="4879" width="10.28515625" style="537" customWidth="1"/>
    <col min="4880" max="4880" width="11" style="537" customWidth="1"/>
    <col min="4881" max="4881" width="7.5703125" style="537" customWidth="1"/>
    <col min="4882" max="4882" width="9.140625" style="537"/>
    <col min="4883" max="4883" width="11.7109375" style="537" customWidth="1"/>
    <col min="4884" max="4884" width="12.140625" style="537" bestFit="1" customWidth="1"/>
    <col min="4885" max="4885" width="7.5703125" style="537" customWidth="1"/>
    <col min="4886" max="4886" width="9.140625" style="537"/>
    <col min="4887" max="4887" width="11.7109375" style="537" customWidth="1"/>
    <col min="4888" max="4888" width="12.140625" style="537" bestFit="1" customWidth="1"/>
    <col min="4889" max="4889" width="7.5703125" style="537" customWidth="1"/>
    <col min="4890" max="4890" width="9.140625" style="537"/>
    <col min="4891" max="4891" width="11.42578125" style="537" customWidth="1"/>
    <col min="4892" max="4892" width="9.140625" style="537"/>
    <col min="4893" max="4893" width="10.28515625" style="537" bestFit="1" customWidth="1"/>
    <col min="4894" max="4894" width="12" style="537" customWidth="1"/>
    <col min="4895" max="4896" width="9.140625" style="537"/>
    <col min="4897" max="4897" width="12" style="537" customWidth="1"/>
    <col min="4898" max="4898" width="11" style="537" customWidth="1"/>
    <col min="4899" max="4899" width="9.140625" style="537"/>
    <col min="4900" max="4900" width="12.42578125" style="537" customWidth="1"/>
    <col min="4901" max="5120" width="9.140625" style="537"/>
    <col min="5121" max="5121" width="57.140625" style="537" bestFit="1" customWidth="1"/>
    <col min="5122" max="5122" width="12.140625" style="537" customWidth="1"/>
    <col min="5123" max="5123" width="14.140625" style="537" customWidth="1"/>
    <col min="5124" max="5124" width="12.85546875" style="537" customWidth="1"/>
    <col min="5125" max="5125" width="11.42578125" style="537" customWidth="1"/>
    <col min="5126" max="5126" width="2.28515625" style="537" customWidth="1"/>
    <col min="5127" max="5127" width="12.85546875" style="537" customWidth="1"/>
    <col min="5128" max="5128" width="11.85546875" style="537" customWidth="1"/>
    <col min="5129" max="5129" width="1.7109375" style="537" customWidth="1"/>
    <col min="5130" max="5130" width="8.28515625" style="537" customWidth="1"/>
    <col min="5131" max="5131" width="13" style="537" customWidth="1"/>
    <col min="5132" max="5132" width="11.140625" style="537" customWidth="1"/>
    <col min="5133" max="5133" width="4.42578125" style="537" customWidth="1"/>
    <col min="5134" max="5134" width="9.140625" style="537"/>
    <col min="5135" max="5135" width="10.28515625" style="537" customWidth="1"/>
    <col min="5136" max="5136" width="11" style="537" customWidth="1"/>
    <col min="5137" max="5137" width="7.5703125" style="537" customWidth="1"/>
    <col min="5138" max="5138" width="9.140625" style="537"/>
    <col min="5139" max="5139" width="11.7109375" style="537" customWidth="1"/>
    <col min="5140" max="5140" width="12.140625" style="537" bestFit="1" customWidth="1"/>
    <col min="5141" max="5141" width="7.5703125" style="537" customWidth="1"/>
    <col min="5142" max="5142" width="9.140625" style="537"/>
    <col min="5143" max="5143" width="11.7109375" style="537" customWidth="1"/>
    <col min="5144" max="5144" width="12.140625" style="537" bestFit="1" customWidth="1"/>
    <col min="5145" max="5145" width="7.5703125" style="537" customWidth="1"/>
    <col min="5146" max="5146" width="9.140625" style="537"/>
    <col min="5147" max="5147" width="11.42578125" style="537" customWidth="1"/>
    <col min="5148" max="5148" width="9.140625" style="537"/>
    <col min="5149" max="5149" width="10.28515625" style="537" bestFit="1" customWidth="1"/>
    <col min="5150" max="5150" width="12" style="537" customWidth="1"/>
    <col min="5151" max="5152" width="9.140625" style="537"/>
    <col min="5153" max="5153" width="12" style="537" customWidth="1"/>
    <col min="5154" max="5154" width="11" style="537" customWidth="1"/>
    <col min="5155" max="5155" width="9.140625" style="537"/>
    <col min="5156" max="5156" width="12.42578125" style="537" customWidth="1"/>
    <col min="5157" max="5376" width="9.140625" style="537"/>
    <col min="5377" max="5377" width="57.140625" style="537" bestFit="1" customWidth="1"/>
    <col min="5378" max="5378" width="12.140625" style="537" customWidth="1"/>
    <col min="5379" max="5379" width="14.140625" style="537" customWidth="1"/>
    <col min="5380" max="5380" width="12.85546875" style="537" customWidth="1"/>
    <col min="5381" max="5381" width="11.42578125" style="537" customWidth="1"/>
    <col min="5382" max="5382" width="2.28515625" style="537" customWidth="1"/>
    <col min="5383" max="5383" width="12.85546875" style="537" customWidth="1"/>
    <col min="5384" max="5384" width="11.85546875" style="537" customWidth="1"/>
    <col min="5385" max="5385" width="1.7109375" style="537" customWidth="1"/>
    <col min="5386" max="5386" width="8.28515625" style="537" customWidth="1"/>
    <col min="5387" max="5387" width="13" style="537" customWidth="1"/>
    <col min="5388" max="5388" width="11.140625" style="537" customWidth="1"/>
    <col min="5389" max="5389" width="4.42578125" style="537" customWidth="1"/>
    <col min="5390" max="5390" width="9.140625" style="537"/>
    <col min="5391" max="5391" width="10.28515625" style="537" customWidth="1"/>
    <col min="5392" max="5392" width="11" style="537" customWidth="1"/>
    <col min="5393" max="5393" width="7.5703125" style="537" customWidth="1"/>
    <col min="5394" max="5394" width="9.140625" style="537"/>
    <col min="5395" max="5395" width="11.7109375" style="537" customWidth="1"/>
    <col min="5396" max="5396" width="12.140625" style="537" bestFit="1" customWidth="1"/>
    <col min="5397" max="5397" width="7.5703125" style="537" customWidth="1"/>
    <col min="5398" max="5398" width="9.140625" style="537"/>
    <col min="5399" max="5399" width="11.7109375" style="537" customWidth="1"/>
    <col min="5400" max="5400" width="12.140625" style="537" bestFit="1" customWidth="1"/>
    <col min="5401" max="5401" width="7.5703125" style="537" customWidth="1"/>
    <col min="5402" max="5402" width="9.140625" style="537"/>
    <col min="5403" max="5403" width="11.42578125" style="537" customWidth="1"/>
    <col min="5404" max="5404" width="9.140625" style="537"/>
    <col min="5405" max="5405" width="10.28515625" style="537" bestFit="1" customWidth="1"/>
    <col min="5406" max="5406" width="12" style="537" customWidth="1"/>
    <col min="5407" max="5408" width="9.140625" style="537"/>
    <col min="5409" max="5409" width="12" style="537" customWidth="1"/>
    <col min="5410" max="5410" width="11" style="537" customWidth="1"/>
    <col min="5411" max="5411" width="9.140625" style="537"/>
    <col min="5412" max="5412" width="12.42578125" style="537" customWidth="1"/>
    <col min="5413" max="5632" width="9.140625" style="537"/>
    <col min="5633" max="5633" width="57.140625" style="537" bestFit="1" customWidth="1"/>
    <col min="5634" max="5634" width="12.140625" style="537" customWidth="1"/>
    <col min="5635" max="5635" width="14.140625" style="537" customWidth="1"/>
    <col min="5636" max="5636" width="12.85546875" style="537" customWidth="1"/>
    <col min="5637" max="5637" width="11.42578125" style="537" customWidth="1"/>
    <col min="5638" max="5638" width="2.28515625" style="537" customWidth="1"/>
    <col min="5639" max="5639" width="12.85546875" style="537" customWidth="1"/>
    <col min="5640" max="5640" width="11.85546875" style="537" customWidth="1"/>
    <col min="5641" max="5641" width="1.7109375" style="537" customWidth="1"/>
    <col min="5642" max="5642" width="8.28515625" style="537" customWidth="1"/>
    <col min="5643" max="5643" width="13" style="537" customWidth="1"/>
    <col min="5644" max="5644" width="11.140625" style="537" customWidth="1"/>
    <col min="5645" max="5645" width="4.42578125" style="537" customWidth="1"/>
    <col min="5646" max="5646" width="9.140625" style="537"/>
    <col min="5647" max="5647" width="10.28515625" style="537" customWidth="1"/>
    <col min="5648" max="5648" width="11" style="537" customWidth="1"/>
    <col min="5649" max="5649" width="7.5703125" style="537" customWidth="1"/>
    <col min="5650" max="5650" width="9.140625" style="537"/>
    <col min="5651" max="5651" width="11.7109375" style="537" customWidth="1"/>
    <col min="5652" max="5652" width="12.140625" style="537" bestFit="1" customWidth="1"/>
    <col min="5653" max="5653" width="7.5703125" style="537" customWidth="1"/>
    <col min="5654" max="5654" width="9.140625" style="537"/>
    <col min="5655" max="5655" width="11.7109375" style="537" customWidth="1"/>
    <col min="5656" max="5656" width="12.140625" style="537" bestFit="1" customWidth="1"/>
    <col min="5657" max="5657" width="7.5703125" style="537" customWidth="1"/>
    <col min="5658" max="5658" width="9.140625" style="537"/>
    <col min="5659" max="5659" width="11.42578125" style="537" customWidth="1"/>
    <col min="5660" max="5660" width="9.140625" style="537"/>
    <col min="5661" max="5661" width="10.28515625" style="537" bestFit="1" customWidth="1"/>
    <col min="5662" max="5662" width="12" style="537" customWidth="1"/>
    <col min="5663" max="5664" width="9.140625" style="537"/>
    <col min="5665" max="5665" width="12" style="537" customWidth="1"/>
    <col min="5666" max="5666" width="11" style="537" customWidth="1"/>
    <col min="5667" max="5667" width="9.140625" style="537"/>
    <col min="5668" max="5668" width="12.42578125" style="537" customWidth="1"/>
    <col min="5669" max="5888" width="9.140625" style="537"/>
    <col min="5889" max="5889" width="57.140625" style="537" bestFit="1" customWidth="1"/>
    <col min="5890" max="5890" width="12.140625" style="537" customWidth="1"/>
    <col min="5891" max="5891" width="14.140625" style="537" customWidth="1"/>
    <col min="5892" max="5892" width="12.85546875" style="537" customWidth="1"/>
    <col min="5893" max="5893" width="11.42578125" style="537" customWidth="1"/>
    <col min="5894" max="5894" width="2.28515625" style="537" customWidth="1"/>
    <col min="5895" max="5895" width="12.85546875" style="537" customWidth="1"/>
    <col min="5896" max="5896" width="11.85546875" style="537" customWidth="1"/>
    <col min="5897" max="5897" width="1.7109375" style="537" customWidth="1"/>
    <col min="5898" max="5898" width="8.28515625" style="537" customWidth="1"/>
    <col min="5899" max="5899" width="13" style="537" customWidth="1"/>
    <col min="5900" max="5900" width="11.140625" style="537" customWidth="1"/>
    <col min="5901" max="5901" width="4.42578125" style="537" customWidth="1"/>
    <col min="5902" max="5902" width="9.140625" style="537"/>
    <col min="5903" max="5903" width="10.28515625" style="537" customWidth="1"/>
    <col min="5904" max="5904" width="11" style="537" customWidth="1"/>
    <col min="5905" max="5905" width="7.5703125" style="537" customWidth="1"/>
    <col min="5906" max="5906" width="9.140625" style="537"/>
    <col min="5907" max="5907" width="11.7109375" style="537" customWidth="1"/>
    <col min="5908" max="5908" width="12.140625" style="537" bestFit="1" customWidth="1"/>
    <col min="5909" max="5909" width="7.5703125" style="537" customWidth="1"/>
    <col min="5910" max="5910" width="9.140625" style="537"/>
    <col min="5911" max="5911" width="11.7109375" style="537" customWidth="1"/>
    <col min="5912" max="5912" width="12.140625" style="537" bestFit="1" customWidth="1"/>
    <col min="5913" max="5913" width="7.5703125" style="537" customWidth="1"/>
    <col min="5914" max="5914" width="9.140625" style="537"/>
    <col min="5915" max="5915" width="11.42578125" style="537" customWidth="1"/>
    <col min="5916" max="5916" width="9.140625" style="537"/>
    <col min="5917" max="5917" width="10.28515625" style="537" bestFit="1" customWidth="1"/>
    <col min="5918" max="5918" width="12" style="537" customWidth="1"/>
    <col min="5919" max="5920" width="9.140625" style="537"/>
    <col min="5921" max="5921" width="12" style="537" customWidth="1"/>
    <col min="5922" max="5922" width="11" style="537" customWidth="1"/>
    <col min="5923" max="5923" width="9.140625" style="537"/>
    <col min="5924" max="5924" width="12.42578125" style="537" customWidth="1"/>
    <col min="5925" max="6144" width="9.140625" style="537"/>
    <col min="6145" max="6145" width="57.140625" style="537" bestFit="1" customWidth="1"/>
    <col min="6146" max="6146" width="12.140625" style="537" customWidth="1"/>
    <col min="6147" max="6147" width="14.140625" style="537" customWidth="1"/>
    <col min="6148" max="6148" width="12.85546875" style="537" customWidth="1"/>
    <col min="6149" max="6149" width="11.42578125" style="537" customWidth="1"/>
    <col min="6150" max="6150" width="2.28515625" style="537" customWidth="1"/>
    <col min="6151" max="6151" width="12.85546875" style="537" customWidth="1"/>
    <col min="6152" max="6152" width="11.85546875" style="537" customWidth="1"/>
    <col min="6153" max="6153" width="1.7109375" style="537" customWidth="1"/>
    <col min="6154" max="6154" width="8.28515625" style="537" customWidth="1"/>
    <col min="6155" max="6155" width="13" style="537" customWidth="1"/>
    <col min="6156" max="6156" width="11.140625" style="537" customWidth="1"/>
    <col min="6157" max="6157" width="4.42578125" style="537" customWidth="1"/>
    <col min="6158" max="6158" width="9.140625" style="537"/>
    <col min="6159" max="6159" width="10.28515625" style="537" customWidth="1"/>
    <col min="6160" max="6160" width="11" style="537" customWidth="1"/>
    <col min="6161" max="6161" width="7.5703125" style="537" customWidth="1"/>
    <col min="6162" max="6162" width="9.140625" style="537"/>
    <col min="6163" max="6163" width="11.7109375" style="537" customWidth="1"/>
    <col min="6164" max="6164" width="12.140625" style="537" bestFit="1" customWidth="1"/>
    <col min="6165" max="6165" width="7.5703125" style="537" customWidth="1"/>
    <col min="6166" max="6166" width="9.140625" style="537"/>
    <col min="6167" max="6167" width="11.7109375" style="537" customWidth="1"/>
    <col min="6168" max="6168" width="12.140625" style="537" bestFit="1" customWidth="1"/>
    <col min="6169" max="6169" width="7.5703125" style="537" customWidth="1"/>
    <col min="6170" max="6170" width="9.140625" style="537"/>
    <col min="6171" max="6171" width="11.42578125" style="537" customWidth="1"/>
    <col min="6172" max="6172" width="9.140625" style="537"/>
    <col min="6173" max="6173" width="10.28515625" style="537" bestFit="1" customWidth="1"/>
    <col min="6174" max="6174" width="12" style="537" customWidth="1"/>
    <col min="6175" max="6176" width="9.140625" style="537"/>
    <col min="6177" max="6177" width="12" style="537" customWidth="1"/>
    <col min="6178" max="6178" width="11" style="537" customWidth="1"/>
    <col min="6179" max="6179" width="9.140625" style="537"/>
    <col min="6180" max="6180" width="12.42578125" style="537" customWidth="1"/>
    <col min="6181" max="6400" width="9.140625" style="537"/>
    <col min="6401" max="6401" width="57.140625" style="537" bestFit="1" customWidth="1"/>
    <col min="6402" max="6402" width="12.140625" style="537" customWidth="1"/>
    <col min="6403" max="6403" width="14.140625" style="537" customWidth="1"/>
    <col min="6404" max="6404" width="12.85546875" style="537" customWidth="1"/>
    <col min="6405" max="6405" width="11.42578125" style="537" customWidth="1"/>
    <col min="6406" max="6406" width="2.28515625" style="537" customWidth="1"/>
    <col min="6407" max="6407" width="12.85546875" style="537" customWidth="1"/>
    <col min="6408" max="6408" width="11.85546875" style="537" customWidth="1"/>
    <col min="6409" max="6409" width="1.7109375" style="537" customWidth="1"/>
    <col min="6410" max="6410" width="8.28515625" style="537" customWidth="1"/>
    <col min="6411" max="6411" width="13" style="537" customWidth="1"/>
    <col min="6412" max="6412" width="11.140625" style="537" customWidth="1"/>
    <col min="6413" max="6413" width="4.42578125" style="537" customWidth="1"/>
    <col min="6414" max="6414" width="9.140625" style="537"/>
    <col min="6415" max="6415" width="10.28515625" style="537" customWidth="1"/>
    <col min="6416" max="6416" width="11" style="537" customWidth="1"/>
    <col min="6417" max="6417" width="7.5703125" style="537" customWidth="1"/>
    <col min="6418" max="6418" width="9.140625" style="537"/>
    <col min="6419" max="6419" width="11.7109375" style="537" customWidth="1"/>
    <col min="6420" max="6420" width="12.140625" style="537" bestFit="1" customWidth="1"/>
    <col min="6421" max="6421" width="7.5703125" style="537" customWidth="1"/>
    <col min="6422" max="6422" width="9.140625" style="537"/>
    <col min="6423" max="6423" width="11.7109375" style="537" customWidth="1"/>
    <col min="6424" max="6424" width="12.140625" style="537" bestFit="1" customWidth="1"/>
    <col min="6425" max="6425" width="7.5703125" style="537" customWidth="1"/>
    <col min="6426" max="6426" width="9.140625" style="537"/>
    <col min="6427" max="6427" width="11.42578125" style="537" customWidth="1"/>
    <col min="6428" max="6428" width="9.140625" style="537"/>
    <col min="6429" max="6429" width="10.28515625" style="537" bestFit="1" customWidth="1"/>
    <col min="6430" max="6430" width="12" style="537" customWidth="1"/>
    <col min="6431" max="6432" width="9.140625" style="537"/>
    <col min="6433" max="6433" width="12" style="537" customWidth="1"/>
    <col min="6434" max="6434" width="11" style="537" customWidth="1"/>
    <col min="6435" max="6435" width="9.140625" style="537"/>
    <col min="6436" max="6436" width="12.42578125" style="537" customWidth="1"/>
    <col min="6437" max="6656" width="9.140625" style="537"/>
    <col min="6657" max="6657" width="57.140625" style="537" bestFit="1" customWidth="1"/>
    <col min="6658" max="6658" width="12.140625" style="537" customWidth="1"/>
    <col min="6659" max="6659" width="14.140625" style="537" customWidth="1"/>
    <col min="6660" max="6660" width="12.85546875" style="537" customWidth="1"/>
    <col min="6661" max="6661" width="11.42578125" style="537" customWidth="1"/>
    <col min="6662" max="6662" width="2.28515625" style="537" customWidth="1"/>
    <col min="6663" max="6663" width="12.85546875" style="537" customWidth="1"/>
    <col min="6664" max="6664" width="11.85546875" style="537" customWidth="1"/>
    <col min="6665" max="6665" width="1.7109375" style="537" customWidth="1"/>
    <col min="6666" max="6666" width="8.28515625" style="537" customWidth="1"/>
    <col min="6667" max="6667" width="13" style="537" customWidth="1"/>
    <col min="6668" max="6668" width="11.140625" style="537" customWidth="1"/>
    <col min="6669" max="6669" width="4.42578125" style="537" customWidth="1"/>
    <col min="6670" max="6670" width="9.140625" style="537"/>
    <col min="6671" max="6671" width="10.28515625" style="537" customWidth="1"/>
    <col min="6672" max="6672" width="11" style="537" customWidth="1"/>
    <col min="6673" max="6673" width="7.5703125" style="537" customWidth="1"/>
    <col min="6674" max="6674" width="9.140625" style="537"/>
    <col min="6675" max="6675" width="11.7109375" style="537" customWidth="1"/>
    <col min="6676" max="6676" width="12.140625" style="537" bestFit="1" customWidth="1"/>
    <col min="6677" max="6677" width="7.5703125" style="537" customWidth="1"/>
    <col min="6678" max="6678" width="9.140625" style="537"/>
    <col min="6679" max="6679" width="11.7109375" style="537" customWidth="1"/>
    <col min="6680" max="6680" width="12.140625" style="537" bestFit="1" customWidth="1"/>
    <col min="6681" max="6681" width="7.5703125" style="537" customWidth="1"/>
    <col min="6682" max="6682" width="9.140625" style="537"/>
    <col min="6683" max="6683" width="11.42578125" style="537" customWidth="1"/>
    <col min="6684" max="6684" width="9.140625" style="537"/>
    <col min="6685" max="6685" width="10.28515625" style="537" bestFit="1" customWidth="1"/>
    <col min="6686" max="6686" width="12" style="537" customWidth="1"/>
    <col min="6687" max="6688" width="9.140625" style="537"/>
    <col min="6689" max="6689" width="12" style="537" customWidth="1"/>
    <col min="6690" max="6690" width="11" style="537" customWidth="1"/>
    <col min="6691" max="6691" width="9.140625" style="537"/>
    <col min="6692" max="6692" width="12.42578125" style="537" customWidth="1"/>
    <col min="6693" max="6912" width="9.140625" style="537"/>
    <col min="6913" max="6913" width="57.140625" style="537" bestFit="1" customWidth="1"/>
    <col min="6914" max="6914" width="12.140625" style="537" customWidth="1"/>
    <col min="6915" max="6915" width="14.140625" style="537" customWidth="1"/>
    <col min="6916" max="6916" width="12.85546875" style="537" customWidth="1"/>
    <col min="6917" max="6917" width="11.42578125" style="537" customWidth="1"/>
    <col min="6918" max="6918" width="2.28515625" style="537" customWidth="1"/>
    <col min="6919" max="6919" width="12.85546875" style="537" customWidth="1"/>
    <col min="6920" max="6920" width="11.85546875" style="537" customWidth="1"/>
    <col min="6921" max="6921" width="1.7109375" style="537" customWidth="1"/>
    <col min="6922" max="6922" width="8.28515625" style="537" customWidth="1"/>
    <col min="6923" max="6923" width="13" style="537" customWidth="1"/>
    <col min="6924" max="6924" width="11.140625" style="537" customWidth="1"/>
    <col min="6925" max="6925" width="4.42578125" style="537" customWidth="1"/>
    <col min="6926" max="6926" width="9.140625" style="537"/>
    <col min="6927" max="6927" width="10.28515625" style="537" customWidth="1"/>
    <col min="6928" max="6928" width="11" style="537" customWidth="1"/>
    <col min="6929" max="6929" width="7.5703125" style="537" customWidth="1"/>
    <col min="6930" max="6930" width="9.140625" style="537"/>
    <col min="6931" max="6931" width="11.7109375" style="537" customWidth="1"/>
    <col min="6932" max="6932" width="12.140625" style="537" bestFit="1" customWidth="1"/>
    <col min="6933" max="6933" width="7.5703125" style="537" customWidth="1"/>
    <col min="6934" max="6934" width="9.140625" style="537"/>
    <col min="6935" max="6935" width="11.7109375" style="537" customWidth="1"/>
    <col min="6936" max="6936" width="12.140625" style="537" bestFit="1" customWidth="1"/>
    <col min="6937" max="6937" width="7.5703125" style="537" customWidth="1"/>
    <col min="6938" max="6938" width="9.140625" style="537"/>
    <col min="6939" max="6939" width="11.42578125" style="537" customWidth="1"/>
    <col min="6940" max="6940" width="9.140625" style="537"/>
    <col min="6941" max="6941" width="10.28515625" style="537" bestFit="1" customWidth="1"/>
    <col min="6942" max="6942" width="12" style="537" customWidth="1"/>
    <col min="6943" max="6944" width="9.140625" style="537"/>
    <col min="6945" max="6945" width="12" style="537" customWidth="1"/>
    <col min="6946" max="6946" width="11" style="537" customWidth="1"/>
    <col min="6947" max="6947" width="9.140625" style="537"/>
    <col min="6948" max="6948" width="12.42578125" style="537" customWidth="1"/>
    <col min="6949" max="7168" width="9.140625" style="537"/>
    <col min="7169" max="7169" width="57.140625" style="537" bestFit="1" customWidth="1"/>
    <col min="7170" max="7170" width="12.140625" style="537" customWidth="1"/>
    <col min="7171" max="7171" width="14.140625" style="537" customWidth="1"/>
    <col min="7172" max="7172" width="12.85546875" style="537" customWidth="1"/>
    <col min="7173" max="7173" width="11.42578125" style="537" customWidth="1"/>
    <col min="7174" max="7174" width="2.28515625" style="537" customWidth="1"/>
    <col min="7175" max="7175" width="12.85546875" style="537" customWidth="1"/>
    <col min="7176" max="7176" width="11.85546875" style="537" customWidth="1"/>
    <col min="7177" max="7177" width="1.7109375" style="537" customWidth="1"/>
    <col min="7178" max="7178" width="8.28515625" style="537" customWidth="1"/>
    <col min="7179" max="7179" width="13" style="537" customWidth="1"/>
    <col min="7180" max="7180" width="11.140625" style="537" customWidth="1"/>
    <col min="7181" max="7181" width="4.42578125" style="537" customWidth="1"/>
    <col min="7182" max="7182" width="9.140625" style="537"/>
    <col min="7183" max="7183" width="10.28515625" style="537" customWidth="1"/>
    <col min="7184" max="7184" width="11" style="537" customWidth="1"/>
    <col min="7185" max="7185" width="7.5703125" style="537" customWidth="1"/>
    <col min="7186" max="7186" width="9.140625" style="537"/>
    <col min="7187" max="7187" width="11.7109375" style="537" customWidth="1"/>
    <col min="7188" max="7188" width="12.140625" style="537" bestFit="1" customWidth="1"/>
    <col min="7189" max="7189" width="7.5703125" style="537" customWidth="1"/>
    <col min="7190" max="7190" width="9.140625" style="537"/>
    <col min="7191" max="7191" width="11.7109375" style="537" customWidth="1"/>
    <col min="7192" max="7192" width="12.140625" style="537" bestFit="1" customWidth="1"/>
    <col min="7193" max="7193" width="7.5703125" style="537" customWidth="1"/>
    <col min="7194" max="7194" width="9.140625" style="537"/>
    <col min="7195" max="7195" width="11.42578125" style="537" customWidth="1"/>
    <col min="7196" max="7196" width="9.140625" style="537"/>
    <col min="7197" max="7197" width="10.28515625" style="537" bestFit="1" customWidth="1"/>
    <col min="7198" max="7198" width="12" style="537" customWidth="1"/>
    <col min="7199" max="7200" width="9.140625" style="537"/>
    <col min="7201" max="7201" width="12" style="537" customWidth="1"/>
    <col min="7202" max="7202" width="11" style="537" customWidth="1"/>
    <col min="7203" max="7203" width="9.140625" style="537"/>
    <col min="7204" max="7204" width="12.42578125" style="537" customWidth="1"/>
    <col min="7205" max="7424" width="9.140625" style="537"/>
    <col min="7425" max="7425" width="57.140625" style="537" bestFit="1" customWidth="1"/>
    <col min="7426" max="7426" width="12.140625" style="537" customWidth="1"/>
    <col min="7427" max="7427" width="14.140625" style="537" customWidth="1"/>
    <col min="7428" max="7428" width="12.85546875" style="537" customWidth="1"/>
    <col min="7429" max="7429" width="11.42578125" style="537" customWidth="1"/>
    <col min="7430" max="7430" width="2.28515625" style="537" customWidth="1"/>
    <col min="7431" max="7431" width="12.85546875" style="537" customWidth="1"/>
    <col min="7432" max="7432" width="11.85546875" style="537" customWidth="1"/>
    <col min="7433" max="7433" width="1.7109375" style="537" customWidth="1"/>
    <col min="7434" max="7434" width="8.28515625" style="537" customWidth="1"/>
    <col min="7435" max="7435" width="13" style="537" customWidth="1"/>
    <col min="7436" max="7436" width="11.140625" style="537" customWidth="1"/>
    <col min="7437" max="7437" width="4.42578125" style="537" customWidth="1"/>
    <col min="7438" max="7438" width="9.140625" style="537"/>
    <col min="7439" max="7439" width="10.28515625" style="537" customWidth="1"/>
    <col min="7440" max="7440" width="11" style="537" customWidth="1"/>
    <col min="7441" max="7441" width="7.5703125" style="537" customWidth="1"/>
    <col min="7442" max="7442" width="9.140625" style="537"/>
    <col min="7443" max="7443" width="11.7109375" style="537" customWidth="1"/>
    <col min="7444" max="7444" width="12.140625" style="537" bestFit="1" customWidth="1"/>
    <col min="7445" max="7445" width="7.5703125" style="537" customWidth="1"/>
    <col min="7446" max="7446" width="9.140625" style="537"/>
    <col min="7447" max="7447" width="11.7109375" style="537" customWidth="1"/>
    <col min="7448" max="7448" width="12.140625" style="537" bestFit="1" customWidth="1"/>
    <col min="7449" max="7449" width="7.5703125" style="537" customWidth="1"/>
    <col min="7450" max="7450" width="9.140625" style="537"/>
    <col min="7451" max="7451" width="11.42578125" style="537" customWidth="1"/>
    <col min="7452" max="7452" width="9.140625" style="537"/>
    <col min="7453" max="7453" width="10.28515625" style="537" bestFit="1" customWidth="1"/>
    <col min="7454" max="7454" width="12" style="537" customWidth="1"/>
    <col min="7455" max="7456" width="9.140625" style="537"/>
    <col min="7457" max="7457" width="12" style="537" customWidth="1"/>
    <col min="7458" max="7458" width="11" style="537" customWidth="1"/>
    <col min="7459" max="7459" width="9.140625" style="537"/>
    <col min="7460" max="7460" width="12.42578125" style="537" customWidth="1"/>
    <col min="7461" max="7680" width="9.140625" style="537"/>
    <col min="7681" max="7681" width="57.140625" style="537" bestFit="1" customWidth="1"/>
    <col min="7682" max="7682" width="12.140625" style="537" customWidth="1"/>
    <col min="7683" max="7683" width="14.140625" style="537" customWidth="1"/>
    <col min="7684" max="7684" width="12.85546875" style="537" customWidth="1"/>
    <col min="7685" max="7685" width="11.42578125" style="537" customWidth="1"/>
    <col min="7686" max="7686" width="2.28515625" style="537" customWidth="1"/>
    <col min="7687" max="7687" width="12.85546875" style="537" customWidth="1"/>
    <col min="7688" max="7688" width="11.85546875" style="537" customWidth="1"/>
    <col min="7689" max="7689" width="1.7109375" style="537" customWidth="1"/>
    <col min="7690" max="7690" width="8.28515625" style="537" customWidth="1"/>
    <col min="7691" max="7691" width="13" style="537" customWidth="1"/>
    <col min="7692" max="7692" width="11.140625" style="537" customWidth="1"/>
    <col min="7693" max="7693" width="4.42578125" style="537" customWidth="1"/>
    <col min="7694" max="7694" width="9.140625" style="537"/>
    <col min="7695" max="7695" width="10.28515625" style="537" customWidth="1"/>
    <col min="7696" max="7696" width="11" style="537" customWidth="1"/>
    <col min="7697" max="7697" width="7.5703125" style="537" customWidth="1"/>
    <col min="7698" max="7698" width="9.140625" style="537"/>
    <col min="7699" max="7699" width="11.7109375" style="537" customWidth="1"/>
    <col min="7700" max="7700" width="12.140625" style="537" bestFit="1" customWidth="1"/>
    <col min="7701" max="7701" width="7.5703125" style="537" customWidth="1"/>
    <col min="7702" max="7702" width="9.140625" style="537"/>
    <col min="7703" max="7703" width="11.7109375" style="537" customWidth="1"/>
    <col min="7704" max="7704" width="12.140625" style="537" bestFit="1" customWidth="1"/>
    <col min="7705" max="7705" width="7.5703125" style="537" customWidth="1"/>
    <col min="7706" max="7706" width="9.140625" style="537"/>
    <col min="7707" max="7707" width="11.42578125" style="537" customWidth="1"/>
    <col min="7708" max="7708" width="9.140625" style="537"/>
    <col min="7709" max="7709" width="10.28515625" style="537" bestFit="1" customWidth="1"/>
    <col min="7710" max="7710" width="12" style="537" customWidth="1"/>
    <col min="7711" max="7712" width="9.140625" style="537"/>
    <col min="7713" max="7713" width="12" style="537" customWidth="1"/>
    <col min="7714" max="7714" width="11" style="537" customWidth="1"/>
    <col min="7715" max="7715" width="9.140625" style="537"/>
    <col min="7716" max="7716" width="12.42578125" style="537" customWidth="1"/>
    <col min="7717" max="7936" width="9.140625" style="537"/>
    <col min="7937" max="7937" width="57.140625" style="537" bestFit="1" customWidth="1"/>
    <col min="7938" max="7938" width="12.140625" style="537" customWidth="1"/>
    <col min="7939" max="7939" width="14.140625" style="537" customWidth="1"/>
    <col min="7940" max="7940" width="12.85546875" style="537" customWidth="1"/>
    <col min="7941" max="7941" width="11.42578125" style="537" customWidth="1"/>
    <col min="7942" max="7942" width="2.28515625" style="537" customWidth="1"/>
    <col min="7943" max="7943" width="12.85546875" style="537" customWidth="1"/>
    <col min="7944" max="7944" width="11.85546875" style="537" customWidth="1"/>
    <col min="7945" max="7945" width="1.7109375" style="537" customWidth="1"/>
    <col min="7946" max="7946" width="8.28515625" style="537" customWidth="1"/>
    <col min="7947" max="7947" width="13" style="537" customWidth="1"/>
    <col min="7948" max="7948" width="11.140625" style="537" customWidth="1"/>
    <col min="7949" max="7949" width="4.42578125" style="537" customWidth="1"/>
    <col min="7950" max="7950" width="9.140625" style="537"/>
    <col min="7951" max="7951" width="10.28515625" style="537" customWidth="1"/>
    <col min="7952" max="7952" width="11" style="537" customWidth="1"/>
    <col min="7953" max="7953" width="7.5703125" style="537" customWidth="1"/>
    <col min="7954" max="7954" width="9.140625" style="537"/>
    <col min="7955" max="7955" width="11.7109375" style="537" customWidth="1"/>
    <col min="7956" max="7956" width="12.140625" style="537" bestFit="1" customWidth="1"/>
    <col min="7957" max="7957" width="7.5703125" style="537" customWidth="1"/>
    <col min="7958" max="7958" width="9.140625" style="537"/>
    <col min="7959" max="7959" width="11.7109375" style="537" customWidth="1"/>
    <col min="7960" max="7960" width="12.140625" style="537" bestFit="1" customWidth="1"/>
    <col min="7961" max="7961" width="7.5703125" style="537" customWidth="1"/>
    <col min="7962" max="7962" width="9.140625" style="537"/>
    <col min="7963" max="7963" width="11.42578125" style="537" customWidth="1"/>
    <col min="7964" max="7964" width="9.140625" style="537"/>
    <col min="7965" max="7965" width="10.28515625" style="537" bestFit="1" customWidth="1"/>
    <col min="7966" max="7966" width="12" style="537" customWidth="1"/>
    <col min="7967" max="7968" width="9.140625" style="537"/>
    <col min="7969" max="7969" width="12" style="537" customWidth="1"/>
    <col min="7970" max="7970" width="11" style="537" customWidth="1"/>
    <col min="7971" max="7971" width="9.140625" style="537"/>
    <col min="7972" max="7972" width="12.42578125" style="537" customWidth="1"/>
    <col min="7973" max="8192" width="9.140625" style="537"/>
    <col min="8193" max="8193" width="57.140625" style="537" bestFit="1" customWidth="1"/>
    <col min="8194" max="8194" width="12.140625" style="537" customWidth="1"/>
    <col min="8195" max="8195" width="14.140625" style="537" customWidth="1"/>
    <col min="8196" max="8196" width="12.85546875" style="537" customWidth="1"/>
    <col min="8197" max="8197" width="11.42578125" style="537" customWidth="1"/>
    <col min="8198" max="8198" width="2.28515625" style="537" customWidth="1"/>
    <col min="8199" max="8199" width="12.85546875" style="537" customWidth="1"/>
    <col min="8200" max="8200" width="11.85546875" style="537" customWidth="1"/>
    <col min="8201" max="8201" width="1.7109375" style="537" customWidth="1"/>
    <col min="8202" max="8202" width="8.28515625" style="537" customWidth="1"/>
    <col min="8203" max="8203" width="13" style="537" customWidth="1"/>
    <col min="8204" max="8204" width="11.140625" style="537" customWidth="1"/>
    <col min="8205" max="8205" width="4.42578125" style="537" customWidth="1"/>
    <col min="8206" max="8206" width="9.140625" style="537"/>
    <col min="8207" max="8207" width="10.28515625" style="537" customWidth="1"/>
    <col min="8208" max="8208" width="11" style="537" customWidth="1"/>
    <col min="8209" max="8209" width="7.5703125" style="537" customWidth="1"/>
    <col min="8210" max="8210" width="9.140625" style="537"/>
    <col min="8211" max="8211" width="11.7109375" style="537" customWidth="1"/>
    <col min="8212" max="8212" width="12.140625" style="537" bestFit="1" customWidth="1"/>
    <col min="8213" max="8213" width="7.5703125" style="537" customWidth="1"/>
    <col min="8214" max="8214" width="9.140625" style="537"/>
    <col min="8215" max="8215" width="11.7109375" style="537" customWidth="1"/>
    <col min="8216" max="8216" width="12.140625" style="537" bestFit="1" customWidth="1"/>
    <col min="8217" max="8217" width="7.5703125" style="537" customWidth="1"/>
    <col min="8218" max="8218" width="9.140625" style="537"/>
    <col min="8219" max="8219" width="11.42578125" style="537" customWidth="1"/>
    <col min="8220" max="8220" width="9.140625" style="537"/>
    <col min="8221" max="8221" width="10.28515625" style="537" bestFit="1" customWidth="1"/>
    <col min="8222" max="8222" width="12" style="537" customWidth="1"/>
    <col min="8223" max="8224" width="9.140625" style="537"/>
    <col min="8225" max="8225" width="12" style="537" customWidth="1"/>
    <col min="8226" max="8226" width="11" style="537" customWidth="1"/>
    <col min="8227" max="8227" width="9.140625" style="537"/>
    <col min="8228" max="8228" width="12.42578125" style="537" customWidth="1"/>
    <col min="8229" max="8448" width="9.140625" style="537"/>
    <col min="8449" max="8449" width="57.140625" style="537" bestFit="1" customWidth="1"/>
    <col min="8450" max="8450" width="12.140625" style="537" customWidth="1"/>
    <col min="8451" max="8451" width="14.140625" style="537" customWidth="1"/>
    <col min="8452" max="8452" width="12.85546875" style="537" customWidth="1"/>
    <col min="8453" max="8453" width="11.42578125" style="537" customWidth="1"/>
    <col min="8454" max="8454" width="2.28515625" style="537" customWidth="1"/>
    <col min="8455" max="8455" width="12.85546875" style="537" customWidth="1"/>
    <col min="8456" max="8456" width="11.85546875" style="537" customWidth="1"/>
    <col min="8457" max="8457" width="1.7109375" style="537" customWidth="1"/>
    <col min="8458" max="8458" width="8.28515625" style="537" customWidth="1"/>
    <col min="8459" max="8459" width="13" style="537" customWidth="1"/>
    <col min="8460" max="8460" width="11.140625" style="537" customWidth="1"/>
    <col min="8461" max="8461" width="4.42578125" style="537" customWidth="1"/>
    <col min="8462" max="8462" width="9.140625" style="537"/>
    <col min="8463" max="8463" width="10.28515625" style="537" customWidth="1"/>
    <col min="8464" max="8464" width="11" style="537" customWidth="1"/>
    <col min="8465" max="8465" width="7.5703125" style="537" customWidth="1"/>
    <col min="8466" max="8466" width="9.140625" style="537"/>
    <col min="8467" max="8467" width="11.7109375" style="537" customWidth="1"/>
    <col min="8468" max="8468" width="12.140625" style="537" bestFit="1" customWidth="1"/>
    <col min="8469" max="8469" width="7.5703125" style="537" customWidth="1"/>
    <col min="8470" max="8470" width="9.140625" style="537"/>
    <col min="8471" max="8471" width="11.7109375" style="537" customWidth="1"/>
    <col min="8472" max="8472" width="12.140625" style="537" bestFit="1" customWidth="1"/>
    <col min="8473" max="8473" width="7.5703125" style="537" customWidth="1"/>
    <col min="8474" max="8474" width="9.140625" style="537"/>
    <col min="8475" max="8475" width="11.42578125" style="537" customWidth="1"/>
    <col min="8476" max="8476" width="9.140625" style="537"/>
    <col min="8477" max="8477" width="10.28515625" style="537" bestFit="1" customWidth="1"/>
    <col min="8478" max="8478" width="12" style="537" customWidth="1"/>
    <col min="8479" max="8480" width="9.140625" style="537"/>
    <col min="8481" max="8481" width="12" style="537" customWidth="1"/>
    <col min="8482" max="8482" width="11" style="537" customWidth="1"/>
    <col min="8483" max="8483" width="9.140625" style="537"/>
    <col min="8484" max="8484" width="12.42578125" style="537" customWidth="1"/>
    <col min="8485" max="8704" width="9.140625" style="537"/>
    <col min="8705" max="8705" width="57.140625" style="537" bestFit="1" customWidth="1"/>
    <col min="8706" max="8706" width="12.140625" style="537" customWidth="1"/>
    <col min="8707" max="8707" width="14.140625" style="537" customWidth="1"/>
    <col min="8708" max="8708" width="12.85546875" style="537" customWidth="1"/>
    <col min="8709" max="8709" width="11.42578125" style="537" customWidth="1"/>
    <col min="8710" max="8710" width="2.28515625" style="537" customWidth="1"/>
    <col min="8711" max="8711" width="12.85546875" style="537" customWidth="1"/>
    <col min="8712" max="8712" width="11.85546875" style="537" customWidth="1"/>
    <col min="8713" max="8713" width="1.7109375" style="537" customWidth="1"/>
    <col min="8714" max="8714" width="8.28515625" style="537" customWidth="1"/>
    <col min="8715" max="8715" width="13" style="537" customWidth="1"/>
    <col min="8716" max="8716" width="11.140625" style="537" customWidth="1"/>
    <col min="8717" max="8717" width="4.42578125" style="537" customWidth="1"/>
    <col min="8718" max="8718" width="9.140625" style="537"/>
    <col min="8719" max="8719" width="10.28515625" style="537" customWidth="1"/>
    <col min="8720" max="8720" width="11" style="537" customWidth="1"/>
    <col min="8721" max="8721" width="7.5703125" style="537" customWidth="1"/>
    <col min="8722" max="8722" width="9.140625" style="537"/>
    <col min="8723" max="8723" width="11.7109375" style="537" customWidth="1"/>
    <col min="8724" max="8724" width="12.140625" style="537" bestFit="1" customWidth="1"/>
    <col min="8725" max="8725" width="7.5703125" style="537" customWidth="1"/>
    <col min="8726" max="8726" width="9.140625" style="537"/>
    <col min="8727" max="8727" width="11.7109375" style="537" customWidth="1"/>
    <col min="8728" max="8728" width="12.140625" style="537" bestFit="1" customWidth="1"/>
    <col min="8729" max="8729" width="7.5703125" style="537" customWidth="1"/>
    <col min="8730" max="8730" width="9.140625" style="537"/>
    <col min="8731" max="8731" width="11.42578125" style="537" customWidth="1"/>
    <col min="8732" max="8732" width="9.140625" style="537"/>
    <col min="8733" max="8733" width="10.28515625" style="537" bestFit="1" customWidth="1"/>
    <col min="8734" max="8734" width="12" style="537" customWidth="1"/>
    <col min="8735" max="8736" width="9.140625" style="537"/>
    <col min="8737" max="8737" width="12" style="537" customWidth="1"/>
    <col min="8738" max="8738" width="11" style="537" customWidth="1"/>
    <col min="8739" max="8739" width="9.140625" style="537"/>
    <col min="8740" max="8740" width="12.42578125" style="537" customWidth="1"/>
    <col min="8741" max="8960" width="9.140625" style="537"/>
    <col min="8961" max="8961" width="57.140625" style="537" bestFit="1" customWidth="1"/>
    <col min="8962" max="8962" width="12.140625" style="537" customWidth="1"/>
    <col min="8963" max="8963" width="14.140625" style="537" customWidth="1"/>
    <col min="8964" max="8964" width="12.85546875" style="537" customWidth="1"/>
    <col min="8965" max="8965" width="11.42578125" style="537" customWidth="1"/>
    <col min="8966" max="8966" width="2.28515625" style="537" customWidth="1"/>
    <col min="8967" max="8967" width="12.85546875" style="537" customWidth="1"/>
    <col min="8968" max="8968" width="11.85546875" style="537" customWidth="1"/>
    <col min="8969" max="8969" width="1.7109375" style="537" customWidth="1"/>
    <col min="8970" max="8970" width="8.28515625" style="537" customWidth="1"/>
    <col min="8971" max="8971" width="13" style="537" customWidth="1"/>
    <col min="8972" max="8972" width="11.140625" style="537" customWidth="1"/>
    <col min="8973" max="8973" width="4.42578125" style="537" customWidth="1"/>
    <col min="8974" max="8974" width="9.140625" style="537"/>
    <col min="8975" max="8975" width="10.28515625" style="537" customWidth="1"/>
    <col min="8976" max="8976" width="11" style="537" customWidth="1"/>
    <col min="8977" max="8977" width="7.5703125" style="537" customWidth="1"/>
    <col min="8978" max="8978" width="9.140625" style="537"/>
    <col min="8979" max="8979" width="11.7109375" style="537" customWidth="1"/>
    <col min="8980" max="8980" width="12.140625" style="537" bestFit="1" customWidth="1"/>
    <col min="8981" max="8981" width="7.5703125" style="537" customWidth="1"/>
    <col min="8982" max="8982" width="9.140625" style="537"/>
    <col min="8983" max="8983" width="11.7109375" style="537" customWidth="1"/>
    <col min="8984" max="8984" width="12.140625" style="537" bestFit="1" customWidth="1"/>
    <col min="8985" max="8985" width="7.5703125" style="537" customWidth="1"/>
    <col min="8986" max="8986" width="9.140625" style="537"/>
    <col min="8987" max="8987" width="11.42578125" style="537" customWidth="1"/>
    <col min="8988" max="8988" width="9.140625" style="537"/>
    <col min="8989" max="8989" width="10.28515625" style="537" bestFit="1" customWidth="1"/>
    <col min="8990" max="8990" width="12" style="537" customWidth="1"/>
    <col min="8991" max="8992" width="9.140625" style="537"/>
    <col min="8993" max="8993" width="12" style="537" customWidth="1"/>
    <col min="8994" max="8994" width="11" style="537" customWidth="1"/>
    <col min="8995" max="8995" width="9.140625" style="537"/>
    <col min="8996" max="8996" width="12.42578125" style="537" customWidth="1"/>
    <col min="8997" max="9216" width="9.140625" style="537"/>
    <col min="9217" max="9217" width="57.140625" style="537" bestFit="1" customWidth="1"/>
    <col min="9218" max="9218" width="12.140625" style="537" customWidth="1"/>
    <col min="9219" max="9219" width="14.140625" style="537" customWidth="1"/>
    <col min="9220" max="9220" width="12.85546875" style="537" customWidth="1"/>
    <col min="9221" max="9221" width="11.42578125" style="537" customWidth="1"/>
    <col min="9222" max="9222" width="2.28515625" style="537" customWidth="1"/>
    <col min="9223" max="9223" width="12.85546875" style="537" customWidth="1"/>
    <col min="9224" max="9224" width="11.85546875" style="537" customWidth="1"/>
    <col min="9225" max="9225" width="1.7109375" style="537" customWidth="1"/>
    <col min="9226" max="9226" width="8.28515625" style="537" customWidth="1"/>
    <col min="9227" max="9227" width="13" style="537" customWidth="1"/>
    <col min="9228" max="9228" width="11.140625" style="537" customWidth="1"/>
    <col min="9229" max="9229" width="4.42578125" style="537" customWidth="1"/>
    <col min="9230" max="9230" width="9.140625" style="537"/>
    <col min="9231" max="9231" width="10.28515625" style="537" customWidth="1"/>
    <col min="9232" max="9232" width="11" style="537" customWidth="1"/>
    <col min="9233" max="9233" width="7.5703125" style="537" customWidth="1"/>
    <col min="9234" max="9234" width="9.140625" style="537"/>
    <col min="9235" max="9235" width="11.7109375" style="537" customWidth="1"/>
    <col min="9236" max="9236" width="12.140625" style="537" bestFit="1" customWidth="1"/>
    <col min="9237" max="9237" width="7.5703125" style="537" customWidth="1"/>
    <col min="9238" max="9238" width="9.140625" style="537"/>
    <col min="9239" max="9239" width="11.7109375" style="537" customWidth="1"/>
    <col min="9240" max="9240" width="12.140625" style="537" bestFit="1" customWidth="1"/>
    <col min="9241" max="9241" width="7.5703125" style="537" customWidth="1"/>
    <col min="9242" max="9242" width="9.140625" style="537"/>
    <col min="9243" max="9243" width="11.42578125" style="537" customWidth="1"/>
    <col min="9244" max="9244" width="9.140625" style="537"/>
    <col min="9245" max="9245" width="10.28515625" style="537" bestFit="1" customWidth="1"/>
    <col min="9246" max="9246" width="12" style="537" customWidth="1"/>
    <col min="9247" max="9248" width="9.140625" style="537"/>
    <col min="9249" max="9249" width="12" style="537" customWidth="1"/>
    <col min="9250" max="9250" width="11" style="537" customWidth="1"/>
    <col min="9251" max="9251" width="9.140625" style="537"/>
    <col min="9252" max="9252" width="12.42578125" style="537" customWidth="1"/>
    <col min="9253" max="9472" width="9.140625" style="537"/>
    <col min="9473" max="9473" width="57.140625" style="537" bestFit="1" customWidth="1"/>
    <col min="9474" max="9474" width="12.140625" style="537" customWidth="1"/>
    <col min="9475" max="9475" width="14.140625" style="537" customWidth="1"/>
    <col min="9476" max="9476" width="12.85546875" style="537" customWidth="1"/>
    <col min="9477" max="9477" width="11.42578125" style="537" customWidth="1"/>
    <col min="9478" max="9478" width="2.28515625" style="537" customWidth="1"/>
    <col min="9479" max="9479" width="12.85546875" style="537" customWidth="1"/>
    <col min="9480" max="9480" width="11.85546875" style="537" customWidth="1"/>
    <col min="9481" max="9481" width="1.7109375" style="537" customWidth="1"/>
    <col min="9482" max="9482" width="8.28515625" style="537" customWidth="1"/>
    <col min="9483" max="9483" width="13" style="537" customWidth="1"/>
    <col min="9484" max="9484" width="11.140625" style="537" customWidth="1"/>
    <col min="9485" max="9485" width="4.42578125" style="537" customWidth="1"/>
    <col min="9486" max="9486" width="9.140625" style="537"/>
    <col min="9487" max="9487" width="10.28515625" style="537" customWidth="1"/>
    <col min="9488" max="9488" width="11" style="537" customWidth="1"/>
    <col min="9489" max="9489" width="7.5703125" style="537" customWidth="1"/>
    <col min="9490" max="9490" width="9.140625" style="537"/>
    <col min="9491" max="9491" width="11.7109375" style="537" customWidth="1"/>
    <col min="9492" max="9492" width="12.140625" style="537" bestFit="1" customWidth="1"/>
    <col min="9493" max="9493" width="7.5703125" style="537" customWidth="1"/>
    <col min="9494" max="9494" width="9.140625" style="537"/>
    <col min="9495" max="9495" width="11.7109375" style="537" customWidth="1"/>
    <col min="9496" max="9496" width="12.140625" style="537" bestFit="1" customWidth="1"/>
    <col min="9497" max="9497" width="7.5703125" style="537" customWidth="1"/>
    <col min="9498" max="9498" width="9.140625" style="537"/>
    <col min="9499" max="9499" width="11.42578125" style="537" customWidth="1"/>
    <col min="9500" max="9500" width="9.140625" style="537"/>
    <col min="9501" max="9501" width="10.28515625" style="537" bestFit="1" customWidth="1"/>
    <col min="9502" max="9502" width="12" style="537" customWidth="1"/>
    <col min="9503" max="9504" width="9.140625" style="537"/>
    <col min="9505" max="9505" width="12" style="537" customWidth="1"/>
    <col min="9506" max="9506" width="11" style="537" customWidth="1"/>
    <col min="9507" max="9507" width="9.140625" style="537"/>
    <col min="9508" max="9508" width="12.42578125" style="537" customWidth="1"/>
    <col min="9509" max="9728" width="9.140625" style="537"/>
    <col min="9729" max="9729" width="57.140625" style="537" bestFit="1" customWidth="1"/>
    <col min="9730" max="9730" width="12.140625" style="537" customWidth="1"/>
    <col min="9731" max="9731" width="14.140625" style="537" customWidth="1"/>
    <col min="9732" max="9732" width="12.85546875" style="537" customWidth="1"/>
    <col min="9733" max="9733" width="11.42578125" style="537" customWidth="1"/>
    <col min="9734" max="9734" width="2.28515625" style="537" customWidth="1"/>
    <col min="9735" max="9735" width="12.85546875" style="537" customWidth="1"/>
    <col min="9736" max="9736" width="11.85546875" style="537" customWidth="1"/>
    <col min="9737" max="9737" width="1.7109375" style="537" customWidth="1"/>
    <col min="9738" max="9738" width="8.28515625" style="537" customWidth="1"/>
    <col min="9739" max="9739" width="13" style="537" customWidth="1"/>
    <col min="9740" max="9740" width="11.140625" style="537" customWidth="1"/>
    <col min="9741" max="9741" width="4.42578125" style="537" customWidth="1"/>
    <col min="9742" max="9742" width="9.140625" style="537"/>
    <col min="9743" max="9743" width="10.28515625" style="537" customWidth="1"/>
    <col min="9744" max="9744" width="11" style="537" customWidth="1"/>
    <col min="9745" max="9745" width="7.5703125" style="537" customWidth="1"/>
    <col min="9746" max="9746" width="9.140625" style="537"/>
    <col min="9747" max="9747" width="11.7109375" style="537" customWidth="1"/>
    <col min="9748" max="9748" width="12.140625" style="537" bestFit="1" customWidth="1"/>
    <col min="9749" max="9749" width="7.5703125" style="537" customWidth="1"/>
    <col min="9750" max="9750" width="9.140625" style="537"/>
    <col min="9751" max="9751" width="11.7109375" style="537" customWidth="1"/>
    <col min="9752" max="9752" width="12.140625" style="537" bestFit="1" customWidth="1"/>
    <col min="9753" max="9753" width="7.5703125" style="537" customWidth="1"/>
    <col min="9754" max="9754" width="9.140625" style="537"/>
    <col min="9755" max="9755" width="11.42578125" style="537" customWidth="1"/>
    <col min="9756" max="9756" width="9.140625" style="537"/>
    <col min="9757" max="9757" width="10.28515625" style="537" bestFit="1" customWidth="1"/>
    <col min="9758" max="9758" width="12" style="537" customWidth="1"/>
    <col min="9759" max="9760" width="9.140625" style="537"/>
    <col min="9761" max="9761" width="12" style="537" customWidth="1"/>
    <col min="9762" max="9762" width="11" style="537" customWidth="1"/>
    <col min="9763" max="9763" width="9.140625" style="537"/>
    <col min="9764" max="9764" width="12.42578125" style="537" customWidth="1"/>
    <col min="9765" max="9984" width="9.140625" style="537"/>
    <col min="9985" max="9985" width="57.140625" style="537" bestFit="1" customWidth="1"/>
    <col min="9986" max="9986" width="12.140625" style="537" customWidth="1"/>
    <col min="9987" max="9987" width="14.140625" style="537" customWidth="1"/>
    <col min="9988" max="9988" width="12.85546875" style="537" customWidth="1"/>
    <col min="9989" max="9989" width="11.42578125" style="537" customWidth="1"/>
    <col min="9990" max="9990" width="2.28515625" style="537" customWidth="1"/>
    <col min="9991" max="9991" width="12.85546875" style="537" customWidth="1"/>
    <col min="9992" max="9992" width="11.85546875" style="537" customWidth="1"/>
    <col min="9993" max="9993" width="1.7109375" style="537" customWidth="1"/>
    <col min="9994" max="9994" width="8.28515625" style="537" customWidth="1"/>
    <col min="9995" max="9995" width="13" style="537" customWidth="1"/>
    <col min="9996" max="9996" width="11.140625" style="537" customWidth="1"/>
    <col min="9997" max="9997" width="4.42578125" style="537" customWidth="1"/>
    <col min="9998" max="9998" width="9.140625" style="537"/>
    <col min="9999" max="9999" width="10.28515625" style="537" customWidth="1"/>
    <col min="10000" max="10000" width="11" style="537" customWidth="1"/>
    <col min="10001" max="10001" width="7.5703125" style="537" customWidth="1"/>
    <col min="10002" max="10002" width="9.140625" style="537"/>
    <col min="10003" max="10003" width="11.7109375" style="537" customWidth="1"/>
    <col min="10004" max="10004" width="12.140625" style="537" bestFit="1" customWidth="1"/>
    <col min="10005" max="10005" width="7.5703125" style="537" customWidth="1"/>
    <col min="10006" max="10006" width="9.140625" style="537"/>
    <col min="10007" max="10007" width="11.7109375" style="537" customWidth="1"/>
    <col min="10008" max="10008" width="12.140625" style="537" bestFit="1" customWidth="1"/>
    <col min="10009" max="10009" width="7.5703125" style="537" customWidth="1"/>
    <col min="10010" max="10010" width="9.140625" style="537"/>
    <col min="10011" max="10011" width="11.42578125" style="537" customWidth="1"/>
    <col min="10012" max="10012" width="9.140625" style="537"/>
    <col min="10013" max="10013" width="10.28515625" style="537" bestFit="1" customWidth="1"/>
    <col min="10014" max="10014" width="12" style="537" customWidth="1"/>
    <col min="10015" max="10016" width="9.140625" style="537"/>
    <col min="10017" max="10017" width="12" style="537" customWidth="1"/>
    <col min="10018" max="10018" width="11" style="537" customWidth="1"/>
    <col min="10019" max="10019" width="9.140625" style="537"/>
    <col min="10020" max="10020" width="12.42578125" style="537" customWidth="1"/>
    <col min="10021" max="10240" width="9.140625" style="537"/>
    <col min="10241" max="10241" width="57.140625" style="537" bestFit="1" customWidth="1"/>
    <col min="10242" max="10242" width="12.140625" style="537" customWidth="1"/>
    <col min="10243" max="10243" width="14.140625" style="537" customWidth="1"/>
    <col min="10244" max="10244" width="12.85546875" style="537" customWidth="1"/>
    <col min="10245" max="10245" width="11.42578125" style="537" customWidth="1"/>
    <col min="10246" max="10246" width="2.28515625" style="537" customWidth="1"/>
    <col min="10247" max="10247" width="12.85546875" style="537" customWidth="1"/>
    <col min="10248" max="10248" width="11.85546875" style="537" customWidth="1"/>
    <col min="10249" max="10249" width="1.7109375" style="537" customWidth="1"/>
    <col min="10250" max="10250" width="8.28515625" style="537" customWidth="1"/>
    <col min="10251" max="10251" width="13" style="537" customWidth="1"/>
    <col min="10252" max="10252" width="11.140625" style="537" customWidth="1"/>
    <col min="10253" max="10253" width="4.42578125" style="537" customWidth="1"/>
    <col min="10254" max="10254" width="9.140625" style="537"/>
    <col min="10255" max="10255" width="10.28515625" style="537" customWidth="1"/>
    <col min="10256" max="10256" width="11" style="537" customWidth="1"/>
    <col min="10257" max="10257" width="7.5703125" style="537" customWidth="1"/>
    <col min="10258" max="10258" width="9.140625" style="537"/>
    <col min="10259" max="10259" width="11.7109375" style="537" customWidth="1"/>
    <col min="10260" max="10260" width="12.140625" style="537" bestFit="1" customWidth="1"/>
    <col min="10261" max="10261" width="7.5703125" style="537" customWidth="1"/>
    <col min="10262" max="10262" width="9.140625" style="537"/>
    <col min="10263" max="10263" width="11.7109375" style="537" customWidth="1"/>
    <col min="10264" max="10264" width="12.140625" style="537" bestFit="1" customWidth="1"/>
    <col min="10265" max="10265" width="7.5703125" style="537" customWidth="1"/>
    <col min="10266" max="10266" width="9.140625" style="537"/>
    <col min="10267" max="10267" width="11.42578125" style="537" customWidth="1"/>
    <col min="10268" max="10268" width="9.140625" style="537"/>
    <col min="10269" max="10269" width="10.28515625" style="537" bestFit="1" customWidth="1"/>
    <col min="10270" max="10270" width="12" style="537" customWidth="1"/>
    <col min="10271" max="10272" width="9.140625" style="537"/>
    <col min="10273" max="10273" width="12" style="537" customWidth="1"/>
    <col min="10274" max="10274" width="11" style="537" customWidth="1"/>
    <col min="10275" max="10275" width="9.140625" style="537"/>
    <col min="10276" max="10276" width="12.42578125" style="537" customWidth="1"/>
    <col min="10277" max="10496" width="9.140625" style="537"/>
    <col min="10497" max="10497" width="57.140625" style="537" bestFit="1" customWidth="1"/>
    <col min="10498" max="10498" width="12.140625" style="537" customWidth="1"/>
    <col min="10499" max="10499" width="14.140625" style="537" customWidth="1"/>
    <col min="10500" max="10500" width="12.85546875" style="537" customWidth="1"/>
    <col min="10501" max="10501" width="11.42578125" style="537" customWidth="1"/>
    <col min="10502" max="10502" width="2.28515625" style="537" customWidth="1"/>
    <col min="10503" max="10503" width="12.85546875" style="537" customWidth="1"/>
    <col min="10504" max="10504" width="11.85546875" style="537" customWidth="1"/>
    <col min="10505" max="10505" width="1.7109375" style="537" customWidth="1"/>
    <col min="10506" max="10506" width="8.28515625" style="537" customWidth="1"/>
    <col min="10507" max="10507" width="13" style="537" customWidth="1"/>
    <col min="10508" max="10508" width="11.140625" style="537" customWidth="1"/>
    <col min="10509" max="10509" width="4.42578125" style="537" customWidth="1"/>
    <col min="10510" max="10510" width="9.140625" style="537"/>
    <col min="10511" max="10511" width="10.28515625" style="537" customWidth="1"/>
    <col min="10512" max="10512" width="11" style="537" customWidth="1"/>
    <col min="10513" max="10513" width="7.5703125" style="537" customWidth="1"/>
    <col min="10514" max="10514" width="9.140625" style="537"/>
    <col min="10515" max="10515" width="11.7109375" style="537" customWidth="1"/>
    <col min="10516" max="10516" width="12.140625" style="537" bestFit="1" customWidth="1"/>
    <col min="10517" max="10517" width="7.5703125" style="537" customWidth="1"/>
    <col min="10518" max="10518" width="9.140625" style="537"/>
    <col min="10519" max="10519" width="11.7109375" style="537" customWidth="1"/>
    <col min="10520" max="10520" width="12.140625" style="537" bestFit="1" customWidth="1"/>
    <col min="10521" max="10521" width="7.5703125" style="537" customWidth="1"/>
    <col min="10522" max="10522" width="9.140625" style="537"/>
    <col min="10523" max="10523" width="11.42578125" style="537" customWidth="1"/>
    <col min="10524" max="10524" width="9.140625" style="537"/>
    <col min="10525" max="10525" width="10.28515625" style="537" bestFit="1" customWidth="1"/>
    <col min="10526" max="10526" width="12" style="537" customWidth="1"/>
    <col min="10527" max="10528" width="9.140625" style="537"/>
    <col min="10529" max="10529" width="12" style="537" customWidth="1"/>
    <col min="10530" max="10530" width="11" style="537" customWidth="1"/>
    <col min="10531" max="10531" width="9.140625" style="537"/>
    <col min="10532" max="10532" width="12.42578125" style="537" customWidth="1"/>
    <col min="10533" max="10752" width="9.140625" style="537"/>
    <col min="10753" max="10753" width="57.140625" style="537" bestFit="1" customWidth="1"/>
    <col min="10754" max="10754" width="12.140625" style="537" customWidth="1"/>
    <col min="10755" max="10755" width="14.140625" style="537" customWidth="1"/>
    <col min="10756" max="10756" width="12.85546875" style="537" customWidth="1"/>
    <col min="10757" max="10757" width="11.42578125" style="537" customWidth="1"/>
    <col min="10758" max="10758" width="2.28515625" style="537" customWidth="1"/>
    <col min="10759" max="10759" width="12.85546875" style="537" customWidth="1"/>
    <col min="10760" max="10760" width="11.85546875" style="537" customWidth="1"/>
    <col min="10761" max="10761" width="1.7109375" style="537" customWidth="1"/>
    <col min="10762" max="10762" width="8.28515625" style="537" customWidth="1"/>
    <col min="10763" max="10763" width="13" style="537" customWidth="1"/>
    <col min="10764" max="10764" width="11.140625" style="537" customWidth="1"/>
    <col min="10765" max="10765" width="4.42578125" style="537" customWidth="1"/>
    <col min="10766" max="10766" width="9.140625" style="537"/>
    <col min="10767" max="10767" width="10.28515625" style="537" customWidth="1"/>
    <col min="10768" max="10768" width="11" style="537" customWidth="1"/>
    <col min="10769" max="10769" width="7.5703125" style="537" customWidth="1"/>
    <col min="10770" max="10770" width="9.140625" style="537"/>
    <col min="10771" max="10771" width="11.7109375" style="537" customWidth="1"/>
    <col min="10772" max="10772" width="12.140625" style="537" bestFit="1" customWidth="1"/>
    <col min="10773" max="10773" width="7.5703125" style="537" customWidth="1"/>
    <col min="10774" max="10774" width="9.140625" style="537"/>
    <col min="10775" max="10775" width="11.7109375" style="537" customWidth="1"/>
    <col min="10776" max="10776" width="12.140625" style="537" bestFit="1" customWidth="1"/>
    <col min="10777" max="10777" width="7.5703125" style="537" customWidth="1"/>
    <col min="10778" max="10778" width="9.140625" style="537"/>
    <col min="10779" max="10779" width="11.42578125" style="537" customWidth="1"/>
    <col min="10780" max="10780" width="9.140625" style="537"/>
    <col min="10781" max="10781" width="10.28515625" style="537" bestFit="1" customWidth="1"/>
    <col min="10782" max="10782" width="12" style="537" customWidth="1"/>
    <col min="10783" max="10784" width="9.140625" style="537"/>
    <col min="10785" max="10785" width="12" style="537" customWidth="1"/>
    <col min="10786" max="10786" width="11" style="537" customWidth="1"/>
    <col min="10787" max="10787" width="9.140625" style="537"/>
    <col min="10788" max="10788" width="12.42578125" style="537" customWidth="1"/>
    <col min="10789" max="11008" width="9.140625" style="537"/>
    <col min="11009" max="11009" width="57.140625" style="537" bestFit="1" customWidth="1"/>
    <col min="11010" max="11010" width="12.140625" style="537" customWidth="1"/>
    <col min="11011" max="11011" width="14.140625" style="537" customWidth="1"/>
    <col min="11012" max="11012" width="12.85546875" style="537" customWidth="1"/>
    <col min="11013" max="11013" width="11.42578125" style="537" customWidth="1"/>
    <col min="11014" max="11014" width="2.28515625" style="537" customWidth="1"/>
    <col min="11015" max="11015" width="12.85546875" style="537" customWidth="1"/>
    <col min="11016" max="11016" width="11.85546875" style="537" customWidth="1"/>
    <col min="11017" max="11017" width="1.7109375" style="537" customWidth="1"/>
    <col min="11018" max="11018" width="8.28515625" style="537" customWidth="1"/>
    <col min="11019" max="11019" width="13" style="537" customWidth="1"/>
    <col min="11020" max="11020" width="11.140625" style="537" customWidth="1"/>
    <col min="11021" max="11021" width="4.42578125" style="537" customWidth="1"/>
    <col min="11022" max="11022" width="9.140625" style="537"/>
    <col min="11023" max="11023" width="10.28515625" style="537" customWidth="1"/>
    <col min="11024" max="11024" width="11" style="537" customWidth="1"/>
    <col min="11025" max="11025" width="7.5703125" style="537" customWidth="1"/>
    <col min="11026" max="11026" width="9.140625" style="537"/>
    <col min="11027" max="11027" width="11.7109375" style="537" customWidth="1"/>
    <col min="11028" max="11028" width="12.140625" style="537" bestFit="1" customWidth="1"/>
    <col min="11029" max="11029" width="7.5703125" style="537" customWidth="1"/>
    <col min="11030" max="11030" width="9.140625" style="537"/>
    <col min="11031" max="11031" width="11.7109375" style="537" customWidth="1"/>
    <col min="11032" max="11032" width="12.140625" style="537" bestFit="1" customWidth="1"/>
    <col min="11033" max="11033" width="7.5703125" style="537" customWidth="1"/>
    <col min="11034" max="11034" width="9.140625" style="537"/>
    <col min="11035" max="11035" width="11.42578125" style="537" customWidth="1"/>
    <col min="11036" max="11036" width="9.140625" style="537"/>
    <col min="11037" max="11037" width="10.28515625" style="537" bestFit="1" customWidth="1"/>
    <col min="11038" max="11038" width="12" style="537" customWidth="1"/>
    <col min="11039" max="11040" width="9.140625" style="537"/>
    <col min="11041" max="11041" width="12" style="537" customWidth="1"/>
    <col min="11042" max="11042" width="11" style="537" customWidth="1"/>
    <col min="11043" max="11043" width="9.140625" style="537"/>
    <col min="11044" max="11044" width="12.42578125" style="537" customWidth="1"/>
    <col min="11045" max="11264" width="9.140625" style="537"/>
    <col min="11265" max="11265" width="57.140625" style="537" bestFit="1" customWidth="1"/>
    <col min="11266" max="11266" width="12.140625" style="537" customWidth="1"/>
    <col min="11267" max="11267" width="14.140625" style="537" customWidth="1"/>
    <col min="11268" max="11268" width="12.85546875" style="537" customWidth="1"/>
    <col min="11269" max="11269" width="11.42578125" style="537" customWidth="1"/>
    <col min="11270" max="11270" width="2.28515625" style="537" customWidth="1"/>
    <col min="11271" max="11271" width="12.85546875" style="537" customWidth="1"/>
    <col min="11272" max="11272" width="11.85546875" style="537" customWidth="1"/>
    <col min="11273" max="11273" width="1.7109375" style="537" customWidth="1"/>
    <col min="11274" max="11274" width="8.28515625" style="537" customWidth="1"/>
    <col min="11275" max="11275" width="13" style="537" customWidth="1"/>
    <col min="11276" max="11276" width="11.140625" style="537" customWidth="1"/>
    <col min="11277" max="11277" width="4.42578125" style="537" customWidth="1"/>
    <col min="11278" max="11278" width="9.140625" style="537"/>
    <col min="11279" max="11279" width="10.28515625" style="537" customWidth="1"/>
    <col min="11280" max="11280" width="11" style="537" customWidth="1"/>
    <col min="11281" max="11281" width="7.5703125" style="537" customWidth="1"/>
    <col min="11282" max="11282" width="9.140625" style="537"/>
    <col min="11283" max="11283" width="11.7109375" style="537" customWidth="1"/>
    <col min="11284" max="11284" width="12.140625" style="537" bestFit="1" customWidth="1"/>
    <col min="11285" max="11285" width="7.5703125" style="537" customWidth="1"/>
    <col min="11286" max="11286" width="9.140625" style="537"/>
    <col min="11287" max="11287" width="11.7109375" style="537" customWidth="1"/>
    <col min="11288" max="11288" width="12.140625" style="537" bestFit="1" customWidth="1"/>
    <col min="11289" max="11289" width="7.5703125" style="537" customWidth="1"/>
    <col min="11290" max="11290" width="9.140625" style="537"/>
    <col min="11291" max="11291" width="11.42578125" style="537" customWidth="1"/>
    <col min="11292" max="11292" width="9.140625" style="537"/>
    <col min="11293" max="11293" width="10.28515625" style="537" bestFit="1" customWidth="1"/>
    <col min="11294" max="11294" width="12" style="537" customWidth="1"/>
    <col min="11295" max="11296" width="9.140625" style="537"/>
    <col min="11297" max="11297" width="12" style="537" customWidth="1"/>
    <col min="11298" max="11298" width="11" style="537" customWidth="1"/>
    <col min="11299" max="11299" width="9.140625" style="537"/>
    <col min="11300" max="11300" width="12.42578125" style="537" customWidth="1"/>
    <col min="11301" max="11520" width="9.140625" style="537"/>
    <col min="11521" max="11521" width="57.140625" style="537" bestFit="1" customWidth="1"/>
    <col min="11522" max="11522" width="12.140625" style="537" customWidth="1"/>
    <col min="11523" max="11523" width="14.140625" style="537" customWidth="1"/>
    <col min="11524" max="11524" width="12.85546875" style="537" customWidth="1"/>
    <col min="11525" max="11525" width="11.42578125" style="537" customWidth="1"/>
    <col min="11526" max="11526" width="2.28515625" style="537" customWidth="1"/>
    <col min="11527" max="11527" width="12.85546875" style="537" customWidth="1"/>
    <col min="11528" max="11528" width="11.85546875" style="537" customWidth="1"/>
    <col min="11529" max="11529" width="1.7109375" style="537" customWidth="1"/>
    <col min="11530" max="11530" width="8.28515625" style="537" customWidth="1"/>
    <col min="11531" max="11531" width="13" style="537" customWidth="1"/>
    <col min="11532" max="11532" width="11.140625" style="537" customWidth="1"/>
    <col min="11533" max="11533" width="4.42578125" style="537" customWidth="1"/>
    <col min="11534" max="11534" width="9.140625" style="537"/>
    <col min="11535" max="11535" width="10.28515625" style="537" customWidth="1"/>
    <col min="11536" max="11536" width="11" style="537" customWidth="1"/>
    <col min="11537" max="11537" width="7.5703125" style="537" customWidth="1"/>
    <col min="11538" max="11538" width="9.140625" style="537"/>
    <col min="11539" max="11539" width="11.7109375" style="537" customWidth="1"/>
    <col min="11540" max="11540" width="12.140625" style="537" bestFit="1" customWidth="1"/>
    <col min="11541" max="11541" width="7.5703125" style="537" customWidth="1"/>
    <col min="11542" max="11542" width="9.140625" style="537"/>
    <col min="11543" max="11543" width="11.7109375" style="537" customWidth="1"/>
    <col min="11544" max="11544" width="12.140625" style="537" bestFit="1" customWidth="1"/>
    <col min="11545" max="11545" width="7.5703125" style="537" customWidth="1"/>
    <col min="11546" max="11546" width="9.140625" style="537"/>
    <col min="11547" max="11547" width="11.42578125" style="537" customWidth="1"/>
    <col min="11548" max="11548" width="9.140625" style="537"/>
    <col min="11549" max="11549" width="10.28515625" style="537" bestFit="1" customWidth="1"/>
    <col min="11550" max="11550" width="12" style="537" customWidth="1"/>
    <col min="11551" max="11552" width="9.140625" style="537"/>
    <col min="11553" max="11553" width="12" style="537" customWidth="1"/>
    <col min="11554" max="11554" width="11" style="537" customWidth="1"/>
    <col min="11555" max="11555" width="9.140625" style="537"/>
    <col min="11556" max="11556" width="12.42578125" style="537" customWidth="1"/>
    <col min="11557" max="11776" width="9.140625" style="537"/>
    <col min="11777" max="11777" width="57.140625" style="537" bestFit="1" customWidth="1"/>
    <col min="11778" max="11778" width="12.140625" style="537" customWidth="1"/>
    <col min="11779" max="11779" width="14.140625" style="537" customWidth="1"/>
    <col min="11780" max="11780" width="12.85546875" style="537" customWidth="1"/>
    <col min="11781" max="11781" width="11.42578125" style="537" customWidth="1"/>
    <col min="11782" max="11782" width="2.28515625" style="537" customWidth="1"/>
    <col min="11783" max="11783" width="12.85546875" style="537" customWidth="1"/>
    <col min="11784" max="11784" width="11.85546875" style="537" customWidth="1"/>
    <col min="11785" max="11785" width="1.7109375" style="537" customWidth="1"/>
    <col min="11786" max="11786" width="8.28515625" style="537" customWidth="1"/>
    <col min="11787" max="11787" width="13" style="537" customWidth="1"/>
    <col min="11788" max="11788" width="11.140625" style="537" customWidth="1"/>
    <col min="11789" max="11789" width="4.42578125" style="537" customWidth="1"/>
    <col min="11790" max="11790" width="9.140625" style="537"/>
    <col min="11791" max="11791" width="10.28515625" style="537" customWidth="1"/>
    <col min="11792" max="11792" width="11" style="537" customWidth="1"/>
    <col min="11793" max="11793" width="7.5703125" style="537" customWidth="1"/>
    <col min="11794" max="11794" width="9.140625" style="537"/>
    <col min="11795" max="11795" width="11.7109375" style="537" customWidth="1"/>
    <col min="11796" max="11796" width="12.140625" style="537" bestFit="1" customWidth="1"/>
    <col min="11797" max="11797" width="7.5703125" style="537" customWidth="1"/>
    <col min="11798" max="11798" width="9.140625" style="537"/>
    <col min="11799" max="11799" width="11.7109375" style="537" customWidth="1"/>
    <col min="11800" max="11800" width="12.140625" style="537" bestFit="1" customWidth="1"/>
    <col min="11801" max="11801" width="7.5703125" style="537" customWidth="1"/>
    <col min="11802" max="11802" width="9.140625" style="537"/>
    <col min="11803" max="11803" width="11.42578125" style="537" customWidth="1"/>
    <col min="11804" max="11804" width="9.140625" style="537"/>
    <col min="11805" max="11805" width="10.28515625" style="537" bestFit="1" customWidth="1"/>
    <col min="11806" max="11806" width="12" style="537" customWidth="1"/>
    <col min="11807" max="11808" width="9.140625" style="537"/>
    <col min="11809" max="11809" width="12" style="537" customWidth="1"/>
    <col min="11810" max="11810" width="11" style="537" customWidth="1"/>
    <col min="11811" max="11811" width="9.140625" style="537"/>
    <col min="11812" max="11812" width="12.42578125" style="537" customWidth="1"/>
    <col min="11813" max="12032" width="9.140625" style="537"/>
    <col min="12033" max="12033" width="57.140625" style="537" bestFit="1" customWidth="1"/>
    <col min="12034" max="12034" width="12.140625" style="537" customWidth="1"/>
    <col min="12035" max="12035" width="14.140625" style="537" customWidth="1"/>
    <col min="12036" max="12036" width="12.85546875" style="537" customWidth="1"/>
    <col min="12037" max="12037" width="11.42578125" style="537" customWidth="1"/>
    <col min="12038" max="12038" width="2.28515625" style="537" customWidth="1"/>
    <col min="12039" max="12039" width="12.85546875" style="537" customWidth="1"/>
    <col min="12040" max="12040" width="11.85546875" style="537" customWidth="1"/>
    <col min="12041" max="12041" width="1.7109375" style="537" customWidth="1"/>
    <col min="12042" max="12042" width="8.28515625" style="537" customWidth="1"/>
    <col min="12043" max="12043" width="13" style="537" customWidth="1"/>
    <col min="12044" max="12044" width="11.140625" style="537" customWidth="1"/>
    <col min="12045" max="12045" width="4.42578125" style="537" customWidth="1"/>
    <col min="12046" max="12046" width="9.140625" style="537"/>
    <col min="12047" max="12047" width="10.28515625" style="537" customWidth="1"/>
    <col min="12048" max="12048" width="11" style="537" customWidth="1"/>
    <col min="12049" max="12049" width="7.5703125" style="537" customWidth="1"/>
    <col min="12050" max="12050" width="9.140625" style="537"/>
    <col min="12051" max="12051" width="11.7109375" style="537" customWidth="1"/>
    <col min="12052" max="12052" width="12.140625" style="537" bestFit="1" customWidth="1"/>
    <col min="12053" max="12053" width="7.5703125" style="537" customWidth="1"/>
    <col min="12054" max="12054" width="9.140625" style="537"/>
    <col min="12055" max="12055" width="11.7109375" style="537" customWidth="1"/>
    <col min="12056" max="12056" width="12.140625" style="537" bestFit="1" customWidth="1"/>
    <col min="12057" max="12057" width="7.5703125" style="537" customWidth="1"/>
    <col min="12058" max="12058" width="9.140625" style="537"/>
    <col min="12059" max="12059" width="11.42578125" style="537" customWidth="1"/>
    <col min="12060" max="12060" width="9.140625" style="537"/>
    <col min="12061" max="12061" width="10.28515625" style="537" bestFit="1" customWidth="1"/>
    <col min="12062" max="12062" width="12" style="537" customWidth="1"/>
    <col min="12063" max="12064" width="9.140625" style="537"/>
    <col min="12065" max="12065" width="12" style="537" customWidth="1"/>
    <col min="12066" max="12066" width="11" style="537" customWidth="1"/>
    <col min="12067" max="12067" width="9.140625" style="537"/>
    <col min="12068" max="12068" width="12.42578125" style="537" customWidth="1"/>
    <col min="12069" max="12288" width="9.140625" style="537"/>
    <col min="12289" max="12289" width="57.140625" style="537" bestFit="1" customWidth="1"/>
    <col min="12290" max="12290" width="12.140625" style="537" customWidth="1"/>
    <col min="12291" max="12291" width="14.140625" style="537" customWidth="1"/>
    <col min="12292" max="12292" width="12.85546875" style="537" customWidth="1"/>
    <col min="12293" max="12293" width="11.42578125" style="537" customWidth="1"/>
    <col min="12294" max="12294" width="2.28515625" style="537" customWidth="1"/>
    <col min="12295" max="12295" width="12.85546875" style="537" customWidth="1"/>
    <col min="12296" max="12296" width="11.85546875" style="537" customWidth="1"/>
    <col min="12297" max="12297" width="1.7109375" style="537" customWidth="1"/>
    <col min="12298" max="12298" width="8.28515625" style="537" customWidth="1"/>
    <col min="12299" max="12299" width="13" style="537" customWidth="1"/>
    <col min="12300" max="12300" width="11.140625" style="537" customWidth="1"/>
    <col min="12301" max="12301" width="4.42578125" style="537" customWidth="1"/>
    <col min="12302" max="12302" width="9.140625" style="537"/>
    <col min="12303" max="12303" width="10.28515625" style="537" customWidth="1"/>
    <col min="12304" max="12304" width="11" style="537" customWidth="1"/>
    <col min="12305" max="12305" width="7.5703125" style="537" customWidth="1"/>
    <col min="12306" max="12306" width="9.140625" style="537"/>
    <col min="12307" max="12307" width="11.7109375" style="537" customWidth="1"/>
    <col min="12308" max="12308" width="12.140625" style="537" bestFit="1" customWidth="1"/>
    <col min="12309" max="12309" width="7.5703125" style="537" customWidth="1"/>
    <col min="12310" max="12310" width="9.140625" style="537"/>
    <col min="12311" max="12311" width="11.7109375" style="537" customWidth="1"/>
    <col min="12312" max="12312" width="12.140625" style="537" bestFit="1" customWidth="1"/>
    <col min="12313" max="12313" width="7.5703125" style="537" customWidth="1"/>
    <col min="12314" max="12314" width="9.140625" style="537"/>
    <col min="12315" max="12315" width="11.42578125" style="537" customWidth="1"/>
    <col min="12316" max="12316" width="9.140625" style="537"/>
    <col min="12317" max="12317" width="10.28515625" style="537" bestFit="1" customWidth="1"/>
    <col min="12318" max="12318" width="12" style="537" customWidth="1"/>
    <col min="12319" max="12320" width="9.140625" style="537"/>
    <col min="12321" max="12321" width="12" style="537" customWidth="1"/>
    <col min="12322" max="12322" width="11" style="537" customWidth="1"/>
    <col min="12323" max="12323" width="9.140625" style="537"/>
    <col min="12324" max="12324" width="12.42578125" style="537" customWidth="1"/>
    <col min="12325" max="12544" width="9.140625" style="537"/>
    <col min="12545" max="12545" width="57.140625" style="537" bestFit="1" customWidth="1"/>
    <col min="12546" max="12546" width="12.140625" style="537" customWidth="1"/>
    <col min="12547" max="12547" width="14.140625" style="537" customWidth="1"/>
    <col min="12548" max="12548" width="12.85546875" style="537" customWidth="1"/>
    <col min="12549" max="12549" width="11.42578125" style="537" customWidth="1"/>
    <col min="12550" max="12550" width="2.28515625" style="537" customWidth="1"/>
    <col min="12551" max="12551" width="12.85546875" style="537" customWidth="1"/>
    <col min="12552" max="12552" width="11.85546875" style="537" customWidth="1"/>
    <col min="12553" max="12553" width="1.7109375" style="537" customWidth="1"/>
    <col min="12554" max="12554" width="8.28515625" style="537" customWidth="1"/>
    <col min="12555" max="12555" width="13" style="537" customWidth="1"/>
    <col min="12556" max="12556" width="11.140625" style="537" customWidth="1"/>
    <col min="12557" max="12557" width="4.42578125" style="537" customWidth="1"/>
    <col min="12558" max="12558" width="9.140625" style="537"/>
    <col min="12559" max="12559" width="10.28515625" style="537" customWidth="1"/>
    <col min="12560" max="12560" width="11" style="537" customWidth="1"/>
    <col min="12561" max="12561" width="7.5703125" style="537" customWidth="1"/>
    <col min="12562" max="12562" width="9.140625" style="537"/>
    <col min="12563" max="12563" width="11.7109375" style="537" customWidth="1"/>
    <col min="12564" max="12564" width="12.140625" style="537" bestFit="1" customWidth="1"/>
    <col min="12565" max="12565" width="7.5703125" style="537" customWidth="1"/>
    <col min="12566" max="12566" width="9.140625" style="537"/>
    <col min="12567" max="12567" width="11.7109375" style="537" customWidth="1"/>
    <col min="12568" max="12568" width="12.140625" style="537" bestFit="1" customWidth="1"/>
    <col min="12569" max="12569" width="7.5703125" style="537" customWidth="1"/>
    <col min="12570" max="12570" width="9.140625" style="537"/>
    <col min="12571" max="12571" width="11.42578125" style="537" customWidth="1"/>
    <col min="12572" max="12572" width="9.140625" style="537"/>
    <col min="12573" max="12573" width="10.28515625" style="537" bestFit="1" customWidth="1"/>
    <col min="12574" max="12574" width="12" style="537" customWidth="1"/>
    <col min="12575" max="12576" width="9.140625" style="537"/>
    <col min="12577" max="12577" width="12" style="537" customWidth="1"/>
    <col min="12578" max="12578" width="11" style="537" customWidth="1"/>
    <col min="12579" max="12579" width="9.140625" style="537"/>
    <col min="12580" max="12580" width="12.42578125" style="537" customWidth="1"/>
    <col min="12581" max="12800" width="9.140625" style="537"/>
    <col min="12801" max="12801" width="57.140625" style="537" bestFit="1" customWidth="1"/>
    <col min="12802" max="12802" width="12.140625" style="537" customWidth="1"/>
    <col min="12803" max="12803" width="14.140625" style="537" customWidth="1"/>
    <col min="12804" max="12804" width="12.85546875" style="537" customWidth="1"/>
    <col min="12805" max="12805" width="11.42578125" style="537" customWidth="1"/>
    <col min="12806" max="12806" width="2.28515625" style="537" customWidth="1"/>
    <col min="12807" max="12807" width="12.85546875" style="537" customWidth="1"/>
    <col min="12808" max="12808" width="11.85546875" style="537" customWidth="1"/>
    <col min="12809" max="12809" width="1.7109375" style="537" customWidth="1"/>
    <col min="12810" max="12810" width="8.28515625" style="537" customWidth="1"/>
    <col min="12811" max="12811" width="13" style="537" customWidth="1"/>
    <col min="12812" max="12812" width="11.140625" style="537" customWidth="1"/>
    <col min="12813" max="12813" width="4.42578125" style="537" customWidth="1"/>
    <col min="12814" max="12814" width="9.140625" style="537"/>
    <col min="12815" max="12815" width="10.28515625" style="537" customWidth="1"/>
    <col min="12816" max="12816" width="11" style="537" customWidth="1"/>
    <col min="12817" max="12817" width="7.5703125" style="537" customWidth="1"/>
    <col min="12818" max="12818" width="9.140625" style="537"/>
    <col min="12819" max="12819" width="11.7109375" style="537" customWidth="1"/>
    <col min="12820" max="12820" width="12.140625" style="537" bestFit="1" customWidth="1"/>
    <col min="12821" max="12821" width="7.5703125" style="537" customWidth="1"/>
    <col min="12822" max="12822" width="9.140625" style="537"/>
    <col min="12823" max="12823" width="11.7109375" style="537" customWidth="1"/>
    <col min="12824" max="12824" width="12.140625" style="537" bestFit="1" customWidth="1"/>
    <col min="12825" max="12825" width="7.5703125" style="537" customWidth="1"/>
    <col min="12826" max="12826" width="9.140625" style="537"/>
    <col min="12827" max="12827" width="11.42578125" style="537" customWidth="1"/>
    <col min="12828" max="12828" width="9.140625" style="537"/>
    <col min="12829" max="12829" width="10.28515625" style="537" bestFit="1" customWidth="1"/>
    <col min="12830" max="12830" width="12" style="537" customWidth="1"/>
    <col min="12831" max="12832" width="9.140625" style="537"/>
    <col min="12833" max="12833" width="12" style="537" customWidth="1"/>
    <col min="12834" max="12834" width="11" style="537" customWidth="1"/>
    <col min="12835" max="12835" width="9.140625" style="537"/>
    <col min="12836" max="12836" width="12.42578125" style="537" customWidth="1"/>
    <col min="12837" max="13056" width="9.140625" style="537"/>
    <col min="13057" max="13057" width="57.140625" style="537" bestFit="1" customWidth="1"/>
    <col min="13058" max="13058" width="12.140625" style="537" customWidth="1"/>
    <col min="13059" max="13059" width="14.140625" style="537" customWidth="1"/>
    <col min="13060" max="13060" width="12.85546875" style="537" customWidth="1"/>
    <col min="13061" max="13061" width="11.42578125" style="537" customWidth="1"/>
    <col min="13062" max="13062" width="2.28515625" style="537" customWidth="1"/>
    <col min="13063" max="13063" width="12.85546875" style="537" customWidth="1"/>
    <col min="13064" max="13064" width="11.85546875" style="537" customWidth="1"/>
    <col min="13065" max="13065" width="1.7109375" style="537" customWidth="1"/>
    <col min="13066" max="13066" width="8.28515625" style="537" customWidth="1"/>
    <col min="13067" max="13067" width="13" style="537" customWidth="1"/>
    <col min="13068" max="13068" width="11.140625" style="537" customWidth="1"/>
    <col min="13069" max="13069" width="4.42578125" style="537" customWidth="1"/>
    <col min="13070" max="13070" width="9.140625" style="537"/>
    <col min="13071" max="13071" width="10.28515625" style="537" customWidth="1"/>
    <col min="13072" max="13072" width="11" style="537" customWidth="1"/>
    <col min="13073" max="13073" width="7.5703125" style="537" customWidth="1"/>
    <col min="13074" max="13074" width="9.140625" style="537"/>
    <col min="13075" max="13075" width="11.7109375" style="537" customWidth="1"/>
    <col min="13076" max="13076" width="12.140625" style="537" bestFit="1" customWidth="1"/>
    <col min="13077" max="13077" width="7.5703125" style="537" customWidth="1"/>
    <col min="13078" max="13078" width="9.140625" style="537"/>
    <col min="13079" max="13079" width="11.7109375" style="537" customWidth="1"/>
    <col min="13080" max="13080" width="12.140625" style="537" bestFit="1" customWidth="1"/>
    <col min="13081" max="13081" width="7.5703125" style="537" customWidth="1"/>
    <col min="13082" max="13082" width="9.140625" style="537"/>
    <col min="13083" max="13083" width="11.42578125" style="537" customWidth="1"/>
    <col min="13084" max="13084" width="9.140625" style="537"/>
    <col min="13085" max="13085" width="10.28515625" style="537" bestFit="1" customWidth="1"/>
    <col min="13086" max="13086" width="12" style="537" customWidth="1"/>
    <col min="13087" max="13088" width="9.140625" style="537"/>
    <col min="13089" max="13089" width="12" style="537" customWidth="1"/>
    <col min="13090" max="13090" width="11" style="537" customWidth="1"/>
    <col min="13091" max="13091" width="9.140625" style="537"/>
    <col min="13092" max="13092" width="12.42578125" style="537" customWidth="1"/>
    <col min="13093" max="13312" width="9.140625" style="537"/>
    <col min="13313" max="13313" width="57.140625" style="537" bestFit="1" customWidth="1"/>
    <col min="13314" max="13314" width="12.140625" style="537" customWidth="1"/>
    <col min="13315" max="13315" width="14.140625" style="537" customWidth="1"/>
    <col min="13316" max="13316" width="12.85546875" style="537" customWidth="1"/>
    <col min="13317" max="13317" width="11.42578125" style="537" customWidth="1"/>
    <col min="13318" max="13318" width="2.28515625" style="537" customWidth="1"/>
    <col min="13319" max="13319" width="12.85546875" style="537" customWidth="1"/>
    <col min="13320" max="13320" width="11.85546875" style="537" customWidth="1"/>
    <col min="13321" max="13321" width="1.7109375" style="537" customWidth="1"/>
    <col min="13322" max="13322" width="8.28515625" style="537" customWidth="1"/>
    <col min="13323" max="13323" width="13" style="537" customWidth="1"/>
    <col min="13324" max="13324" width="11.140625" style="537" customWidth="1"/>
    <col min="13325" max="13325" width="4.42578125" style="537" customWidth="1"/>
    <col min="13326" max="13326" width="9.140625" style="537"/>
    <col min="13327" max="13327" width="10.28515625" style="537" customWidth="1"/>
    <col min="13328" max="13328" width="11" style="537" customWidth="1"/>
    <col min="13329" max="13329" width="7.5703125" style="537" customWidth="1"/>
    <col min="13330" max="13330" width="9.140625" style="537"/>
    <col min="13331" max="13331" width="11.7109375" style="537" customWidth="1"/>
    <col min="13332" max="13332" width="12.140625" style="537" bestFit="1" customWidth="1"/>
    <col min="13333" max="13333" width="7.5703125" style="537" customWidth="1"/>
    <col min="13334" max="13334" width="9.140625" style="537"/>
    <col min="13335" max="13335" width="11.7109375" style="537" customWidth="1"/>
    <col min="13336" max="13336" width="12.140625" style="537" bestFit="1" customWidth="1"/>
    <col min="13337" max="13337" width="7.5703125" style="537" customWidth="1"/>
    <col min="13338" max="13338" width="9.140625" style="537"/>
    <col min="13339" max="13339" width="11.42578125" style="537" customWidth="1"/>
    <col min="13340" max="13340" width="9.140625" style="537"/>
    <col min="13341" max="13341" width="10.28515625" style="537" bestFit="1" customWidth="1"/>
    <col min="13342" max="13342" width="12" style="537" customWidth="1"/>
    <col min="13343" max="13344" width="9.140625" style="537"/>
    <col min="13345" max="13345" width="12" style="537" customWidth="1"/>
    <col min="13346" max="13346" width="11" style="537" customWidth="1"/>
    <col min="13347" max="13347" width="9.140625" style="537"/>
    <col min="13348" max="13348" width="12.42578125" style="537" customWidth="1"/>
    <col min="13349" max="13568" width="9.140625" style="537"/>
    <col min="13569" max="13569" width="57.140625" style="537" bestFit="1" customWidth="1"/>
    <col min="13570" max="13570" width="12.140625" style="537" customWidth="1"/>
    <col min="13571" max="13571" width="14.140625" style="537" customWidth="1"/>
    <col min="13572" max="13572" width="12.85546875" style="537" customWidth="1"/>
    <col min="13573" max="13573" width="11.42578125" style="537" customWidth="1"/>
    <col min="13574" max="13574" width="2.28515625" style="537" customWidth="1"/>
    <col min="13575" max="13575" width="12.85546875" style="537" customWidth="1"/>
    <col min="13576" max="13576" width="11.85546875" style="537" customWidth="1"/>
    <col min="13577" max="13577" width="1.7109375" style="537" customWidth="1"/>
    <col min="13578" max="13578" width="8.28515625" style="537" customWidth="1"/>
    <col min="13579" max="13579" width="13" style="537" customWidth="1"/>
    <col min="13580" max="13580" width="11.140625" style="537" customWidth="1"/>
    <col min="13581" max="13581" width="4.42578125" style="537" customWidth="1"/>
    <col min="13582" max="13582" width="9.140625" style="537"/>
    <col min="13583" max="13583" width="10.28515625" style="537" customWidth="1"/>
    <col min="13584" max="13584" width="11" style="537" customWidth="1"/>
    <col min="13585" max="13585" width="7.5703125" style="537" customWidth="1"/>
    <col min="13586" max="13586" width="9.140625" style="537"/>
    <col min="13587" max="13587" width="11.7109375" style="537" customWidth="1"/>
    <col min="13588" max="13588" width="12.140625" style="537" bestFit="1" customWidth="1"/>
    <col min="13589" max="13589" width="7.5703125" style="537" customWidth="1"/>
    <col min="13590" max="13590" width="9.140625" style="537"/>
    <col min="13591" max="13591" width="11.7109375" style="537" customWidth="1"/>
    <col min="13592" max="13592" width="12.140625" style="537" bestFit="1" customWidth="1"/>
    <col min="13593" max="13593" width="7.5703125" style="537" customWidth="1"/>
    <col min="13594" max="13594" width="9.140625" style="537"/>
    <col min="13595" max="13595" width="11.42578125" style="537" customWidth="1"/>
    <col min="13596" max="13596" width="9.140625" style="537"/>
    <col min="13597" max="13597" width="10.28515625" style="537" bestFit="1" customWidth="1"/>
    <col min="13598" max="13598" width="12" style="537" customWidth="1"/>
    <col min="13599" max="13600" width="9.140625" style="537"/>
    <col min="13601" max="13601" width="12" style="537" customWidth="1"/>
    <col min="13602" max="13602" width="11" style="537" customWidth="1"/>
    <col min="13603" max="13603" width="9.140625" style="537"/>
    <col min="13604" max="13604" width="12.42578125" style="537" customWidth="1"/>
    <col min="13605" max="13824" width="9.140625" style="537"/>
    <col min="13825" max="13825" width="57.140625" style="537" bestFit="1" customWidth="1"/>
    <col min="13826" max="13826" width="12.140625" style="537" customWidth="1"/>
    <col min="13827" max="13827" width="14.140625" style="537" customWidth="1"/>
    <col min="13828" max="13828" width="12.85546875" style="537" customWidth="1"/>
    <col min="13829" max="13829" width="11.42578125" style="537" customWidth="1"/>
    <col min="13830" max="13830" width="2.28515625" style="537" customWidth="1"/>
    <col min="13831" max="13831" width="12.85546875" style="537" customWidth="1"/>
    <col min="13832" max="13832" width="11.85546875" style="537" customWidth="1"/>
    <col min="13833" max="13833" width="1.7109375" style="537" customWidth="1"/>
    <col min="13834" max="13834" width="8.28515625" style="537" customWidth="1"/>
    <col min="13835" max="13835" width="13" style="537" customWidth="1"/>
    <col min="13836" max="13836" width="11.140625" style="537" customWidth="1"/>
    <col min="13837" max="13837" width="4.42578125" style="537" customWidth="1"/>
    <col min="13838" max="13838" width="9.140625" style="537"/>
    <col min="13839" max="13839" width="10.28515625" style="537" customWidth="1"/>
    <col min="13840" max="13840" width="11" style="537" customWidth="1"/>
    <col min="13841" max="13841" width="7.5703125" style="537" customWidth="1"/>
    <col min="13842" max="13842" width="9.140625" style="537"/>
    <col min="13843" max="13843" width="11.7109375" style="537" customWidth="1"/>
    <col min="13844" max="13844" width="12.140625" style="537" bestFit="1" customWidth="1"/>
    <col min="13845" max="13845" width="7.5703125" style="537" customWidth="1"/>
    <col min="13846" max="13846" width="9.140625" style="537"/>
    <col min="13847" max="13847" width="11.7109375" style="537" customWidth="1"/>
    <col min="13848" max="13848" width="12.140625" style="537" bestFit="1" customWidth="1"/>
    <col min="13849" max="13849" width="7.5703125" style="537" customWidth="1"/>
    <col min="13850" max="13850" width="9.140625" style="537"/>
    <col min="13851" max="13851" width="11.42578125" style="537" customWidth="1"/>
    <col min="13852" max="13852" width="9.140625" style="537"/>
    <col min="13853" max="13853" width="10.28515625" style="537" bestFit="1" customWidth="1"/>
    <col min="13854" max="13854" width="12" style="537" customWidth="1"/>
    <col min="13855" max="13856" width="9.140625" style="537"/>
    <col min="13857" max="13857" width="12" style="537" customWidth="1"/>
    <col min="13858" max="13858" width="11" style="537" customWidth="1"/>
    <col min="13859" max="13859" width="9.140625" style="537"/>
    <col min="13860" max="13860" width="12.42578125" style="537" customWidth="1"/>
    <col min="13861" max="14080" width="9.140625" style="537"/>
    <col min="14081" max="14081" width="57.140625" style="537" bestFit="1" customWidth="1"/>
    <col min="14082" max="14082" width="12.140625" style="537" customWidth="1"/>
    <col min="14083" max="14083" width="14.140625" style="537" customWidth="1"/>
    <col min="14084" max="14084" width="12.85546875" style="537" customWidth="1"/>
    <col min="14085" max="14085" width="11.42578125" style="537" customWidth="1"/>
    <col min="14086" max="14086" width="2.28515625" style="537" customWidth="1"/>
    <col min="14087" max="14087" width="12.85546875" style="537" customWidth="1"/>
    <col min="14088" max="14088" width="11.85546875" style="537" customWidth="1"/>
    <col min="14089" max="14089" width="1.7109375" style="537" customWidth="1"/>
    <col min="14090" max="14090" width="8.28515625" style="537" customWidth="1"/>
    <col min="14091" max="14091" width="13" style="537" customWidth="1"/>
    <col min="14092" max="14092" width="11.140625" style="537" customWidth="1"/>
    <col min="14093" max="14093" width="4.42578125" style="537" customWidth="1"/>
    <col min="14094" max="14094" width="9.140625" style="537"/>
    <col min="14095" max="14095" width="10.28515625" style="537" customWidth="1"/>
    <col min="14096" max="14096" width="11" style="537" customWidth="1"/>
    <col min="14097" max="14097" width="7.5703125" style="537" customWidth="1"/>
    <col min="14098" max="14098" width="9.140625" style="537"/>
    <col min="14099" max="14099" width="11.7109375" style="537" customWidth="1"/>
    <col min="14100" max="14100" width="12.140625" style="537" bestFit="1" customWidth="1"/>
    <col min="14101" max="14101" width="7.5703125" style="537" customWidth="1"/>
    <col min="14102" max="14102" width="9.140625" style="537"/>
    <col min="14103" max="14103" width="11.7109375" style="537" customWidth="1"/>
    <col min="14104" max="14104" width="12.140625" style="537" bestFit="1" customWidth="1"/>
    <col min="14105" max="14105" width="7.5703125" style="537" customWidth="1"/>
    <col min="14106" max="14106" width="9.140625" style="537"/>
    <col min="14107" max="14107" width="11.42578125" style="537" customWidth="1"/>
    <col min="14108" max="14108" width="9.140625" style="537"/>
    <col min="14109" max="14109" width="10.28515625" style="537" bestFit="1" customWidth="1"/>
    <col min="14110" max="14110" width="12" style="537" customWidth="1"/>
    <col min="14111" max="14112" width="9.140625" style="537"/>
    <col min="14113" max="14113" width="12" style="537" customWidth="1"/>
    <col min="14114" max="14114" width="11" style="537" customWidth="1"/>
    <col min="14115" max="14115" width="9.140625" style="537"/>
    <col min="14116" max="14116" width="12.42578125" style="537" customWidth="1"/>
    <col min="14117" max="14336" width="9.140625" style="537"/>
    <col min="14337" max="14337" width="57.140625" style="537" bestFit="1" customWidth="1"/>
    <col min="14338" max="14338" width="12.140625" style="537" customWidth="1"/>
    <col min="14339" max="14339" width="14.140625" style="537" customWidth="1"/>
    <col min="14340" max="14340" width="12.85546875" style="537" customWidth="1"/>
    <col min="14341" max="14341" width="11.42578125" style="537" customWidth="1"/>
    <col min="14342" max="14342" width="2.28515625" style="537" customWidth="1"/>
    <col min="14343" max="14343" width="12.85546875" style="537" customWidth="1"/>
    <col min="14344" max="14344" width="11.85546875" style="537" customWidth="1"/>
    <col min="14345" max="14345" width="1.7109375" style="537" customWidth="1"/>
    <col min="14346" max="14346" width="8.28515625" style="537" customWidth="1"/>
    <col min="14347" max="14347" width="13" style="537" customWidth="1"/>
    <col min="14348" max="14348" width="11.140625" style="537" customWidth="1"/>
    <col min="14349" max="14349" width="4.42578125" style="537" customWidth="1"/>
    <col min="14350" max="14350" width="9.140625" style="537"/>
    <col min="14351" max="14351" width="10.28515625" style="537" customWidth="1"/>
    <col min="14352" max="14352" width="11" style="537" customWidth="1"/>
    <col min="14353" max="14353" width="7.5703125" style="537" customWidth="1"/>
    <col min="14354" max="14354" width="9.140625" style="537"/>
    <col min="14355" max="14355" width="11.7109375" style="537" customWidth="1"/>
    <col min="14356" max="14356" width="12.140625" style="537" bestFit="1" customWidth="1"/>
    <col min="14357" max="14357" width="7.5703125" style="537" customWidth="1"/>
    <col min="14358" max="14358" width="9.140625" style="537"/>
    <col min="14359" max="14359" width="11.7109375" style="537" customWidth="1"/>
    <col min="14360" max="14360" width="12.140625" style="537" bestFit="1" customWidth="1"/>
    <col min="14361" max="14361" width="7.5703125" style="537" customWidth="1"/>
    <col min="14362" max="14362" width="9.140625" style="537"/>
    <col min="14363" max="14363" width="11.42578125" style="537" customWidth="1"/>
    <col min="14364" max="14364" width="9.140625" style="537"/>
    <col min="14365" max="14365" width="10.28515625" style="537" bestFit="1" customWidth="1"/>
    <col min="14366" max="14366" width="12" style="537" customWidth="1"/>
    <col min="14367" max="14368" width="9.140625" style="537"/>
    <col min="14369" max="14369" width="12" style="537" customWidth="1"/>
    <col min="14370" max="14370" width="11" style="537" customWidth="1"/>
    <col min="14371" max="14371" width="9.140625" style="537"/>
    <col min="14372" max="14372" width="12.42578125" style="537" customWidth="1"/>
    <col min="14373" max="14592" width="9.140625" style="537"/>
    <col min="14593" max="14593" width="57.140625" style="537" bestFit="1" customWidth="1"/>
    <col min="14594" max="14594" width="12.140625" style="537" customWidth="1"/>
    <col min="14595" max="14595" width="14.140625" style="537" customWidth="1"/>
    <col min="14596" max="14596" width="12.85546875" style="537" customWidth="1"/>
    <col min="14597" max="14597" width="11.42578125" style="537" customWidth="1"/>
    <col min="14598" max="14598" width="2.28515625" style="537" customWidth="1"/>
    <col min="14599" max="14599" width="12.85546875" style="537" customWidth="1"/>
    <col min="14600" max="14600" width="11.85546875" style="537" customWidth="1"/>
    <col min="14601" max="14601" width="1.7109375" style="537" customWidth="1"/>
    <col min="14602" max="14602" width="8.28515625" style="537" customWidth="1"/>
    <col min="14603" max="14603" width="13" style="537" customWidth="1"/>
    <col min="14604" max="14604" width="11.140625" style="537" customWidth="1"/>
    <col min="14605" max="14605" width="4.42578125" style="537" customWidth="1"/>
    <col min="14606" max="14606" width="9.140625" style="537"/>
    <col min="14607" max="14607" width="10.28515625" style="537" customWidth="1"/>
    <col min="14608" max="14608" width="11" style="537" customWidth="1"/>
    <col min="14609" max="14609" width="7.5703125" style="537" customWidth="1"/>
    <col min="14610" max="14610" width="9.140625" style="537"/>
    <col min="14611" max="14611" width="11.7109375" style="537" customWidth="1"/>
    <col min="14612" max="14612" width="12.140625" style="537" bestFit="1" customWidth="1"/>
    <col min="14613" max="14613" width="7.5703125" style="537" customWidth="1"/>
    <col min="14614" max="14614" width="9.140625" style="537"/>
    <col min="14615" max="14615" width="11.7109375" style="537" customWidth="1"/>
    <col min="14616" max="14616" width="12.140625" style="537" bestFit="1" customWidth="1"/>
    <col min="14617" max="14617" width="7.5703125" style="537" customWidth="1"/>
    <col min="14618" max="14618" width="9.140625" style="537"/>
    <col min="14619" max="14619" width="11.42578125" style="537" customWidth="1"/>
    <col min="14620" max="14620" width="9.140625" style="537"/>
    <col min="14621" max="14621" width="10.28515625" style="537" bestFit="1" customWidth="1"/>
    <col min="14622" max="14622" width="12" style="537" customWidth="1"/>
    <col min="14623" max="14624" width="9.140625" style="537"/>
    <col min="14625" max="14625" width="12" style="537" customWidth="1"/>
    <col min="14626" max="14626" width="11" style="537" customWidth="1"/>
    <col min="14627" max="14627" width="9.140625" style="537"/>
    <col min="14628" max="14628" width="12.42578125" style="537" customWidth="1"/>
    <col min="14629" max="14848" width="9.140625" style="537"/>
    <col min="14849" max="14849" width="57.140625" style="537" bestFit="1" customWidth="1"/>
    <col min="14850" max="14850" width="12.140625" style="537" customWidth="1"/>
    <col min="14851" max="14851" width="14.140625" style="537" customWidth="1"/>
    <col min="14852" max="14852" width="12.85546875" style="537" customWidth="1"/>
    <col min="14853" max="14853" width="11.42578125" style="537" customWidth="1"/>
    <col min="14854" max="14854" width="2.28515625" style="537" customWidth="1"/>
    <col min="14855" max="14855" width="12.85546875" style="537" customWidth="1"/>
    <col min="14856" max="14856" width="11.85546875" style="537" customWidth="1"/>
    <col min="14857" max="14857" width="1.7109375" style="537" customWidth="1"/>
    <col min="14858" max="14858" width="8.28515625" style="537" customWidth="1"/>
    <col min="14859" max="14859" width="13" style="537" customWidth="1"/>
    <col min="14860" max="14860" width="11.140625" style="537" customWidth="1"/>
    <col min="14861" max="14861" width="4.42578125" style="537" customWidth="1"/>
    <col min="14862" max="14862" width="9.140625" style="537"/>
    <col min="14863" max="14863" width="10.28515625" style="537" customWidth="1"/>
    <col min="14864" max="14864" width="11" style="537" customWidth="1"/>
    <col min="14865" max="14865" width="7.5703125" style="537" customWidth="1"/>
    <col min="14866" max="14866" width="9.140625" style="537"/>
    <col min="14867" max="14867" width="11.7109375" style="537" customWidth="1"/>
    <col min="14868" max="14868" width="12.140625" style="537" bestFit="1" customWidth="1"/>
    <col min="14869" max="14869" width="7.5703125" style="537" customWidth="1"/>
    <col min="14870" max="14870" width="9.140625" style="537"/>
    <col min="14871" max="14871" width="11.7109375" style="537" customWidth="1"/>
    <col min="14872" max="14872" width="12.140625" style="537" bestFit="1" customWidth="1"/>
    <col min="14873" max="14873" width="7.5703125" style="537" customWidth="1"/>
    <col min="14874" max="14874" width="9.140625" style="537"/>
    <col min="14875" max="14875" width="11.42578125" style="537" customWidth="1"/>
    <col min="14876" max="14876" width="9.140625" style="537"/>
    <col min="14877" max="14877" width="10.28515625" style="537" bestFit="1" customWidth="1"/>
    <col min="14878" max="14878" width="12" style="537" customWidth="1"/>
    <col min="14879" max="14880" width="9.140625" style="537"/>
    <col min="14881" max="14881" width="12" style="537" customWidth="1"/>
    <col min="14882" max="14882" width="11" style="537" customWidth="1"/>
    <col min="14883" max="14883" width="9.140625" style="537"/>
    <col min="14884" max="14884" width="12.42578125" style="537" customWidth="1"/>
    <col min="14885" max="15104" width="9.140625" style="537"/>
    <col min="15105" max="15105" width="57.140625" style="537" bestFit="1" customWidth="1"/>
    <col min="15106" max="15106" width="12.140625" style="537" customWidth="1"/>
    <col min="15107" max="15107" width="14.140625" style="537" customWidth="1"/>
    <col min="15108" max="15108" width="12.85546875" style="537" customWidth="1"/>
    <col min="15109" max="15109" width="11.42578125" style="537" customWidth="1"/>
    <col min="15110" max="15110" width="2.28515625" style="537" customWidth="1"/>
    <col min="15111" max="15111" width="12.85546875" style="537" customWidth="1"/>
    <col min="15112" max="15112" width="11.85546875" style="537" customWidth="1"/>
    <col min="15113" max="15113" width="1.7109375" style="537" customWidth="1"/>
    <col min="15114" max="15114" width="8.28515625" style="537" customWidth="1"/>
    <col min="15115" max="15115" width="13" style="537" customWidth="1"/>
    <col min="15116" max="15116" width="11.140625" style="537" customWidth="1"/>
    <col min="15117" max="15117" width="4.42578125" style="537" customWidth="1"/>
    <col min="15118" max="15118" width="9.140625" style="537"/>
    <col min="15119" max="15119" width="10.28515625" style="537" customWidth="1"/>
    <col min="15120" max="15120" width="11" style="537" customWidth="1"/>
    <col min="15121" max="15121" width="7.5703125" style="537" customWidth="1"/>
    <col min="15122" max="15122" width="9.140625" style="537"/>
    <col min="15123" max="15123" width="11.7109375" style="537" customWidth="1"/>
    <col min="15124" max="15124" width="12.140625" style="537" bestFit="1" customWidth="1"/>
    <col min="15125" max="15125" width="7.5703125" style="537" customWidth="1"/>
    <col min="15126" max="15126" width="9.140625" style="537"/>
    <col min="15127" max="15127" width="11.7109375" style="537" customWidth="1"/>
    <col min="15128" max="15128" width="12.140625" style="537" bestFit="1" customWidth="1"/>
    <col min="15129" max="15129" width="7.5703125" style="537" customWidth="1"/>
    <col min="15130" max="15130" width="9.140625" style="537"/>
    <col min="15131" max="15131" width="11.42578125" style="537" customWidth="1"/>
    <col min="15132" max="15132" width="9.140625" style="537"/>
    <col min="15133" max="15133" width="10.28515625" style="537" bestFit="1" customWidth="1"/>
    <col min="15134" max="15134" width="12" style="537" customWidth="1"/>
    <col min="15135" max="15136" width="9.140625" style="537"/>
    <col min="15137" max="15137" width="12" style="537" customWidth="1"/>
    <col min="15138" max="15138" width="11" style="537" customWidth="1"/>
    <col min="15139" max="15139" width="9.140625" style="537"/>
    <col min="15140" max="15140" width="12.42578125" style="537" customWidth="1"/>
    <col min="15141" max="15360" width="9.140625" style="537"/>
    <col min="15361" max="15361" width="57.140625" style="537" bestFit="1" customWidth="1"/>
    <col min="15362" max="15362" width="12.140625" style="537" customWidth="1"/>
    <col min="15363" max="15363" width="14.140625" style="537" customWidth="1"/>
    <col min="15364" max="15364" width="12.85546875" style="537" customWidth="1"/>
    <col min="15365" max="15365" width="11.42578125" style="537" customWidth="1"/>
    <col min="15366" max="15366" width="2.28515625" style="537" customWidth="1"/>
    <col min="15367" max="15367" width="12.85546875" style="537" customWidth="1"/>
    <col min="15368" max="15368" width="11.85546875" style="537" customWidth="1"/>
    <col min="15369" max="15369" width="1.7109375" style="537" customWidth="1"/>
    <col min="15370" max="15370" width="8.28515625" style="537" customWidth="1"/>
    <col min="15371" max="15371" width="13" style="537" customWidth="1"/>
    <col min="15372" max="15372" width="11.140625" style="537" customWidth="1"/>
    <col min="15373" max="15373" width="4.42578125" style="537" customWidth="1"/>
    <col min="15374" max="15374" width="9.140625" style="537"/>
    <col min="15375" max="15375" width="10.28515625" style="537" customWidth="1"/>
    <col min="15376" max="15376" width="11" style="537" customWidth="1"/>
    <col min="15377" max="15377" width="7.5703125" style="537" customWidth="1"/>
    <col min="15378" max="15378" width="9.140625" style="537"/>
    <col min="15379" max="15379" width="11.7109375" style="537" customWidth="1"/>
    <col min="15380" max="15380" width="12.140625" style="537" bestFit="1" customWidth="1"/>
    <col min="15381" max="15381" width="7.5703125" style="537" customWidth="1"/>
    <col min="15382" max="15382" width="9.140625" style="537"/>
    <col min="15383" max="15383" width="11.7109375" style="537" customWidth="1"/>
    <col min="15384" max="15384" width="12.140625" style="537" bestFit="1" customWidth="1"/>
    <col min="15385" max="15385" width="7.5703125" style="537" customWidth="1"/>
    <col min="15386" max="15386" width="9.140625" style="537"/>
    <col min="15387" max="15387" width="11.42578125" style="537" customWidth="1"/>
    <col min="15388" max="15388" width="9.140625" style="537"/>
    <col min="15389" max="15389" width="10.28515625" style="537" bestFit="1" customWidth="1"/>
    <col min="15390" max="15390" width="12" style="537" customWidth="1"/>
    <col min="15391" max="15392" width="9.140625" style="537"/>
    <col min="15393" max="15393" width="12" style="537" customWidth="1"/>
    <col min="15394" max="15394" width="11" style="537" customWidth="1"/>
    <col min="15395" max="15395" width="9.140625" style="537"/>
    <col min="15396" max="15396" width="12.42578125" style="537" customWidth="1"/>
    <col min="15397" max="15616" width="9.140625" style="537"/>
    <col min="15617" max="15617" width="57.140625" style="537" bestFit="1" customWidth="1"/>
    <col min="15618" max="15618" width="12.140625" style="537" customWidth="1"/>
    <col min="15619" max="15619" width="14.140625" style="537" customWidth="1"/>
    <col min="15620" max="15620" width="12.85546875" style="537" customWidth="1"/>
    <col min="15621" max="15621" width="11.42578125" style="537" customWidth="1"/>
    <col min="15622" max="15622" width="2.28515625" style="537" customWidth="1"/>
    <col min="15623" max="15623" width="12.85546875" style="537" customWidth="1"/>
    <col min="15624" max="15624" width="11.85546875" style="537" customWidth="1"/>
    <col min="15625" max="15625" width="1.7109375" style="537" customWidth="1"/>
    <col min="15626" max="15626" width="8.28515625" style="537" customWidth="1"/>
    <col min="15627" max="15627" width="13" style="537" customWidth="1"/>
    <col min="15628" max="15628" width="11.140625" style="537" customWidth="1"/>
    <col min="15629" max="15629" width="4.42578125" style="537" customWidth="1"/>
    <col min="15630" max="15630" width="9.140625" style="537"/>
    <col min="15631" max="15631" width="10.28515625" style="537" customWidth="1"/>
    <col min="15632" max="15632" width="11" style="537" customWidth="1"/>
    <col min="15633" max="15633" width="7.5703125" style="537" customWidth="1"/>
    <col min="15634" max="15634" width="9.140625" style="537"/>
    <col min="15635" max="15635" width="11.7109375" style="537" customWidth="1"/>
    <col min="15636" max="15636" width="12.140625" style="537" bestFit="1" customWidth="1"/>
    <col min="15637" max="15637" width="7.5703125" style="537" customWidth="1"/>
    <col min="15638" max="15638" width="9.140625" style="537"/>
    <col min="15639" max="15639" width="11.7109375" style="537" customWidth="1"/>
    <col min="15640" max="15640" width="12.140625" style="537" bestFit="1" customWidth="1"/>
    <col min="15641" max="15641" width="7.5703125" style="537" customWidth="1"/>
    <col min="15642" max="15642" width="9.140625" style="537"/>
    <col min="15643" max="15643" width="11.42578125" style="537" customWidth="1"/>
    <col min="15644" max="15644" width="9.140625" style="537"/>
    <col min="15645" max="15645" width="10.28515625" style="537" bestFit="1" customWidth="1"/>
    <col min="15646" max="15646" width="12" style="537" customWidth="1"/>
    <col min="15647" max="15648" width="9.140625" style="537"/>
    <col min="15649" max="15649" width="12" style="537" customWidth="1"/>
    <col min="15650" max="15650" width="11" style="537" customWidth="1"/>
    <col min="15651" max="15651" width="9.140625" style="537"/>
    <col min="15652" max="15652" width="12.42578125" style="537" customWidth="1"/>
    <col min="15653" max="15872" width="9.140625" style="537"/>
    <col min="15873" max="15873" width="57.140625" style="537" bestFit="1" customWidth="1"/>
    <col min="15874" max="15874" width="12.140625" style="537" customWidth="1"/>
    <col min="15875" max="15875" width="14.140625" style="537" customWidth="1"/>
    <col min="15876" max="15876" width="12.85546875" style="537" customWidth="1"/>
    <col min="15877" max="15877" width="11.42578125" style="537" customWidth="1"/>
    <col min="15878" max="15878" width="2.28515625" style="537" customWidth="1"/>
    <col min="15879" max="15879" width="12.85546875" style="537" customWidth="1"/>
    <col min="15880" max="15880" width="11.85546875" style="537" customWidth="1"/>
    <col min="15881" max="15881" width="1.7109375" style="537" customWidth="1"/>
    <col min="15882" max="15882" width="8.28515625" style="537" customWidth="1"/>
    <col min="15883" max="15883" width="13" style="537" customWidth="1"/>
    <col min="15884" max="15884" width="11.140625" style="537" customWidth="1"/>
    <col min="15885" max="15885" width="4.42578125" style="537" customWidth="1"/>
    <col min="15886" max="15886" width="9.140625" style="537"/>
    <col min="15887" max="15887" width="10.28515625" style="537" customWidth="1"/>
    <col min="15888" max="15888" width="11" style="537" customWidth="1"/>
    <col min="15889" max="15889" width="7.5703125" style="537" customWidth="1"/>
    <col min="15890" max="15890" width="9.140625" style="537"/>
    <col min="15891" max="15891" width="11.7109375" style="537" customWidth="1"/>
    <col min="15892" max="15892" width="12.140625" style="537" bestFit="1" customWidth="1"/>
    <col min="15893" max="15893" width="7.5703125" style="537" customWidth="1"/>
    <col min="15894" max="15894" width="9.140625" style="537"/>
    <col min="15895" max="15895" width="11.7109375" style="537" customWidth="1"/>
    <col min="15896" max="15896" width="12.140625" style="537" bestFit="1" customWidth="1"/>
    <col min="15897" max="15897" width="7.5703125" style="537" customWidth="1"/>
    <col min="15898" max="15898" width="9.140625" style="537"/>
    <col min="15899" max="15899" width="11.42578125" style="537" customWidth="1"/>
    <col min="15900" max="15900" width="9.140625" style="537"/>
    <col min="15901" max="15901" width="10.28515625" style="537" bestFit="1" customWidth="1"/>
    <col min="15902" max="15902" width="12" style="537" customWidth="1"/>
    <col min="15903" max="15904" width="9.140625" style="537"/>
    <col min="15905" max="15905" width="12" style="537" customWidth="1"/>
    <col min="15906" max="15906" width="11" style="537" customWidth="1"/>
    <col min="15907" max="15907" width="9.140625" style="537"/>
    <col min="15908" max="15908" width="12.42578125" style="537" customWidth="1"/>
    <col min="15909" max="16128" width="9.140625" style="537"/>
    <col min="16129" max="16129" width="57.140625" style="537" bestFit="1" customWidth="1"/>
    <col min="16130" max="16130" width="12.140625" style="537" customWidth="1"/>
    <col min="16131" max="16131" width="14.140625" style="537" customWidth="1"/>
    <col min="16132" max="16132" width="12.85546875" style="537" customWidth="1"/>
    <col min="16133" max="16133" width="11.42578125" style="537" customWidth="1"/>
    <col min="16134" max="16134" width="2.28515625" style="537" customWidth="1"/>
    <col min="16135" max="16135" width="12.85546875" style="537" customWidth="1"/>
    <col min="16136" max="16136" width="11.85546875" style="537" customWidth="1"/>
    <col min="16137" max="16137" width="1.7109375" style="537" customWidth="1"/>
    <col min="16138" max="16138" width="8.28515625" style="537" customWidth="1"/>
    <col min="16139" max="16139" width="13" style="537" customWidth="1"/>
    <col min="16140" max="16140" width="11.140625" style="537" customWidth="1"/>
    <col min="16141" max="16141" width="4.42578125" style="537" customWidth="1"/>
    <col min="16142" max="16142" width="9.140625" style="537"/>
    <col min="16143" max="16143" width="10.28515625" style="537" customWidth="1"/>
    <col min="16144" max="16144" width="11" style="537" customWidth="1"/>
    <col min="16145" max="16145" width="7.5703125" style="537" customWidth="1"/>
    <col min="16146" max="16146" width="9.140625" style="537"/>
    <col min="16147" max="16147" width="11.7109375" style="537" customWidth="1"/>
    <col min="16148" max="16148" width="12.140625" style="537" bestFit="1" customWidth="1"/>
    <col min="16149" max="16149" width="7.5703125" style="537" customWidth="1"/>
    <col min="16150" max="16150" width="9.140625" style="537"/>
    <col min="16151" max="16151" width="11.7109375" style="537" customWidth="1"/>
    <col min="16152" max="16152" width="12.140625" style="537" bestFit="1" customWidth="1"/>
    <col min="16153" max="16153" width="7.5703125" style="537" customWidth="1"/>
    <col min="16154" max="16154" width="9.140625" style="537"/>
    <col min="16155" max="16155" width="11.42578125" style="537" customWidth="1"/>
    <col min="16156" max="16156" width="9.140625" style="537"/>
    <col min="16157" max="16157" width="10.28515625" style="537" bestFit="1" customWidth="1"/>
    <col min="16158" max="16158" width="12" style="537" customWidth="1"/>
    <col min="16159" max="16160" width="9.140625" style="537"/>
    <col min="16161" max="16161" width="12" style="537" customWidth="1"/>
    <col min="16162" max="16162" width="11" style="537" customWidth="1"/>
    <col min="16163" max="16163" width="9.140625" style="537"/>
    <col min="16164" max="16164" width="12.42578125" style="537" customWidth="1"/>
    <col min="16165" max="16384" width="9.140625" style="537"/>
  </cols>
  <sheetData>
    <row r="1" spans="1:24">
      <c r="A1" s="821" t="s">
        <v>342</v>
      </c>
    </row>
    <row r="2" spans="1:24">
      <c r="A2" s="821" t="s">
        <v>579</v>
      </c>
      <c r="B2" s="540"/>
      <c r="C2" s="551"/>
    </row>
    <row r="3" spans="1:24">
      <c r="A3" s="822" t="s">
        <v>793</v>
      </c>
      <c r="R3" s="552"/>
      <c r="S3" s="538"/>
      <c r="T3" s="538"/>
      <c r="V3" s="552"/>
      <c r="W3" s="538"/>
      <c r="X3" s="538"/>
    </row>
    <row r="4" spans="1:24">
      <c r="A4" s="553"/>
      <c r="G4" s="554"/>
      <c r="R4" s="538"/>
      <c r="S4" s="538"/>
      <c r="T4" s="538"/>
      <c r="V4" s="538"/>
      <c r="W4" s="538"/>
      <c r="X4" s="538"/>
    </row>
    <row r="5" spans="1:24">
      <c r="A5" s="555"/>
      <c r="B5" s="556"/>
      <c r="C5" s="538"/>
      <c r="D5" s="538"/>
      <c r="G5" s="554"/>
      <c r="R5" s="538"/>
      <c r="S5" s="538"/>
      <c r="T5" s="538"/>
      <c r="V5" s="538"/>
      <c r="W5" s="538"/>
      <c r="X5" s="538"/>
    </row>
    <row r="6" spans="1:24" ht="13.5" thickBot="1">
      <c r="A6" s="538" t="s">
        <v>577</v>
      </c>
      <c r="C6" s="538"/>
      <c r="D6" s="557">
        <v>0.35</v>
      </c>
      <c r="G6" s="554"/>
      <c r="R6" s="538"/>
      <c r="S6" s="538"/>
      <c r="T6" s="538"/>
    </row>
    <row r="7" spans="1:24" ht="13.5" thickTop="1">
      <c r="A7" s="538"/>
      <c r="B7" s="538"/>
      <c r="C7" s="538"/>
      <c r="D7" s="538"/>
      <c r="E7" s="546"/>
      <c r="F7" s="546"/>
      <c r="G7" s="554"/>
      <c r="H7" s="546"/>
      <c r="I7" s="558"/>
      <c r="J7" s="538"/>
      <c r="K7" s="546"/>
      <c r="R7" s="538"/>
      <c r="S7" s="538"/>
      <c r="T7" s="538"/>
    </row>
    <row r="8" spans="1:24">
      <c r="A8" s="538"/>
      <c r="B8" s="538"/>
      <c r="C8" s="538"/>
      <c r="D8" s="538"/>
      <c r="E8" s="546"/>
      <c r="F8" s="546"/>
      <c r="G8" s="546"/>
      <c r="H8" s="546"/>
      <c r="I8" s="558"/>
      <c r="J8" s="538"/>
      <c r="K8" s="546"/>
      <c r="R8" s="538"/>
      <c r="S8" s="538"/>
      <c r="T8" s="538"/>
    </row>
    <row r="9" spans="1:24" ht="38.25">
      <c r="A9" s="538" t="s">
        <v>580</v>
      </c>
      <c r="B9" s="559" t="s">
        <v>581</v>
      </c>
      <c r="C9" s="559" t="s">
        <v>582</v>
      </c>
      <c r="D9" s="560" t="s">
        <v>583</v>
      </c>
      <c r="E9" s="546"/>
      <c r="F9" s="546"/>
      <c r="G9" s="546"/>
      <c r="H9" s="546"/>
      <c r="I9" s="558"/>
      <c r="J9" s="538"/>
      <c r="K9" s="546"/>
    </row>
    <row r="10" spans="1:24">
      <c r="A10" s="538"/>
      <c r="B10" s="538"/>
      <c r="C10" s="538"/>
      <c r="D10" s="561"/>
      <c r="E10" s="546"/>
      <c r="F10" s="546"/>
      <c r="G10" s="546"/>
      <c r="H10" s="546"/>
      <c r="I10" s="558"/>
      <c r="J10" s="538"/>
      <c r="K10" s="546"/>
    </row>
    <row r="11" spans="1:24">
      <c r="A11" s="538" t="s">
        <v>584</v>
      </c>
      <c r="B11" s="562">
        <v>7.9000000000000001E-2</v>
      </c>
      <c r="C11" s="563">
        <v>0.79764579999999996</v>
      </c>
      <c r="D11" s="561">
        <f t="shared" ref="D11:D16" si="0">B11*C11</f>
        <v>6.3014018199999994E-2</v>
      </c>
      <c r="E11" s="546"/>
      <c r="F11" s="546"/>
      <c r="G11" s="546"/>
      <c r="H11" s="546"/>
      <c r="I11" s="546"/>
      <c r="J11" s="538"/>
      <c r="K11" s="546"/>
    </row>
    <row r="12" spans="1:24">
      <c r="A12" s="538" t="s">
        <v>585</v>
      </c>
      <c r="B12" s="562">
        <v>9.8000000000000004E-2</v>
      </c>
      <c r="C12" s="564">
        <v>4.6090300000000001E-2</v>
      </c>
      <c r="D12" s="561">
        <f t="shared" si="0"/>
        <v>4.5168494E-3</v>
      </c>
      <c r="E12" s="538"/>
      <c r="F12" s="538"/>
      <c r="G12" s="538"/>
      <c r="H12" s="538"/>
      <c r="I12" s="538"/>
      <c r="J12" s="538"/>
      <c r="K12" s="538"/>
    </row>
    <row r="13" spans="1:24">
      <c r="A13" s="538" t="s">
        <v>586</v>
      </c>
      <c r="B13" s="562">
        <v>9.5000000000000001E-2</v>
      </c>
      <c r="C13" s="565">
        <v>3.1285000000000002E-3</v>
      </c>
      <c r="D13" s="561">
        <f t="shared" si="0"/>
        <v>2.9720750000000002E-4</v>
      </c>
      <c r="E13" s="538"/>
      <c r="F13" s="538"/>
      <c r="G13" s="538"/>
      <c r="H13" s="538"/>
      <c r="I13" s="538"/>
      <c r="J13" s="538"/>
      <c r="K13" s="538"/>
    </row>
    <row r="14" spans="1:24">
      <c r="A14" s="566" t="s">
        <v>587</v>
      </c>
      <c r="B14" s="567"/>
      <c r="C14" s="564"/>
      <c r="D14" s="561">
        <f t="shared" si="0"/>
        <v>0</v>
      </c>
      <c r="E14" s="538"/>
      <c r="F14" s="538"/>
      <c r="G14" s="538"/>
      <c r="H14" s="538"/>
      <c r="I14" s="538"/>
      <c r="J14" s="538"/>
      <c r="K14" s="538"/>
    </row>
    <row r="15" spans="1:24">
      <c r="A15" s="566" t="s">
        <v>588</v>
      </c>
      <c r="B15" s="568">
        <v>0.06</v>
      </c>
      <c r="C15" s="564">
        <v>0.1021198</v>
      </c>
      <c r="D15" s="561">
        <f t="shared" si="0"/>
        <v>6.1271879999999996E-3</v>
      </c>
      <c r="E15" s="538"/>
      <c r="F15" s="538"/>
      <c r="G15" s="538"/>
      <c r="H15" s="538"/>
      <c r="I15" s="538"/>
      <c r="J15" s="538"/>
      <c r="K15" s="538"/>
    </row>
    <row r="16" spans="1:24">
      <c r="A16" s="569" t="s">
        <v>589</v>
      </c>
      <c r="B16" s="568">
        <v>6.9000000000000006E-2</v>
      </c>
      <c r="C16" s="564">
        <v>0</v>
      </c>
      <c r="D16" s="561">
        <f t="shared" si="0"/>
        <v>0</v>
      </c>
      <c r="E16" s="538"/>
      <c r="F16" s="538"/>
      <c r="G16" s="538"/>
      <c r="H16" s="538"/>
      <c r="I16" s="538"/>
      <c r="J16" s="538"/>
      <c r="K16" s="538"/>
    </row>
    <row r="17" spans="1:11">
      <c r="A17" s="570"/>
      <c r="B17" s="556"/>
      <c r="C17" s="556"/>
      <c r="D17" s="538"/>
      <c r="E17" s="538"/>
      <c r="F17" s="538"/>
      <c r="G17" s="571"/>
      <c r="H17" s="571"/>
      <c r="I17" s="538"/>
      <c r="J17" s="538"/>
      <c r="K17" s="538"/>
    </row>
    <row r="18" spans="1:11" ht="13.5" thickBot="1">
      <c r="A18" s="570"/>
      <c r="B18" s="556"/>
      <c r="C18" s="572">
        <f>SUM(C11:C17)</f>
        <v>0.94898439999999995</v>
      </c>
      <c r="D18" s="573">
        <f>SUM(D11:D17)</f>
        <v>7.3955263099999988E-2</v>
      </c>
      <c r="E18" s="538"/>
      <c r="F18" s="538"/>
      <c r="G18" s="571"/>
      <c r="H18" s="571"/>
      <c r="I18" s="538"/>
      <c r="J18" s="538"/>
      <c r="K18" s="538"/>
    </row>
    <row r="19" spans="1:11" ht="13.5" thickTop="1">
      <c r="A19" s="570"/>
      <c r="B19" s="556"/>
      <c r="C19" s="556"/>
      <c r="D19" s="538"/>
      <c r="E19" s="538"/>
      <c r="F19" s="538"/>
      <c r="G19" s="571"/>
      <c r="H19" s="571"/>
      <c r="I19" s="538"/>
      <c r="J19" s="538"/>
      <c r="K19" s="538"/>
    </row>
    <row r="20" spans="1:11">
      <c r="A20" s="538"/>
      <c r="B20" s="538"/>
      <c r="C20" s="538"/>
      <c r="D20" s="538"/>
      <c r="E20" s="538"/>
      <c r="F20" s="538"/>
      <c r="G20" s="538"/>
      <c r="H20" s="538"/>
      <c r="I20" s="538"/>
      <c r="J20" s="538"/>
      <c r="K20" s="538"/>
    </row>
    <row r="21" spans="1:11">
      <c r="A21" s="574" t="s">
        <v>590</v>
      </c>
      <c r="B21" s="558"/>
      <c r="C21" s="558"/>
      <c r="D21" s="538"/>
      <c r="E21" s="538"/>
      <c r="F21" s="538"/>
      <c r="G21" s="571"/>
      <c r="H21" s="571"/>
      <c r="I21" s="538"/>
      <c r="J21" s="538"/>
      <c r="K21" s="538"/>
    </row>
    <row r="22" spans="1:11">
      <c r="A22" s="538"/>
      <c r="B22" s="538"/>
      <c r="C22" s="538"/>
      <c r="D22" s="538"/>
      <c r="E22" s="538"/>
      <c r="F22" s="538"/>
      <c r="G22" s="538"/>
      <c r="H22" s="538"/>
      <c r="I22" s="538"/>
      <c r="J22" s="538"/>
      <c r="K22" s="538"/>
    </row>
    <row r="23" spans="1:11">
      <c r="A23" s="538" t="s">
        <v>591</v>
      </c>
      <c r="B23" s="538"/>
      <c r="C23" s="538"/>
      <c r="D23" s="538"/>
      <c r="E23" s="538"/>
      <c r="F23" s="538"/>
      <c r="G23" s="538"/>
      <c r="H23" s="538"/>
      <c r="I23" s="538"/>
      <c r="J23" s="538"/>
      <c r="K23" s="538"/>
    </row>
    <row r="24" spans="1:11">
      <c r="A24" s="538"/>
      <c r="B24" s="538"/>
      <c r="C24" s="538"/>
      <c r="D24" s="538"/>
      <c r="E24" s="538"/>
      <c r="F24" s="538"/>
      <c r="G24" s="538"/>
      <c r="H24" s="538"/>
      <c r="I24" s="538"/>
      <c r="J24" s="538"/>
      <c r="K24" s="538"/>
    </row>
    <row r="25" spans="1:11">
      <c r="A25" s="538"/>
      <c r="B25" s="538"/>
      <c r="C25" s="538"/>
      <c r="D25" s="538"/>
      <c r="E25" s="538"/>
      <c r="F25" s="538"/>
      <c r="G25" s="538"/>
      <c r="H25" s="538"/>
      <c r="I25" s="538"/>
      <c r="J25" s="538"/>
      <c r="K25" s="538"/>
    </row>
    <row r="26" spans="1:11">
      <c r="A26" s="538"/>
      <c r="B26" s="538"/>
      <c r="C26" s="538"/>
      <c r="D26" s="538"/>
      <c r="E26" s="538"/>
      <c r="F26" s="538"/>
      <c r="G26" s="538"/>
      <c r="H26" s="538"/>
      <c r="I26" s="538"/>
      <c r="J26" s="538"/>
      <c r="K26" s="538"/>
    </row>
    <row r="27" spans="1:11">
      <c r="A27" s="538"/>
      <c r="B27" s="538"/>
      <c r="C27" s="538"/>
      <c r="D27" s="538"/>
      <c r="E27" s="538"/>
      <c r="F27" s="538"/>
      <c r="G27" s="538"/>
      <c r="H27" s="538"/>
      <c r="I27" s="538"/>
      <c r="J27" s="538"/>
      <c r="K27" s="538"/>
    </row>
  </sheetData>
  <sheetProtection formatCells="0" formatColumns="0" formatRows="0"/>
  <printOptions gridLines="1"/>
  <pageMargins left="0" right="0" top="0" bottom="0" header="0.5" footer="0.4"/>
  <pageSetup orientation="landscape" r:id="rId1"/>
  <headerFooter alignWithMargins="0">
    <oddFooter>&amp;L&amp;Z&amp;F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D26" sqref="D26"/>
    </sheetView>
  </sheetViews>
  <sheetFormatPr defaultRowHeight="12.75"/>
  <cols>
    <col min="1" max="1" width="52.5703125" style="824" customWidth="1"/>
    <col min="2" max="2" width="13.42578125" style="824" customWidth="1"/>
    <col min="3" max="3" width="15.42578125" style="824" bestFit="1" customWidth="1"/>
    <col min="4" max="4" width="9.140625" style="824"/>
    <col min="5" max="5" width="11.85546875" style="824" bestFit="1" customWidth="1"/>
    <col min="6" max="16384" width="9.140625" style="824"/>
  </cols>
  <sheetData>
    <row r="1" spans="1:5">
      <c r="A1" s="823" t="s">
        <v>342</v>
      </c>
      <c r="B1" s="823"/>
    </row>
    <row r="2" spans="1:5">
      <c r="A2" s="823" t="s">
        <v>794</v>
      </c>
      <c r="B2" s="823"/>
    </row>
    <row r="3" spans="1:5">
      <c r="A3" s="825" t="s">
        <v>793</v>
      </c>
      <c r="B3" s="823"/>
    </row>
    <row r="6" spans="1:5">
      <c r="A6" s="826" t="s">
        <v>795</v>
      </c>
      <c r="B6" s="827"/>
      <c r="C6" s="828">
        <v>246303484.88554946</v>
      </c>
      <c r="E6" s="543">
        <f>ROUND(C6-'ATC Attach O ER13-1181'!I199,2)</f>
        <v>0</v>
      </c>
    </row>
    <row r="8" spans="1:5">
      <c r="A8" s="824" t="s">
        <v>796</v>
      </c>
      <c r="B8" s="542">
        <v>6.0999999999999999E-2</v>
      </c>
      <c r="E8" s="543">
        <f>ROUND(B8-'ATC Attach O ER13-1181'!I270,10)</f>
        <v>0</v>
      </c>
    </row>
    <row r="9" spans="1:5">
      <c r="A9" s="824" t="s">
        <v>797</v>
      </c>
      <c r="B9" s="542">
        <v>8.4701931198038691E-2</v>
      </c>
      <c r="E9" s="543">
        <f>ROUND(B9-'ATC Attach O ER13-1181'!I271,10)</f>
        <v>0</v>
      </c>
    </row>
    <row r="10" spans="1:5">
      <c r="A10" s="824" t="s">
        <v>798</v>
      </c>
      <c r="C10" s="549">
        <f>B8/B9</f>
        <v>0.72017248175107107</v>
      </c>
    </row>
    <row r="12" spans="1:5">
      <c r="A12" s="824" t="s">
        <v>799</v>
      </c>
      <c r="C12" s="828">
        <f>C6*C10</f>
        <v>177380991.97396359</v>
      </c>
    </row>
    <row r="14" spans="1:5">
      <c r="A14" s="824" t="s">
        <v>800</v>
      </c>
      <c r="C14" s="829">
        <v>103489195.10818884</v>
      </c>
      <c r="E14" s="543">
        <f>ROUND(C14-'ATC Attach O ER13-1181'!I197,2)</f>
        <v>0</v>
      </c>
    </row>
    <row r="16" spans="1:5">
      <c r="A16" s="824" t="s">
        <v>801</v>
      </c>
      <c r="C16" s="828">
        <f>SUM(C12:C15)</f>
        <v>280870187.08215243</v>
      </c>
      <c r="E16" s="543"/>
    </row>
    <row r="18" spans="1:5">
      <c r="A18" s="824" t="s">
        <v>802</v>
      </c>
      <c r="C18" s="830">
        <v>21254864.549567796</v>
      </c>
      <c r="E18" s="831"/>
    </row>
    <row r="20" spans="1:5" ht="13.5" thickBot="1">
      <c r="A20" s="832" t="s">
        <v>803</v>
      </c>
      <c r="C20" s="833">
        <f>C18/C16</f>
        <v>7.5675046790747172E-2</v>
      </c>
      <c r="E20" s="543">
        <f>ROUND(C20-'ATC Attach O ER13-1181'!D315,10)</f>
        <v>-1.4709999999999999E-7</v>
      </c>
    </row>
    <row r="21" spans="1:5" ht="13.5" thickTop="1"/>
    <row r="22" spans="1:5">
      <c r="C22" s="834"/>
    </row>
  </sheetData>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zoomScale="80" zoomScaleNormal="80" workbookViewId="0">
      <pane xSplit="2" ySplit="7" topLeftCell="U8" activePane="bottomRight" state="frozen"/>
      <selection pane="topRight" activeCell="C1" sqref="C1"/>
      <selection pane="bottomLeft" activeCell="A48" sqref="A48"/>
      <selection pane="bottomRight" activeCell="AD35" sqref="AD35"/>
    </sheetView>
  </sheetViews>
  <sheetFormatPr defaultRowHeight="12.75"/>
  <cols>
    <col min="1" max="1" width="21.140625" style="537" customWidth="1"/>
    <col min="2" max="2" width="54" style="537" bestFit="1" customWidth="1"/>
    <col min="3" max="3" width="32.85546875" style="537" bestFit="1" customWidth="1"/>
    <col min="4" max="4" width="27" style="537" customWidth="1"/>
    <col min="5" max="5" width="21.42578125" style="537" bestFit="1" customWidth="1"/>
    <col min="6" max="6" width="25.140625" style="537" bestFit="1" customWidth="1"/>
    <col min="7" max="7" width="28.7109375" style="537" customWidth="1"/>
    <col min="8" max="8" width="19.42578125" style="537" bestFit="1" customWidth="1"/>
    <col min="9" max="9" width="26.140625" style="537" bestFit="1" customWidth="1"/>
    <col min="10" max="10" width="25.85546875" style="537" bestFit="1" customWidth="1"/>
    <col min="11" max="11" width="19.28515625" style="537" bestFit="1" customWidth="1"/>
    <col min="12" max="12" width="22" style="537" bestFit="1" customWidth="1"/>
    <col min="13" max="13" width="17.5703125" style="537" bestFit="1" customWidth="1"/>
    <col min="14" max="14" width="9.140625" style="537"/>
    <col min="15" max="15" width="17.85546875" style="537" bestFit="1" customWidth="1"/>
    <col min="16" max="16" width="20.5703125" style="537" bestFit="1" customWidth="1"/>
    <col min="17" max="17" width="9.140625" style="537"/>
    <col min="18" max="18" width="27.85546875" style="537" customWidth="1"/>
    <col min="19" max="19" width="19" style="537" customWidth="1"/>
    <col min="20" max="20" width="21.42578125" style="537" bestFit="1" customWidth="1"/>
    <col min="21" max="21" width="24.140625" style="537" customWidth="1"/>
    <col min="22" max="22" width="20" style="537" customWidth="1"/>
    <col min="23" max="23" width="19.42578125" style="537" bestFit="1" customWidth="1"/>
    <col min="24" max="24" width="26.140625" style="537" bestFit="1" customWidth="1"/>
    <col min="25" max="25" width="23" style="537" customWidth="1"/>
    <col min="26" max="26" width="19.28515625" style="537" bestFit="1" customWidth="1"/>
    <col min="27" max="27" width="22" style="537" bestFit="1" customWidth="1"/>
    <col min="28" max="28" width="9.140625" style="537"/>
    <col min="29" max="29" width="22.140625" style="537" customWidth="1"/>
    <col min="30" max="30" width="23.85546875" style="537" customWidth="1"/>
    <col min="31" max="31" width="16.42578125" style="537" bestFit="1" customWidth="1"/>
    <col min="32" max="33" width="9.140625" style="537"/>
    <col min="34" max="34" width="12.140625" style="537" bestFit="1" customWidth="1"/>
    <col min="35" max="256" width="9.140625" style="537"/>
    <col min="257" max="257" width="21.140625" style="537" customWidth="1"/>
    <col min="258" max="258" width="54" style="537" bestFit="1" customWidth="1"/>
    <col min="259" max="259" width="32.85546875" style="537" bestFit="1" customWidth="1"/>
    <col min="260" max="260" width="27" style="537" customWidth="1"/>
    <col min="261" max="261" width="21.42578125" style="537" bestFit="1" customWidth="1"/>
    <col min="262" max="262" width="25.140625" style="537" bestFit="1" customWidth="1"/>
    <col min="263" max="263" width="28.7109375" style="537" customWidth="1"/>
    <col min="264" max="264" width="19.42578125" style="537" bestFit="1" customWidth="1"/>
    <col min="265" max="265" width="26.140625" style="537" bestFit="1" customWidth="1"/>
    <col min="266" max="266" width="25.85546875" style="537" bestFit="1" customWidth="1"/>
    <col min="267" max="267" width="19.28515625" style="537" bestFit="1" customWidth="1"/>
    <col min="268" max="268" width="22" style="537" bestFit="1" customWidth="1"/>
    <col min="269" max="269" width="17.5703125" style="537" bestFit="1" customWidth="1"/>
    <col min="270" max="270" width="9.140625" style="537"/>
    <col min="271" max="271" width="17.85546875" style="537" bestFit="1" customWidth="1"/>
    <col min="272" max="272" width="20.5703125" style="537" bestFit="1" customWidth="1"/>
    <col min="273" max="273" width="9.140625" style="537"/>
    <col min="274" max="274" width="27.85546875" style="537" customWidth="1"/>
    <col min="275" max="275" width="19" style="537" customWidth="1"/>
    <col min="276" max="276" width="21.42578125" style="537" bestFit="1" customWidth="1"/>
    <col min="277" max="277" width="24.140625" style="537" customWidth="1"/>
    <col min="278" max="278" width="20" style="537" customWidth="1"/>
    <col min="279" max="279" width="19.42578125" style="537" bestFit="1" customWidth="1"/>
    <col min="280" max="280" width="26.140625" style="537" bestFit="1" customWidth="1"/>
    <col min="281" max="281" width="23" style="537" customWidth="1"/>
    <col min="282" max="282" width="19.28515625" style="537" bestFit="1" customWidth="1"/>
    <col min="283" max="283" width="22" style="537" bestFit="1" customWidth="1"/>
    <col min="284" max="284" width="9.140625" style="537"/>
    <col min="285" max="285" width="22.140625" style="537" customWidth="1"/>
    <col min="286" max="286" width="23.85546875" style="537" customWidth="1"/>
    <col min="287" max="287" width="16.42578125" style="537" bestFit="1" customWidth="1"/>
    <col min="288" max="289" width="9.140625" style="537"/>
    <col min="290" max="290" width="12.140625" style="537" bestFit="1" customWidth="1"/>
    <col min="291" max="512" width="9.140625" style="537"/>
    <col min="513" max="513" width="21.140625" style="537" customWidth="1"/>
    <col min="514" max="514" width="54" style="537" bestFit="1" customWidth="1"/>
    <col min="515" max="515" width="32.85546875" style="537" bestFit="1" customWidth="1"/>
    <col min="516" max="516" width="27" style="537" customWidth="1"/>
    <col min="517" max="517" width="21.42578125" style="537" bestFit="1" customWidth="1"/>
    <col min="518" max="518" width="25.140625" style="537" bestFit="1" customWidth="1"/>
    <col min="519" max="519" width="28.7109375" style="537" customWidth="1"/>
    <col min="520" max="520" width="19.42578125" style="537" bestFit="1" customWidth="1"/>
    <col min="521" max="521" width="26.140625" style="537" bestFit="1" customWidth="1"/>
    <col min="522" max="522" width="25.85546875" style="537" bestFit="1" customWidth="1"/>
    <col min="523" max="523" width="19.28515625" style="537" bestFit="1" customWidth="1"/>
    <col min="524" max="524" width="22" style="537" bestFit="1" customWidth="1"/>
    <col min="525" max="525" width="17.5703125" style="537" bestFit="1" customWidth="1"/>
    <col min="526" max="526" width="9.140625" style="537"/>
    <col min="527" max="527" width="17.85546875" style="537" bestFit="1" customWidth="1"/>
    <col min="528" max="528" width="20.5703125" style="537" bestFit="1" customWidth="1"/>
    <col min="529" max="529" width="9.140625" style="537"/>
    <col min="530" max="530" width="27.85546875" style="537" customWidth="1"/>
    <col min="531" max="531" width="19" style="537" customWidth="1"/>
    <col min="532" max="532" width="21.42578125" style="537" bestFit="1" customWidth="1"/>
    <col min="533" max="533" width="24.140625" style="537" customWidth="1"/>
    <col min="534" max="534" width="20" style="537" customWidth="1"/>
    <col min="535" max="535" width="19.42578125" style="537" bestFit="1" customWidth="1"/>
    <col min="536" max="536" width="26.140625" style="537" bestFit="1" customWidth="1"/>
    <col min="537" max="537" width="23" style="537" customWidth="1"/>
    <col min="538" max="538" width="19.28515625" style="537" bestFit="1" customWidth="1"/>
    <col min="539" max="539" width="22" style="537" bestFit="1" customWidth="1"/>
    <col min="540" max="540" width="9.140625" style="537"/>
    <col min="541" max="541" width="22.140625" style="537" customWidth="1"/>
    <col min="542" max="542" width="23.85546875" style="537" customWidth="1"/>
    <col min="543" max="543" width="16.42578125" style="537" bestFit="1" customWidth="1"/>
    <col min="544" max="545" width="9.140625" style="537"/>
    <col min="546" max="546" width="12.140625" style="537" bestFit="1" customWidth="1"/>
    <col min="547" max="768" width="9.140625" style="537"/>
    <col min="769" max="769" width="21.140625" style="537" customWidth="1"/>
    <col min="770" max="770" width="54" style="537" bestFit="1" customWidth="1"/>
    <col min="771" max="771" width="32.85546875" style="537" bestFit="1" customWidth="1"/>
    <col min="772" max="772" width="27" style="537" customWidth="1"/>
    <col min="773" max="773" width="21.42578125" style="537" bestFit="1" customWidth="1"/>
    <col min="774" max="774" width="25.140625" style="537" bestFit="1" customWidth="1"/>
    <col min="775" max="775" width="28.7109375" style="537" customWidth="1"/>
    <col min="776" max="776" width="19.42578125" style="537" bestFit="1" customWidth="1"/>
    <col min="777" max="777" width="26.140625" style="537" bestFit="1" customWidth="1"/>
    <col min="778" max="778" width="25.85546875" style="537" bestFit="1" customWidth="1"/>
    <col min="779" max="779" width="19.28515625" style="537" bestFit="1" customWidth="1"/>
    <col min="780" max="780" width="22" style="537" bestFit="1" customWidth="1"/>
    <col min="781" max="781" width="17.5703125" style="537" bestFit="1" customWidth="1"/>
    <col min="782" max="782" width="9.140625" style="537"/>
    <col min="783" max="783" width="17.85546875" style="537" bestFit="1" customWidth="1"/>
    <col min="784" max="784" width="20.5703125" style="537" bestFit="1" customWidth="1"/>
    <col min="785" max="785" width="9.140625" style="537"/>
    <col min="786" max="786" width="27.85546875" style="537" customWidth="1"/>
    <col min="787" max="787" width="19" style="537" customWidth="1"/>
    <col min="788" max="788" width="21.42578125" style="537" bestFit="1" customWidth="1"/>
    <col min="789" max="789" width="24.140625" style="537" customWidth="1"/>
    <col min="790" max="790" width="20" style="537" customWidth="1"/>
    <col min="791" max="791" width="19.42578125" style="537" bestFit="1" customWidth="1"/>
    <col min="792" max="792" width="26.140625" style="537" bestFit="1" customWidth="1"/>
    <col min="793" max="793" width="23" style="537" customWidth="1"/>
    <col min="794" max="794" width="19.28515625" style="537" bestFit="1" customWidth="1"/>
    <col min="795" max="795" width="22" style="537" bestFit="1" customWidth="1"/>
    <col min="796" max="796" width="9.140625" style="537"/>
    <col min="797" max="797" width="22.140625" style="537" customWidth="1"/>
    <col min="798" max="798" width="23.85546875" style="537" customWidth="1"/>
    <col min="799" max="799" width="16.42578125" style="537" bestFit="1" customWidth="1"/>
    <col min="800" max="801" width="9.140625" style="537"/>
    <col min="802" max="802" width="12.140625" style="537" bestFit="1" customWidth="1"/>
    <col min="803" max="1024" width="9.140625" style="537"/>
    <col min="1025" max="1025" width="21.140625" style="537" customWidth="1"/>
    <col min="1026" max="1026" width="54" style="537" bestFit="1" customWidth="1"/>
    <col min="1027" max="1027" width="32.85546875" style="537" bestFit="1" customWidth="1"/>
    <col min="1028" max="1028" width="27" style="537" customWidth="1"/>
    <col min="1029" max="1029" width="21.42578125" style="537" bestFit="1" customWidth="1"/>
    <col min="1030" max="1030" width="25.140625" style="537" bestFit="1" customWidth="1"/>
    <col min="1031" max="1031" width="28.7109375" style="537" customWidth="1"/>
    <col min="1032" max="1032" width="19.42578125" style="537" bestFit="1" customWidth="1"/>
    <col min="1033" max="1033" width="26.140625" style="537" bestFit="1" customWidth="1"/>
    <col min="1034" max="1034" width="25.85546875" style="537" bestFit="1" customWidth="1"/>
    <col min="1035" max="1035" width="19.28515625" style="537" bestFit="1" customWidth="1"/>
    <col min="1036" max="1036" width="22" style="537" bestFit="1" customWidth="1"/>
    <col min="1037" max="1037" width="17.5703125" style="537" bestFit="1" customWidth="1"/>
    <col min="1038" max="1038" width="9.140625" style="537"/>
    <col min="1039" max="1039" width="17.85546875" style="537" bestFit="1" customWidth="1"/>
    <col min="1040" max="1040" width="20.5703125" style="537" bestFit="1" customWidth="1"/>
    <col min="1041" max="1041" width="9.140625" style="537"/>
    <col min="1042" max="1042" width="27.85546875" style="537" customWidth="1"/>
    <col min="1043" max="1043" width="19" style="537" customWidth="1"/>
    <col min="1044" max="1044" width="21.42578125" style="537" bestFit="1" customWidth="1"/>
    <col min="1045" max="1045" width="24.140625" style="537" customWidth="1"/>
    <col min="1046" max="1046" width="20" style="537" customWidth="1"/>
    <col min="1047" max="1047" width="19.42578125" style="537" bestFit="1" customWidth="1"/>
    <col min="1048" max="1048" width="26.140625" style="537" bestFit="1" customWidth="1"/>
    <col min="1049" max="1049" width="23" style="537" customWidth="1"/>
    <col min="1050" max="1050" width="19.28515625" style="537" bestFit="1" customWidth="1"/>
    <col min="1051" max="1051" width="22" style="537" bestFit="1" customWidth="1"/>
    <col min="1052" max="1052" width="9.140625" style="537"/>
    <col min="1053" max="1053" width="22.140625" style="537" customWidth="1"/>
    <col min="1054" max="1054" width="23.85546875" style="537" customWidth="1"/>
    <col min="1055" max="1055" width="16.42578125" style="537" bestFit="1" customWidth="1"/>
    <col min="1056" max="1057" width="9.140625" style="537"/>
    <col min="1058" max="1058" width="12.140625" style="537" bestFit="1" customWidth="1"/>
    <col min="1059" max="1280" width="9.140625" style="537"/>
    <col min="1281" max="1281" width="21.140625" style="537" customWidth="1"/>
    <col min="1282" max="1282" width="54" style="537" bestFit="1" customWidth="1"/>
    <col min="1283" max="1283" width="32.85546875" style="537" bestFit="1" customWidth="1"/>
    <col min="1284" max="1284" width="27" style="537" customWidth="1"/>
    <col min="1285" max="1285" width="21.42578125" style="537" bestFit="1" customWidth="1"/>
    <col min="1286" max="1286" width="25.140625" style="537" bestFit="1" customWidth="1"/>
    <col min="1287" max="1287" width="28.7109375" style="537" customWidth="1"/>
    <col min="1288" max="1288" width="19.42578125" style="537" bestFit="1" customWidth="1"/>
    <col min="1289" max="1289" width="26.140625" style="537" bestFit="1" customWidth="1"/>
    <col min="1290" max="1290" width="25.85546875" style="537" bestFit="1" customWidth="1"/>
    <col min="1291" max="1291" width="19.28515625" style="537" bestFit="1" customWidth="1"/>
    <col min="1292" max="1292" width="22" style="537" bestFit="1" customWidth="1"/>
    <col min="1293" max="1293" width="17.5703125" style="537" bestFit="1" customWidth="1"/>
    <col min="1294" max="1294" width="9.140625" style="537"/>
    <col min="1295" max="1295" width="17.85546875" style="537" bestFit="1" customWidth="1"/>
    <col min="1296" max="1296" width="20.5703125" style="537" bestFit="1" customWidth="1"/>
    <col min="1297" max="1297" width="9.140625" style="537"/>
    <col min="1298" max="1298" width="27.85546875" style="537" customWidth="1"/>
    <col min="1299" max="1299" width="19" style="537" customWidth="1"/>
    <col min="1300" max="1300" width="21.42578125" style="537" bestFit="1" customWidth="1"/>
    <col min="1301" max="1301" width="24.140625" style="537" customWidth="1"/>
    <col min="1302" max="1302" width="20" style="537" customWidth="1"/>
    <col min="1303" max="1303" width="19.42578125" style="537" bestFit="1" customWidth="1"/>
    <col min="1304" max="1304" width="26.140625" style="537" bestFit="1" customWidth="1"/>
    <col min="1305" max="1305" width="23" style="537" customWidth="1"/>
    <col min="1306" max="1306" width="19.28515625" style="537" bestFit="1" customWidth="1"/>
    <col min="1307" max="1307" width="22" style="537" bestFit="1" customWidth="1"/>
    <col min="1308" max="1308" width="9.140625" style="537"/>
    <col min="1309" max="1309" width="22.140625" style="537" customWidth="1"/>
    <col min="1310" max="1310" width="23.85546875" style="537" customWidth="1"/>
    <col min="1311" max="1311" width="16.42578125" style="537" bestFit="1" customWidth="1"/>
    <col min="1312" max="1313" width="9.140625" style="537"/>
    <col min="1314" max="1314" width="12.140625" style="537" bestFit="1" customWidth="1"/>
    <col min="1315" max="1536" width="9.140625" style="537"/>
    <col min="1537" max="1537" width="21.140625" style="537" customWidth="1"/>
    <col min="1538" max="1538" width="54" style="537" bestFit="1" customWidth="1"/>
    <col min="1539" max="1539" width="32.85546875" style="537" bestFit="1" customWidth="1"/>
    <col min="1540" max="1540" width="27" style="537" customWidth="1"/>
    <col min="1541" max="1541" width="21.42578125" style="537" bestFit="1" customWidth="1"/>
    <col min="1542" max="1542" width="25.140625" style="537" bestFit="1" customWidth="1"/>
    <col min="1543" max="1543" width="28.7109375" style="537" customWidth="1"/>
    <col min="1544" max="1544" width="19.42578125" style="537" bestFit="1" customWidth="1"/>
    <col min="1545" max="1545" width="26.140625" style="537" bestFit="1" customWidth="1"/>
    <col min="1546" max="1546" width="25.85546875" style="537" bestFit="1" customWidth="1"/>
    <col min="1547" max="1547" width="19.28515625" style="537" bestFit="1" customWidth="1"/>
    <col min="1548" max="1548" width="22" style="537" bestFit="1" customWidth="1"/>
    <col min="1549" max="1549" width="17.5703125" style="537" bestFit="1" customWidth="1"/>
    <col min="1550" max="1550" width="9.140625" style="537"/>
    <col min="1551" max="1551" width="17.85546875" style="537" bestFit="1" customWidth="1"/>
    <col min="1552" max="1552" width="20.5703125" style="537" bestFit="1" customWidth="1"/>
    <col min="1553" max="1553" width="9.140625" style="537"/>
    <col min="1554" max="1554" width="27.85546875" style="537" customWidth="1"/>
    <col min="1555" max="1555" width="19" style="537" customWidth="1"/>
    <col min="1556" max="1556" width="21.42578125" style="537" bestFit="1" customWidth="1"/>
    <col min="1557" max="1557" width="24.140625" style="537" customWidth="1"/>
    <col min="1558" max="1558" width="20" style="537" customWidth="1"/>
    <col min="1559" max="1559" width="19.42578125" style="537" bestFit="1" customWidth="1"/>
    <col min="1560" max="1560" width="26.140625" style="537" bestFit="1" customWidth="1"/>
    <col min="1561" max="1561" width="23" style="537" customWidth="1"/>
    <col min="1562" max="1562" width="19.28515625" style="537" bestFit="1" customWidth="1"/>
    <col min="1563" max="1563" width="22" style="537" bestFit="1" customWidth="1"/>
    <col min="1564" max="1564" width="9.140625" style="537"/>
    <col min="1565" max="1565" width="22.140625" style="537" customWidth="1"/>
    <col min="1566" max="1566" width="23.85546875" style="537" customWidth="1"/>
    <col min="1567" max="1567" width="16.42578125" style="537" bestFit="1" customWidth="1"/>
    <col min="1568" max="1569" width="9.140625" style="537"/>
    <col min="1570" max="1570" width="12.140625" style="537" bestFit="1" customWidth="1"/>
    <col min="1571" max="1792" width="9.140625" style="537"/>
    <col min="1793" max="1793" width="21.140625" style="537" customWidth="1"/>
    <col min="1794" max="1794" width="54" style="537" bestFit="1" customWidth="1"/>
    <col min="1795" max="1795" width="32.85546875" style="537" bestFit="1" customWidth="1"/>
    <col min="1796" max="1796" width="27" style="537" customWidth="1"/>
    <col min="1797" max="1797" width="21.42578125" style="537" bestFit="1" customWidth="1"/>
    <col min="1798" max="1798" width="25.140625" style="537" bestFit="1" customWidth="1"/>
    <col min="1799" max="1799" width="28.7109375" style="537" customWidth="1"/>
    <col min="1800" max="1800" width="19.42578125" style="537" bestFit="1" customWidth="1"/>
    <col min="1801" max="1801" width="26.140625" style="537" bestFit="1" customWidth="1"/>
    <col min="1802" max="1802" width="25.85546875" style="537" bestFit="1" customWidth="1"/>
    <col min="1803" max="1803" width="19.28515625" style="537" bestFit="1" customWidth="1"/>
    <col min="1804" max="1804" width="22" style="537" bestFit="1" customWidth="1"/>
    <col min="1805" max="1805" width="17.5703125" style="537" bestFit="1" customWidth="1"/>
    <col min="1806" max="1806" width="9.140625" style="537"/>
    <col min="1807" max="1807" width="17.85546875" style="537" bestFit="1" customWidth="1"/>
    <col min="1808" max="1808" width="20.5703125" style="537" bestFit="1" customWidth="1"/>
    <col min="1809" max="1809" width="9.140625" style="537"/>
    <col min="1810" max="1810" width="27.85546875" style="537" customWidth="1"/>
    <col min="1811" max="1811" width="19" style="537" customWidth="1"/>
    <col min="1812" max="1812" width="21.42578125" style="537" bestFit="1" customWidth="1"/>
    <col min="1813" max="1813" width="24.140625" style="537" customWidth="1"/>
    <col min="1814" max="1814" width="20" style="537" customWidth="1"/>
    <col min="1815" max="1815" width="19.42578125" style="537" bestFit="1" customWidth="1"/>
    <col min="1816" max="1816" width="26.140625" style="537" bestFit="1" customWidth="1"/>
    <col min="1817" max="1817" width="23" style="537" customWidth="1"/>
    <col min="1818" max="1818" width="19.28515625" style="537" bestFit="1" customWidth="1"/>
    <col min="1819" max="1819" width="22" style="537" bestFit="1" customWidth="1"/>
    <col min="1820" max="1820" width="9.140625" style="537"/>
    <col min="1821" max="1821" width="22.140625" style="537" customWidth="1"/>
    <col min="1822" max="1822" width="23.85546875" style="537" customWidth="1"/>
    <col min="1823" max="1823" width="16.42578125" style="537" bestFit="1" customWidth="1"/>
    <col min="1824" max="1825" width="9.140625" style="537"/>
    <col min="1826" max="1826" width="12.140625" style="537" bestFit="1" customWidth="1"/>
    <col min="1827" max="2048" width="9.140625" style="537"/>
    <col min="2049" max="2049" width="21.140625" style="537" customWidth="1"/>
    <col min="2050" max="2050" width="54" style="537" bestFit="1" customWidth="1"/>
    <col min="2051" max="2051" width="32.85546875" style="537" bestFit="1" customWidth="1"/>
    <col min="2052" max="2052" width="27" style="537" customWidth="1"/>
    <col min="2053" max="2053" width="21.42578125" style="537" bestFit="1" customWidth="1"/>
    <col min="2054" max="2054" width="25.140625" style="537" bestFit="1" customWidth="1"/>
    <col min="2055" max="2055" width="28.7109375" style="537" customWidth="1"/>
    <col min="2056" max="2056" width="19.42578125" style="537" bestFit="1" customWidth="1"/>
    <col min="2057" max="2057" width="26.140625" style="537" bestFit="1" customWidth="1"/>
    <col min="2058" max="2058" width="25.85546875" style="537" bestFit="1" customWidth="1"/>
    <col min="2059" max="2059" width="19.28515625" style="537" bestFit="1" customWidth="1"/>
    <col min="2060" max="2060" width="22" style="537" bestFit="1" customWidth="1"/>
    <col min="2061" max="2061" width="17.5703125" style="537" bestFit="1" customWidth="1"/>
    <col min="2062" max="2062" width="9.140625" style="537"/>
    <col min="2063" max="2063" width="17.85546875" style="537" bestFit="1" customWidth="1"/>
    <col min="2064" max="2064" width="20.5703125" style="537" bestFit="1" customWidth="1"/>
    <col min="2065" max="2065" width="9.140625" style="537"/>
    <col min="2066" max="2066" width="27.85546875" style="537" customWidth="1"/>
    <col min="2067" max="2067" width="19" style="537" customWidth="1"/>
    <col min="2068" max="2068" width="21.42578125" style="537" bestFit="1" customWidth="1"/>
    <col min="2069" max="2069" width="24.140625" style="537" customWidth="1"/>
    <col min="2070" max="2070" width="20" style="537" customWidth="1"/>
    <col min="2071" max="2071" width="19.42578125" style="537" bestFit="1" customWidth="1"/>
    <col min="2072" max="2072" width="26.140625" style="537" bestFit="1" customWidth="1"/>
    <col min="2073" max="2073" width="23" style="537" customWidth="1"/>
    <col min="2074" max="2074" width="19.28515625" style="537" bestFit="1" customWidth="1"/>
    <col min="2075" max="2075" width="22" style="537" bestFit="1" customWidth="1"/>
    <col min="2076" max="2076" width="9.140625" style="537"/>
    <col min="2077" max="2077" width="22.140625" style="537" customWidth="1"/>
    <col min="2078" max="2078" width="23.85546875" style="537" customWidth="1"/>
    <col min="2079" max="2079" width="16.42578125" style="537" bestFit="1" customWidth="1"/>
    <col min="2080" max="2081" width="9.140625" style="537"/>
    <col min="2082" max="2082" width="12.140625" style="537" bestFit="1" customWidth="1"/>
    <col min="2083" max="2304" width="9.140625" style="537"/>
    <col min="2305" max="2305" width="21.140625" style="537" customWidth="1"/>
    <col min="2306" max="2306" width="54" style="537" bestFit="1" customWidth="1"/>
    <col min="2307" max="2307" width="32.85546875" style="537" bestFit="1" customWidth="1"/>
    <col min="2308" max="2308" width="27" style="537" customWidth="1"/>
    <col min="2309" max="2309" width="21.42578125" style="537" bestFit="1" customWidth="1"/>
    <col min="2310" max="2310" width="25.140625" style="537" bestFit="1" customWidth="1"/>
    <col min="2311" max="2311" width="28.7109375" style="537" customWidth="1"/>
    <col min="2312" max="2312" width="19.42578125" style="537" bestFit="1" customWidth="1"/>
    <col min="2313" max="2313" width="26.140625" style="537" bestFit="1" customWidth="1"/>
    <col min="2314" max="2314" width="25.85546875" style="537" bestFit="1" customWidth="1"/>
    <col min="2315" max="2315" width="19.28515625" style="537" bestFit="1" customWidth="1"/>
    <col min="2316" max="2316" width="22" style="537" bestFit="1" customWidth="1"/>
    <col min="2317" max="2317" width="17.5703125" style="537" bestFit="1" customWidth="1"/>
    <col min="2318" max="2318" width="9.140625" style="537"/>
    <col min="2319" max="2319" width="17.85546875" style="537" bestFit="1" customWidth="1"/>
    <col min="2320" max="2320" width="20.5703125" style="537" bestFit="1" customWidth="1"/>
    <col min="2321" max="2321" width="9.140625" style="537"/>
    <col min="2322" max="2322" width="27.85546875" style="537" customWidth="1"/>
    <col min="2323" max="2323" width="19" style="537" customWidth="1"/>
    <col min="2324" max="2324" width="21.42578125" style="537" bestFit="1" customWidth="1"/>
    <col min="2325" max="2325" width="24.140625" style="537" customWidth="1"/>
    <col min="2326" max="2326" width="20" style="537" customWidth="1"/>
    <col min="2327" max="2327" width="19.42578125" style="537" bestFit="1" customWidth="1"/>
    <col min="2328" max="2328" width="26.140625" style="537" bestFit="1" customWidth="1"/>
    <col min="2329" max="2329" width="23" style="537" customWidth="1"/>
    <col min="2330" max="2330" width="19.28515625" style="537" bestFit="1" customWidth="1"/>
    <col min="2331" max="2331" width="22" style="537" bestFit="1" customWidth="1"/>
    <col min="2332" max="2332" width="9.140625" style="537"/>
    <col min="2333" max="2333" width="22.140625" style="537" customWidth="1"/>
    <col min="2334" max="2334" width="23.85546875" style="537" customWidth="1"/>
    <col min="2335" max="2335" width="16.42578125" style="537" bestFit="1" customWidth="1"/>
    <col min="2336" max="2337" width="9.140625" style="537"/>
    <col min="2338" max="2338" width="12.140625" style="537" bestFit="1" customWidth="1"/>
    <col min="2339" max="2560" width="9.140625" style="537"/>
    <col min="2561" max="2561" width="21.140625" style="537" customWidth="1"/>
    <col min="2562" max="2562" width="54" style="537" bestFit="1" customWidth="1"/>
    <col min="2563" max="2563" width="32.85546875" style="537" bestFit="1" customWidth="1"/>
    <col min="2564" max="2564" width="27" style="537" customWidth="1"/>
    <col min="2565" max="2565" width="21.42578125" style="537" bestFit="1" customWidth="1"/>
    <col min="2566" max="2566" width="25.140625" style="537" bestFit="1" customWidth="1"/>
    <col min="2567" max="2567" width="28.7109375" style="537" customWidth="1"/>
    <col min="2568" max="2568" width="19.42578125" style="537" bestFit="1" customWidth="1"/>
    <col min="2569" max="2569" width="26.140625" style="537" bestFit="1" customWidth="1"/>
    <col min="2570" max="2570" width="25.85546875" style="537" bestFit="1" customWidth="1"/>
    <col min="2571" max="2571" width="19.28515625" style="537" bestFit="1" customWidth="1"/>
    <col min="2572" max="2572" width="22" style="537" bestFit="1" customWidth="1"/>
    <col min="2573" max="2573" width="17.5703125" style="537" bestFit="1" customWidth="1"/>
    <col min="2574" max="2574" width="9.140625" style="537"/>
    <col min="2575" max="2575" width="17.85546875" style="537" bestFit="1" customWidth="1"/>
    <col min="2576" max="2576" width="20.5703125" style="537" bestFit="1" customWidth="1"/>
    <col min="2577" max="2577" width="9.140625" style="537"/>
    <col min="2578" max="2578" width="27.85546875" style="537" customWidth="1"/>
    <col min="2579" max="2579" width="19" style="537" customWidth="1"/>
    <col min="2580" max="2580" width="21.42578125" style="537" bestFit="1" customWidth="1"/>
    <col min="2581" max="2581" width="24.140625" style="537" customWidth="1"/>
    <col min="2582" max="2582" width="20" style="537" customWidth="1"/>
    <col min="2583" max="2583" width="19.42578125" style="537" bestFit="1" customWidth="1"/>
    <col min="2584" max="2584" width="26.140625" style="537" bestFit="1" customWidth="1"/>
    <col min="2585" max="2585" width="23" style="537" customWidth="1"/>
    <col min="2586" max="2586" width="19.28515625" style="537" bestFit="1" customWidth="1"/>
    <col min="2587" max="2587" width="22" style="537" bestFit="1" customWidth="1"/>
    <col min="2588" max="2588" width="9.140625" style="537"/>
    <col min="2589" max="2589" width="22.140625" style="537" customWidth="1"/>
    <col min="2590" max="2590" width="23.85546875" style="537" customWidth="1"/>
    <col min="2591" max="2591" width="16.42578125" style="537" bestFit="1" customWidth="1"/>
    <col min="2592" max="2593" width="9.140625" style="537"/>
    <col min="2594" max="2594" width="12.140625" style="537" bestFit="1" customWidth="1"/>
    <col min="2595" max="2816" width="9.140625" style="537"/>
    <col min="2817" max="2817" width="21.140625" style="537" customWidth="1"/>
    <col min="2818" max="2818" width="54" style="537" bestFit="1" customWidth="1"/>
    <col min="2819" max="2819" width="32.85546875" style="537" bestFit="1" customWidth="1"/>
    <col min="2820" max="2820" width="27" style="537" customWidth="1"/>
    <col min="2821" max="2821" width="21.42578125" style="537" bestFit="1" customWidth="1"/>
    <col min="2822" max="2822" width="25.140625" style="537" bestFit="1" customWidth="1"/>
    <col min="2823" max="2823" width="28.7109375" style="537" customWidth="1"/>
    <col min="2824" max="2824" width="19.42578125" style="537" bestFit="1" customWidth="1"/>
    <col min="2825" max="2825" width="26.140625" style="537" bestFit="1" customWidth="1"/>
    <col min="2826" max="2826" width="25.85546875" style="537" bestFit="1" customWidth="1"/>
    <col min="2827" max="2827" width="19.28515625" style="537" bestFit="1" customWidth="1"/>
    <col min="2828" max="2828" width="22" style="537" bestFit="1" customWidth="1"/>
    <col min="2829" max="2829" width="17.5703125" style="537" bestFit="1" customWidth="1"/>
    <col min="2830" max="2830" width="9.140625" style="537"/>
    <col min="2831" max="2831" width="17.85546875" style="537" bestFit="1" customWidth="1"/>
    <col min="2832" max="2832" width="20.5703125" style="537" bestFit="1" customWidth="1"/>
    <col min="2833" max="2833" width="9.140625" style="537"/>
    <col min="2834" max="2834" width="27.85546875" style="537" customWidth="1"/>
    <col min="2835" max="2835" width="19" style="537" customWidth="1"/>
    <col min="2836" max="2836" width="21.42578125" style="537" bestFit="1" customWidth="1"/>
    <col min="2837" max="2837" width="24.140625" style="537" customWidth="1"/>
    <col min="2838" max="2838" width="20" style="537" customWidth="1"/>
    <col min="2839" max="2839" width="19.42578125" style="537" bestFit="1" customWidth="1"/>
    <col min="2840" max="2840" width="26.140625" style="537" bestFit="1" customWidth="1"/>
    <col min="2841" max="2841" width="23" style="537" customWidth="1"/>
    <col min="2842" max="2842" width="19.28515625" style="537" bestFit="1" customWidth="1"/>
    <col min="2843" max="2843" width="22" style="537" bestFit="1" customWidth="1"/>
    <col min="2844" max="2844" width="9.140625" style="537"/>
    <col min="2845" max="2845" width="22.140625" style="537" customWidth="1"/>
    <col min="2846" max="2846" width="23.85546875" style="537" customWidth="1"/>
    <col min="2847" max="2847" width="16.42578125" style="537" bestFit="1" customWidth="1"/>
    <col min="2848" max="2849" width="9.140625" style="537"/>
    <col min="2850" max="2850" width="12.140625" style="537" bestFit="1" customWidth="1"/>
    <col min="2851" max="3072" width="9.140625" style="537"/>
    <col min="3073" max="3073" width="21.140625" style="537" customWidth="1"/>
    <col min="3074" max="3074" width="54" style="537" bestFit="1" customWidth="1"/>
    <col min="3075" max="3075" width="32.85546875" style="537" bestFit="1" customWidth="1"/>
    <col min="3076" max="3076" width="27" style="537" customWidth="1"/>
    <col min="3077" max="3077" width="21.42578125" style="537" bestFit="1" customWidth="1"/>
    <col min="3078" max="3078" width="25.140625" style="537" bestFit="1" customWidth="1"/>
    <col min="3079" max="3079" width="28.7109375" style="537" customWidth="1"/>
    <col min="3080" max="3080" width="19.42578125" style="537" bestFit="1" customWidth="1"/>
    <col min="3081" max="3081" width="26.140625" style="537" bestFit="1" customWidth="1"/>
    <col min="3082" max="3082" width="25.85546875" style="537" bestFit="1" customWidth="1"/>
    <col min="3083" max="3083" width="19.28515625" style="537" bestFit="1" customWidth="1"/>
    <col min="3084" max="3084" width="22" style="537" bestFit="1" customWidth="1"/>
    <col min="3085" max="3085" width="17.5703125" style="537" bestFit="1" customWidth="1"/>
    <col min="3086" max="3086" width="9.140625" style="537"/>
    <col min="3087" max="3087" width="17.85546875" style="537" bestFit="1" customWidth="1"/>
    <col min="3088" max="3088" width="20.5703125" style="537" bestFit="1" customWidth="1"/>
    <col min="3089" max="3089" width="9.140625" style="537"/>
    <col min="3090" max="3090" width="27.85546875" style="537" customWidth="1"/>
    <col min="3091" max="3091" width="19" style="537" customWidth="1"/>
    <col min="3092" max="3092" width="21.42578125" style="537" bestFit="1" customWidth="1"/>
    <col min="3093" max="3093" width="24.140625" style="537" customWidth="1"/>
    <col min="3094" max="3094" width="20" style="537" customWidth="1"/>
    <col min="3095" max="3095" width="19.42578125" style="537" bestFit="1" customWidth="1"/>
    <col min="3096" max="3096" width="26.140625" style="537" bestFit="1" customWidth="1"/>
    <col min="3097" max="3097" width="23" style="537" customWidth="1"/>
    <col min="3098" max="3098" width="19.28515625" style="537" bestFit="1" customWidth="1"/>
    <col min="3099" max="3099" width="22" style="537" bestFit="1" customWidth="1"/>
    <col min="3100" max="3100" width="9.140625" style="537"/>
    <col min="3101" max="3101" width="22.140625" style="537" customWidth="1"/>
    <col min="3102" max="3102" width="23.85546875" style="537" customWidth="1"/>
    <col min="3103" max="3103" width="16.42578125" style="537" bestFit="1" customWidth="1"/>
    <col min="3104" max="3105" width="9.140625" style="537"/>
    <col min="3106" max="3106" width="12.140625" style="537" bestFit="1" customWidth="1"/>
    <col min="3107" max="3328" width="9.140625" style="537"/>
    <col min="3329" max="3329" width="21.140625" style="537" customWidth="1"/>
    <col min="3330" max="3330" width="54" style="537" bestFit="1" customWidth="1"/>
    <col min="3331" max="3331" width="32.85546875" style="537" bestFit="1" customWidth="1"/>
    <col min="3332" max="3332" width="27" style="537" customWidth="1"/>
    <col min="3333" max="3333" width="21.42578125" style="537" bestFit="1" customWidth="1"/>
    <col min="3334" max="3334" width="25.140625" style="537" bestFit="1" customWidth="1"/>
    <col min="3335" max="3335" width="28.7109375" style="537" customWidth="1"/>
    <col min="3336" max="3336" width="19.42578125" style="537" bestFit="1" customWidth="1"/>
    <col min="3337" max="3337" width="26.140625" style="537" bestFit="1" customWidth="1"/>
    <col min="3338" max="3338" width="25.85546875" style="537" bestFit="1" customWidth="1"/>
    <col min="3339" max="3339" width="19.28515625" style="537" bestFit="1" customWidth="1"/>
    <col min="3340" max="3340" width="22" style="537" bestFit="1" customWidth="1"/>
    <col min="3341" max="3341" width="17.5703125" style="537" bestFit="1" customWidth="1"/>
    <col min="3342" max="3342" width="9.140625" style="537"/>
    <col min="3343" max="3343" width="17.85546875" style="537" bestFit="1" customWidth="1"/>
    <col min="3344" max="3344" width="20.5703125" style="537" bestFit="1" customWidth="1"/>
    <col min="3345" max="3345" width="9.140625" style="537"/>
    <col min="3346" max="3346" width="27.85546875" style="537" customWidth="1"/>
    <col min="3347" max="3347" width="19" style="537" customWidth="1"/>
    <col min="3348" max="3348" width="21.42578125" style="537" bestFit="1" customWidth="1"/>
    <col min="3349" max="3349" width="24.140625" style="537" customWidth="1"/>
    <col min="3350" max="3350" width="20" style="537" customWidth="1"/>
    <col min="3351" max="3351" width="19.42578125" style="537" bestFit="1" customWidth="1"/>
    <col min="3352" max="3352" width="26.140625" style="537" bestFit="1" customWidth="1"/>
    <col min="3353" max="3353" width="23" style="537" customWidth="1"/>
    <col min="3354" max="3354" width="19.28515625" style="537" bestFit="1" customWidth="1"/>
    <col min="3355" max="3355" width="22" style="537" bestFit="1" customWidth="1"/>
    <col min="3356" max="3356" width="9.140625" style="537"/>
    <col min="3357" max="3357" width="22.140625" style="537" customWidth="1"/>
    <col min="3358" max="3358" width="23.85546875" style="537" customWidth="1"/>
    <col min="3359" max="3359" width="16.42578125" style="537" bestFit="1" customWidth="1"/>
    <col min="3360" max="3361" width="9.140625" style="537"/>
    <col min="3362" max="3362" width="12.140625" style="537" bestFit="1" customWidth="1"/>
    <col min="3363" max="3584" width="9.140625" style="537"/>
    <col min="3585" max="3585" width="21.140625" style="537" customWidth="1"/>
    <col min="3586" max="3586" width="54" style="537" bestFit="1" customWidth="1"/>
    <col min="3587" max="3587" width="32.85546875" style="537" bestFit="1" customWidth="1"/>
    <col min="3588" max="3588" width="27" style="537" customWidth="1"/>
    <col min="3589" max="3589" width="21.42578125" style="537" bestFit="1" customWidth="1"/>
    <col min="3590" max="3590" width="25.140625" style="537" bestFit="1" customWidth="1"/>
    <col min="3591" max="3591" width="28.7109375" style="537" customWidth="1"/>
    <col min="3592" max="3592" width="19.42578125" style="537" bestFit="1" customWidth="1"/>
    <col min="3593" max="3593" width="26.140625" style="537" bestFit="1" customWidth="1"/>
    <col min="3594" max="3594" width="25.85546875" style="537" bestFit="1" customWidth="1"/>
    <col min="3595" max="3595" width="19.28515625" style="537" bestFit="1" customWidth="1"/>
    <col min="3596" max="3596" width="22" style="537" bestFit="1" customWidth="1"/>
    <col min="3597" max="3597" width="17.5703125" style="537" bestFit="1" customWidth="1"/>
    <col min="3598" max="3598" width="9.140625" style="537"/>
    <col min="3599" max="3599" width="17.85546875" style="537" bestFit="1" customWidth="1"/>
    <col min="3600" max="3600" width="20.5703125" style="537" bestFit="1" customWidth="1"/>
    <col min="3601" max="3601" width="9.140625" style="537"/>
    <col min="3602" max="3602" width="27.85546875" style="537" customWidth="1"/>
    <col min="3603" max="3603" width="19" style="537" customWidth="1"/>
    <col min="3604" max="3604" width="21.42578125" style="537" bestFit="1" customWidth="1"/>
    <col min="3605" max="3605" width="24.140625" style="537" customWidth="1"/>
    <col min="3606" max="3606" width="20" style="537" customWidth="1"/>
    <col min="3607" max="3607" width="19.42578125" style="537" bestFit="1" customWidth="1"/>
    <col min="3608" max="3608" width="26.140625" style="537" bestFit="1" customWidth="1"/>
    <col min="3609" max="3609" width="23" style="537" customWidth="1"/>
    <col min="3610" max="3610" width="19.28515625" style="537" bestFit="1" customWidth="1"/>
    <col min="3611" max="3611" width="22" style="537" bestFit="1" customWidth="1"/>
    <col min="3612" max="3612" width="9.140625" style="537"/>
    <col min="3613" max="3613" width="22.140625" style="537" customWidth="1"/>
    <col min="3614" max="3614" width="23.85546875" style="537" customWidth="1"/>
    <col min="3615" max="3615" width="16.42578125" style="537" bestFit="1" customWidth="1"/>
    <col min="3616" max="3617" width="9.140625" style="537"/>
    <col min="3618" max="3618" width="12.140625" style="537" bestFit="1" customWidth="1"/>
    <col min="3619" max="3840" width="9.140625" style="537"/>
    <col min="3841" max="3841" width="21.140625" style="537" customWidth="1"/>
    <col min="3842" max="3842" width="54" style="537" bestFit="1" customWidth="1"/>
    <col min="3843" max="3843" width="32.85546875" style="537" bestFit="1" customWidth="1"/>
    <col min="3844" max="3844" width="27" style="537" customWidth="1"/>
    <col min="3845" max="3845" width="21.42578125" style="537" bestFit="1" customWidth="1"/>
    <col min="3846" max="3846" width="25.140625" style="537" bestFit="1" customWidth="1"/>
    <col min="3847" max="3847" width="28.7109375" style="537" customWidth="1"/>
    <col min="3848" max="3848" width="19.42578125" style="537" bestFit="1" customWidth="1"/>
    <col min="3849" max="3849" width="26.140625" style="537" bestFit="1" customWidth="1"/>
    <col min="3850" max="3850" width="25.85546875" style="537" bestFit="1" customWidth="1"/>
    <col min="3851" max="3851" width="19.28515625" style="537" bestFit="1" customWidth="1"/>
    <col min="3852" max="3852" width="22" style="537" bestFit="1" customWidth="1"/>
    <col min="3853" max="3853" width="17.5703125" style="537" bestFit="1" customWidth="1"/>
    <col min="3854" max="3854" width="9.140625" style="537"/>
    <col min="3855" max="3855" width="17.85546875" style="537" bestFit="1" customWidth="1"/>
    <col min="3856" max="3856" width="20.5703125" style="537" bestFit="1" customWidth="1"/>
    <col min="3857" max="3857" width="9.140625" style="537"/>
    <col min="3858" max="3858" width="27.85546875" style="537" customWidth="1"/>
    <col min="3859" max="3859" width="19" style="537" customWidth="1"/>
    <col min="3860" max="3860" width="21.42578125" style="537" bestFit="1" customWidth="1"/>
    <col min="3861" max="3861" width="24.140625" style="537" customWidth="1"/>
    <col min="3862" max="3862" width="20" style="537" customWidth="1"/>
    <col min="3863" max="3863" width="19.42578125" style="537" bestFit="1" customWidth="1"/>
    <col min="3864" max="3864" width="26.140625" style="537" bestFit="1" customWidth="1"/>
    <col min="3865" max="3865" width="23" style="537" customWidth="1"/>
    <col min="3866" max="3866" width="19.28515625" style="537" bestFit="1" customWidth="1"/>
    <col min="3867" max="3867" width="22" style="537" bestFit="1" customWidth="1"/>
    <col min="3868" max="3868" width="9.140625" style="537"/>
    <col min="3869" max="3869" width="22.140625" style="537" customWidth="1"/>
    <col min="3870" max="3870" width="23.85546875" style="537" customWidth="1"/>
    <col min="3871" max="3871" width="16.42578125" style="537" bestFit="1" customWidth="1"/>
    <col min="3872" max="3873" width="9.140625" style="537"/>
    <col min="3874" max="3874" width="12.140625" style="537" bestFit="1" customWidth="1"/>
    <col min="3875" max="4096" width="9.140625" style="537"/>
    <col min="4097" max="4097" width="21.140625" style="537" customWidth="1"/>
    <col min="4098" max="4098" width="54" style="537" bestFit="1" customWidth="1"/>
    <col min="4099" max="4099" width="32.85546875" style="537" bestFit="1" customWidth="1"/>
    <col min="4100" max="4100" width="27" style="537" customWidth="1"/>
    <col min="4101" max="4101" width="21.42578125" style="537" bestFit="1" customWidth="1"/>
    <col min="4102" max="4102" width="25.140625" style="537" bestFit="1" customWidth="1"/>
    <col min="4103" max="4103" width="28.7109375" style="537" customWidth="1"/>
    <col min="4104" max="4104" width="19.42578125" style="537" bestFit="1" customWidth="1"/>
    <col min="4105" max="4105" width="26.140625" style="537" bestFit="1" customWidth="1"/>
    <col min="4106" max="4106" width="25.85546875" style="537" bestFit="1" customWidth="1"/>
    <col min="4107" max="4107" width="19.28515625" style="537" bestFit="1" customWidth="1"/>
    <col min="4108" max="4108" width="22" style="537" bestFit="1" customWidth="1"/>
    <col min="4109" max="4109" width="17.5703125" style="537" bestFit="1" customWidth="1"/>
    <col min="4110" max="4110" width="9.140625" style="537"/>
    <col min="4111" max="4111" width="17.85546875" style="537" bestFit="1" customWidth="1"/>
    <col min="4112" max="4112" width="20.5703125" style="537" bestFit="1" customWidth="1"/>
    <col min="4113" max="4113" width="9.140625" style="537"/>
    <col min="4114" max="4114" width="27.85546875" style="537" customWidth="1"/>
    <col min="4115" max="4115" width="19" style="537" customWidth="1"/>
    <col min="4116" max="4116" width="21.42578125" style="537" bestFit="1" customWidth="1"/>
    <col min="4117" max="4117" width="24.140625" style="537" customWidth="1"/>
    <col min="4118" max="4118" width="20" style="537" customWidth="1"/>
    <col min="4119" max="4119" width="19.42578125" style="537" bestFit="1" customWidth="1"/>
    <col min="4120" max="4120" width="26.140625" style="537" bestFit="1" customWidth="1"/>
    <col min="4121" max="4121" width="23" style="537" customWidth="1"/>
    <col min="4122" max="4122" width="19.28515625" style="537" bestFit="1" customWidth="1"/>
    <col min="4123" max="4123" width="22" style="537" bestFit="1" customWidth="1"/>
    <col min="4124" max="4124" width="9.140625" style="537"/>
    <col min="4125" max="4125" width="22.140625" style="537" customWidth="1"/>
    <col min="4126" max="4126" width="23.85546875" style="537" customWidth="1"/>
    <col min="4127" max="4127" width="16.42578125" style="537" bestFit="1" customWidth="1"/>
    <col min="4128" max="4129" width="9.140625" style="537"/>
    <col min="4130" max="4130" width="12.140625" style="537" bestFit="1" customWidth="1"/>
    <col min="4131" max="4352" width="9.140625" style="537"/>
    <col min="4353" max="4353" width="21.140625" style="537" customWidth="1"/>
    <col min="4354" max="4354" width="54" style="537" bestFit="1" customWidth="1"/>
    <col min="4355" max="4355" width="32.85546875" style="537" bestFit="1" customWidth="1"/>
    <col min="4356" max="4356" width="27" style="537" customWidth="1"/>
    <col min="4357" max="4357" width="21.42578125" style="537" bestFit="1" customWidth="1"/>
    <col min="4358" max="4358" width="25.140625" style="537" bestFit="1" customWidth="1"/>
    <col min="4359" max="4359" width="28.7109375" style="537" customWidth="1"/>
    <col min="4360" max="4360" width="19.42578125" style="537" bestFit="1" customWidth="1"/>
    <col min="4361" max="4361" width="26.140625" style="537" bestFit="1" customWidth="1"/>
    <col min="4362" max="4362" width="25.85546875" style="537" bestFit="1" customWidth="1"/>
    <col min="4363" max="4363" width="19.28515625" style="537" bestFit="1" customWidth="1"/>
    <col min="4364" max="4364" width="22" style="537" bestFit="1" customWidth="1"/>
    <col min="4365" max="4365" width="17.5703125" style="537" bestFit="1" customWidth="1"/>
    <col min="4366" max="4366" width="9.140625" style="537"/>
    <col min="4367" max="4367" width="17.85546875" style="537" bestFit="1" customWidth="1"/>
    <col min="4368" max="4368" width="20.5703125" style="537" bestFit="1" customWidth="1"/>
    <col min="4369" max="4369" width="9.140625" style="537"/>
    <col min="4370" max="4370" width="27.85546875" style="537" customWidth="1"/>
    <col min="4371" max="4371" width="19" style="537" customWidth="1"/>
    <col min="4372" max="4372" width="21.42578125" style="537" bestFit="1" customWidth="1"/>
    <col min="4373" max="4373" width="24.140625" style="537" customWidth="1"/>
    <col min="4374" max="4374" width="20" style="537" customWidth="1"/>
    <col min="4375" max="4375" width="19.42578125" style="537" bestFit="1" customWidth="1"/>
    <col min="4376" max="4376" width="26.140625" style="537" bestFit="1" customWidth="1"/>
    <col min="4377" max="4377" width="23" style="537" customWidth="1"/>
    <col min="4378" max="4378" width="19.28515625" style="537" bestFit="1" customWidth="1"/>
    <col min="4379" max="4379" width="22" style="537" bestFit="1" customWidth="1"/>
    <col min="4380" max="4380" width="9.140625" style="537"/>
    <col min="4381" max="4381" width="22.140625" style="537" customWidth="1"/>
    <col min="4382" max="4382" width="23.85546875" style="537" customWidth="1"/>
    <col min="4383" max="4383" width="16.42578125" style="537" bestFit="1" customWidth="1"/>
    <col min="4384" max="4385" width="9.140625" style="537"/>
    <col min="4386" max="4386" width="12.140625" style="537" bestFit="1" customWidth="1"/>
    <col min="4387" max="4608" width="9.140625" style="537"/>
    <col min="4609" max="4609" width="21.140625" style="537" customWidth="1"/>
    <col min="4610" max="4610" width="54" style="537" bestFit="1" customWidth="1"/>
    <col min="4611" max="4611" width="32.85546875" style="537" bestFit="1" customWidth="1"/>
    <col min="4612" max="4612" width="27" style="537" customWidth="1"/>
    <col min="4613" max="4613" width="21.42578125" style="537" bestFit="1" customWidth="1"/>
    <col min="4614" max="4614" width="25.140625" style="537" bestFit="1" customWidth="1"/>
    <col min="4615" max="4615" width="28.7109375" style="537" customWidth="1"/>
    <col min="4616" max="4616" width="19.42578125" style="537" bestFit="1" customWidth="1"/>
    <col min="4617" max="4617" width="26.140625" style="537" bestFit="1" customWidth="1"/>
    <col min="4618" max="4618" width="25.85546875" style="537" bestFit="1" customWidth="1"/>
    <col min="4619" max="4619" width="19.28515625" style="537" bestFit="1" customWidth="1"/>
    <col min="4620" max="4620" width="22" style="537" bestFit="1" customWidth="1"/>
    <col min="4621" max="4621" width="17.5703125" style="537" bestFit="1" customWidth="1"/>
    <col min="4622" max="4622" width="9.140625" style="537"/>
    <col min="4623" max="4623" width="17.85546875" style="537" bestFit="1" customWidth="1"/>
    <col min="4624" max="4624" width="20.5703125" style="537" bestFit="1" customWidth="1"/>
    <col min="4625" max="4625" width="9.140625" style="537"/>
    <col min="4626" max="4626" width="27.85546875" style="537" customWidth="1"/>
    <col min="4627" max="4627" width="19" style="537" customWidth="1"/>
    <col min="4628" max="4628" width="21.42578125" style="537" bestFit="1" customWidth="1"/>
    <col min="4629" max="4629" width="24.140625" style="537" customWidth="1"/>
    <col min="4630" max="4630" width="20" style="537" customWidth="1"/>
    <col min="4631" max="4631" width="19.42578125" style="537" bestFit="1" customWidth="1"/>
    <col min="4632" max="4632" width="26.140625" style="537" bestFit="1" customWidth="1"/>
    <col min="4633" max="4633" width="23" style="537" customWidth="1"/>
    <col min="4634" max="4634" width="19.28515625" style="537" bestFit="1" customWidth="1"/>
    <col min="4635" max="4635" width="22" style="537" bestFit="1" customWidth="1"/>
    <col min="4636" max="4636" width="9.140625" style="537"/>
    <col min="4637" max="4637" width="22.140625" style="537" customWidth="1"/>
    <col min="4638" max="4638" width="23.85546875" style="537" customWidth="1"/>
    <col min="4639" max="4639" width="16.42578125" style="537" bestFit="1" customWidth="1"/>
    <col min="4640" max="4641" width="9.140625" style="537"/>
    <col min="4642" max="4642" width="12.140625" style="537" bestFit="1" customWidth="1"/>
    <col min="4643" max="4864" width="9.140625" style="537"/>
    <col min="4865" max="4865" width="21.140625" style="537" customWidth="1"/>
    <col min="4866" max="4866" width="54" style="537" bestFit="1" customWidth="1"/>
    <col min="4867" max="4867" width="32.85546875" style="537" bestFit="1" customWidth="1"/>
    <col min="4868" max="4868" width="27" style="537" customWidth="1"/>
    <col min="4869" max="4869" width="21.42578125" style="537" bestFit="1" customWidth="1"/>
    <col min="4870" max="4870" width="25.140625" style="537" bestFit="1" customWidth="1"/>
    <col min="4871" max="4871" width="28.7109375" style="537" customWidth="1"/>
    <col min="4872" max="4872" width="19.42578125" style="537" bestFit="1" customWidth="1"/>
    <col min="4873" max="4873" width="26.140625" style="537" bestFit="1" customWidth="1"/>
    <col min="4874" max="4874" width="25.85546875" style="537" bestFit="1" customWidth="1"/>
    <col min="4875" max="4875" width="19.28515625" style="537" bestFit="1" customWidth="1"/>
    <col min="4876" max="4876" width="22" style="537" bestFit="1" customWidth="1"/>
    <col min="4877" max="4877" width="17.5703125" style="537" bestFit="1" customWidth="1"/>
    <col min="4878" max="4878" width="9.140625" style="537"/>
    <col min="4879" max="4879" width="17.85546875" style="537" bestFit="1" customWidth="1"/>
    <col min="4880" max="4880" width="20.5703125" style="537" bestFit="1" customWidth="1"/>
    <col min="4881" max="4881" width="9.140625" style="537"/>
    <col min="4882" max="4882" width="27.85546875" style="537" customWidth="1"/>
    <col min="4883" max="4883" width="19" style="537" customWidth="1"/>
    <col min="4884" max="4884" width="21.42578125" style="537" bestFit="1" customWidth="1"/>
    <col min="4885" max="4885" width="24.140625" style="537" customWidth="1"/>
    <col min="4886" max="4886" width="20" style="537" customWidth="1"/>
    <col min="4887" max="4887" width="19.42578125" style="537" bestFit="1" customWidth="1"/>
    <col min="4888" max="4888" width="26.140625" style="537" bestFit="1" customWidth="1"/>
    <col min="4889" max="4889" width="23" style="537" customWidth="1"/>
    <col min="4890" max="4890" width="19.28515625" style="537" bestFit="1" customWidth="1"/>
    <col min="4891" max="4891" width="22" style="537" bestFit="1" customWidth="1"/>
    <col min="4892" max="4892" width="9.140625" style="537"/>
    <col min="4893" max="4893" width="22.140625" style="537" customWidth="1"/>
    <col min="4894" max="4894" width="23.85546875" style="537" customWidth="1"/>
    <col min="4895" max="4895" width="16.42578125" style="537" bestFit="1" customWidth="1"/>
    <col min="4896" max="4897" width="9.140625" style="537"/>
    <col min="4898" max="4898" width="12.140625" style="537" bestFit="1" customWidth="1"/>
    <col min="4899" max="5120" width="9.140625" style="537"/>
    <col min="5121" max="5121" width="21.140625" style="537" customWidth="1"/>
    <col min="5122" max="5122" width="54" style="537" bestFit="1" customWidth="1"/>
    <col min="5123" max="5123" width="32.85546875" style="537" bestFit="1" customWidth="1"/>
    <col min="5124" max="5124" width="27" style="537" customWidth="1"/>
    <col min="5125" max="5125" width="21.42578125" style="537" bestFit="1" customWidth="1"/>
    <col min="5126" max="5126" width="25.140625" style="537" bestFit="1" customWidth="1"/>
    <col min="5127" max="5127" width="28.7109375" style="537" customWidth="1"/>
    <col min="5128" max="5128" width="19.42578125" style="537" bestFit="1" customWidth="1"/>
    <col min="5129" max="5129" width="26.140625" style="537" bestFit="1" customWidth="1"/>
    <col min="5130" max="5130" width="25.85546875" style="537" bestFit="1" customWidth="1"/>
    <col min="5131" max="5131" width="19.28515625" style="537" bestFit="1" customWidth="1"/>
    <col min="5132" max="5132" width="22" style="537" bestFit="1" customWidth="1"/>
    <col min="5133" max="5133" width="17.5703125" style="537" bestFit="1" customWidth="1"/>
    <col min="5134" max="5134" width="9.140625" style="537"/>
    <col min="5135" max="5135" width="17.85546875" style="537" bestFit="1" customWidth="1"/>
    <col min="5136" max="5136" width="20.5703125" style="537" bestFit="1" customWidth="1"/>
    <col min="5137" max="5137" width="9.140625" style="537"/>
    <col min="5138" max="5138" width="27.85546875" style="537" customWidth="1"/>
    <col min="5139" max="5139" width="19" style="537" customWidth="1"/>
    <col min="5140" max="5140" width="21.42578125" style="537" bestFit="1" customWidth="1"/>
    <col min="5141" max="5141" width="24.140625" style="537" customWidth="1"/>
    <col min="5142" max="5142" width="20" style="537" customWidth="1"/>
    <col min="5143" max="5143" width="19.42578125" style="537" bestFit="1" customWidth="1"/>
    <col min="5144" max="5144" width="26.140625" style="537" bestFit="1" customWidth="1"/>
    <col min="5145" max="5145" width="23" style="537" customWidth="1"/>
    <col min="5146" max="5146" width="19.28515625" style="537" bestFit="1" customWidth="1"/>
    <col min="5147" max="5147" width="22" style="537" bestFit="1" customWidth="1"/>
    <col min="5148" max="5148" width="9.140625" style="537"/>
    <col min="5149" max="5149" width="22.140625" style="537" customWidth="1"/>
    <col min="5150" max="5150" width="23.85546875" style="537" customWidth="1"/>
    <col min="5151" max="5151" width="16.42578125" style="537" bestFit="1" customWidth="1"/>
    <col min="5152" max="5153" width="9.140625" style="537"/>
    <col min="5154" max="5154" width="12.140625" style="537" bestFit="1" customWidth="1"/>
    <col min="5155" max="5376" width="9.140625" style="537"/>
    <col min="5377" max="5377" width="21.140625" style="537" customWidth="1"/>
    <col min="5378" max="5378" width="54" style="537" bestFit="1" customWidth="1"/>
    <col min="5379" max="5379" width="32.85546875" style="537" bestFit="1" customWidth="1"/>
    <col min="5380" max="5380" width="27" style="537" customWidth="1"/>
    <col min="5381" max="5381" width="21.42578125" style="537" bestFit="1" customWidth="1"/>
    <col min="5382" max="5382" width="25.140625" style="537" bestFit="1" customWidth="1"/>
    <col min="5383" max="5383" width="28.7109375" style="537" customWidth="1"/>
    <col min="5384" max="5384" width="19.42578125" style="537" bestFit="1" customWidth="1"/>
    <col min="5385" max="5385" width="26.140625" style="537" bestFit="1" customWidth="1"/>
    <col min="5386" max="5386" width="25.85546875" style="537" bestFit="1" customWidth="1"/>
    <col min="5387" max="5387" width="19.28515625" style="537" bestFit="1" customWidth="1"/>
    <col min="5388" max="5388" width="22" style="537" bestFit="1" customWidth="1"/>
    <col min="5389" max="5389" width="17.5703125" style="537" bestFit="1" customWidth="1"/>
    <col min="5390" max="5390" width="9.140625" style="537"/>
    <col min="5391" max="5391" width="17.85546875" style="537" bestFit="1" customWidth="1"/>
    <col min="5392" max="5392" width="20.5703125" style="537" bestFit="1" customWidth="1"/>
    <col min="5393" max="5393" width="9.140625" style="537"/>
    <col min="5394" max="5394" width="27.85546875" style="537" customWidth="1"/>
    <col min="5395" max="5395" width="19" style="537" customWidth="1"/>
    <col min="5396" max="5396" width="21.42578125" style="537" bestFit="1" customWidth="1"/>
    <col min="5397" max="5397" width="24.140625" style="537" customWidth="1"/>
    <col min="5398" max="5398" width="20" style="537" customWidth="1"/>
    <col min="5399" max="5399" width="19.42578125" style="537" bestFit="1" customWidth="1"/>
    <col min="5400" max="5400" width="26.140625" style="537" bestFit="1" customWidth="1"/>
    <col min="5401" max="5401" width="23" style="537" customWidth="1"/>
    <col min="5402" max="5402" width="19.28515625" style="537" bestFit="1" customWidth="1"/>
    <col min="5403" max="5403" width="22" style="537" bestFit="1" customWidth="1"/>
    <col min="5404" max="5404" width="9.140625" style="537"/>
    <col min="5405" max="5405" width="22.140625" style="537" customWidth="1"/>
    <col min="5406" max="5406" width="23.85546875" style="537" customWidth="1"/>
    <col min="5407" max="5407" width="16.42578125" style="537" bestFit="1" customWidth="1"/>
    <col min="5408" max="5409" width="9.140625" style="537"/>
    <col min="5410" max="5410" width="12.140625" style="537" bestFit="1" customWidth="1"/>
    <col min="5411" max="5632" width="9.140625" style="537"/>
    <col min="5633" max="5633" width="21.140625" style="537" customWidth="1"/>
    <col min="5634" max="5634" width="54" style="537" bestFit="1" customWidth="1"/>
    <col min="5635" max="5635" width="32.85546875" style="537" bestFit="1" customWidth="1"/>
    <col min="5636" max="5636" width="27" style="537" customWidth="1"/>
    <col min="5637" max="5637" width="21.42578125" style="537" bestFit="1" customWidth="1"/>
    <col min="5638" max="5638" width="25.140625" style="537" bestFit="1" customWidth="1"/>
    <col min="5639" max="5639" width="28.7109375" style="537" customWidth="1"/>
    <col min="5640" max="5640" width="19.42578125" style="537" bestFit="1" customWidth="1"/>
    <col min="5641" max="5641" width="26.140625" style="537" bestFit="1" customWidth="1"/>
    <col min="5642" max="5642" width="25.85546875" style="537" bestFit="1" customWidth="1"/>
    <col min="5643" max="5643" width="19.28515625" style="537" bestFit="1" customWidth="1"/>
    <col min="5644" max="5644" width="22" style="537" bestFit="1" customWidth="1"/>
    <col min="5645" max="5645" width="17.5703125" style="537" bestFit="1" customWidth="1"/>
    <col min="5646" max="5646" width="9.140625" style="537"/>
    <col min="5647" max="5647" width="17.85546875" style="537" bestFit="1" customWidth="1"/>
    <col min="5648" max="5648" width="20.5703125" style="537" bestFit="1" customWidth="1"/>
    <col min="5649" max="5649" width="9.140625" style="537"/>
    <col min="5650" max="5650" width="27.85546875" style="537" customWidth="1"/>
    <col min="5651" max="5651" width="19" style="537" customWidth="1"/>
    <col min="5652" max="5652" width="21.42578125" style="537" bestFit="1" customWidth="1"/>
    <col min="5653" max="5653" width="24.140625" style="537" customWidth="1"/>
    <col min="5654" max="5654" width="20" style="537" customWidth="1"/>
    <col min="5655" max="5655" width="19.42578125" style="537" bestFit="1" customWidth="1"/>
    <col min="5656" max="5656" width="26.140625" style="537" bestFit="1" customWidth="1"/>
    <col min="5657" max="5657" width="23" style="537" customWidth="1"/>
    <col min="5658" max="5658" width="19.28515625" style="537" bestFit="1" customWidth="1"/>
    <col min="5659" max="5659" width="22" style="537" bestFit="1" customWidth="1"/>
    <col min="5660" max="5660" width="9.140625" style="537"/>
    <col min="5661" max="5661" width="22.140625" style="537" customWidth="1"/>
    <col min="5662" max="5662" width="23.85546875" style="537" customWidth="1"/>
    <col min="5663" max="5663" width="16.42578125" style="537" bestFit="1" customWidth="1"/>
    <col min="5664" max="5665" width="9.140625" style="537"/>
    <col min="5666" max="5666" width="12.140625" style="537" bestFit="1" customWidth="1"/>
    <col min="5667" max="5888" width="9.140625" style="537"/>
    <col min="5889" max="5889" width="21.140625" style="537" customWidth="1"/>
    <col min="5890" max="5890" width="54" style="537" bestFit="1" customWidth="1"/>
    <col min="5891" max="5891" width="32.85546875" style="537" bestFit="1" customWidth="1"/>
    <col min="5892" max="5892" width="27" style="537" customWidth="1"/>
    <col min="5893" max="5893" width="21.42578125" style="537" bestFit="1" customWidth="1"/>
    <col min="5894" max="5894" width="25.140625" style="537" bestFit="1" customWidth="1"/>
    <col min="5895" max="5895" width="28.7109375" style="537" customWidth="1"/>
    <col min="5896" max="5896" width="19.42578125" style="537" bestFit="1" customWidth="1"/>
    <col min="5897" max="5897" width="26.140625" style="537" bestFit="1" customWidth="1"/>
    <col min="5898" max="5898" width="25.85546875" style="537" bestFit="1" customWidth="1"/>
    <col min="5899" max="5899" width="19.28515625" style="537" bestFit="1" customWidth="1"/>
    <col min="5900" max="5900" width="22" style="537" bestFit="1" customWidth="1"/>
    <col min="5901" max="5901" width="17.5703125" style="537" bestFit="1" customWidth="1"/>
    <col min="5902" max="5902" width="9.140625" style="537"/>
    <col min="5903" max="5903" width="17.85546875" style="537" bestFit="1" customWidth="1"/>
    <col min="5904" max="5904" width="20.5703125" style="537" bestFit="1" customWidth="1"/>
    <col min="5905" max="5905" width="9.140625" style="537"/>
    <col min="5906" max="5906" width="27.85546875" style="537" customWidth="1"/>
    <col min="5907" max="5907" width="19" style="537" customWidth="1"/>
    <col min="5908" max="5908" width="21.42578125" style="537" bestFit="1" customWidth="1"/>
    <col min="5909" max="5909" width="24.140625" style="537" customWidth="1"/>
    <col min="5910" max="5910" width="20" style="537" customWidth="1"/>
    <col min="5911" max="5911" width="19.42578125" style="537" bestFit="1" customWidth="1"/>
    <col min="5912" max="5912" width="26.140625" style="537" bestFit="1" customWidth="1"/>
    <col min="5913" max="5913" width="23" style="537" customWidth="1"/>
    <col min="5914" max="5914" width="19.28515625" style="537" bestFit="1" customWidth="1"/>
    <col min="5915" max="5915" width="22" style="537" bestFit="1" customWidth="1"/>
    <col min="5916" max="5916" width="9.140625" style="537"/>
    <col min="5917" max="5917" width="22.140625" style="537" customWidth="1"/>
    <col min="5918" max="5918" width="23.85546875" style="537" customWidth="1"/>
    <col min="5919" max="5919" width="16.42578125" style="537" bestFit="1" customWidth="1"/>
    <col min="5920" max="5921" width="9.140625" style="537"/>
    <col min="5922" max="5922" width="12.140625" style="537" bestFit="1" customWidth="1"/>
    <col min="5923" max="6144" width="9.140625" style="537"/>
    <col min="6145" max="6145" width="21.140625" style="537" customWidth="1"/>
    <col min="6146" max="6146" width="54" style="537" bestFit="1" customWidth="1"/>
    <col min="6147" max="6147" width="32.85546875" style="537" bestFit="1" customWidth="1"/>
    <col min="6148" max="6148" width="27" style="537" customWidth="1"/>
    <col min="6149" max="6149" width="21.42578125" style="537" bestFit="1" customWidth="1"/>
    <col min="6150" max="6150" width="25.140625" style="537" bestFit="1" customWidth="1"/>
    <col min="6151" max="6151" width="28.7109375" style="537" customWidth="1"/>
    <col min="6152" max="6152" width="19.42578125" style="537" bestFit="1" customWidth="1"/>
    <col min="6153" max="6153" width="26.140625" style="537" bestFit="1" customWidth="1"/>
    <col min="6154" max="6154" width="25.85546875" style="537" bestFit="1" customWidth="1"/>
    <col min="6155" max="6155" width="19.28515625" style="537" bestFit="1" customWidth="1"/>
    <col min="6156" max="6156" width="22" style="537" bestFit="1" customWidth="1"/>
    <col min="6157" max="6157" width="17.5703125" style="537" bestFit="1" customWidth="1"/>
    <col min="6158" max="6158" width="9.140625" style="537"/>
    <col min="6159" max="6159" width="17.85546875" style="537" bestFit="1" customWidth="1"/>
    <col min="6160" max="6160" width="20.5703125" style="537" bestFit="1" customWidth="1"/>
    <col min="6161" max="6161" width="9.140625" style="537"/>
    <col min="6162" max="6162" width="27.85546875" style="537" customWidth="1"/>
    <col min="6163" max="6163" width="19" style="537" customWidth="1"/>
    <col min="6164" max="6164" width="21.42578125" style="537" bestFit="1" customWidth="1"/>
    <col min="6165" max="6165" width="24.140625" style="537" customWidth="1"/>
    <col min="6166" max="6166" width="20" style="537" customWidth="1"/>
    <col min="6167" max="6167" width="19.42578125" style="537" bestFit="1" customWidth="1"/>
    <col min="6168" max="6168" width="26.140625" style="537" bestFit="1" customWidth="1"/>
    <col min="6169" max="6169" width="23" style="537" customWidth="1"/>
    <col min="6170" max="6170" width="19.28515625" style="537" bestFit="1" customWidth="1"/>
    <col min="6171" max="6171" width="22" style="537" bestFit="1" customWidth="1"/>
    <col min="6172" max="6172" width="9.140625" style="537"/>
    <col min="6173" max="6173" width="22.140625" style="537" customWidth="1"/>
    <col min="6174" max="6174" width="23.85546875" style="537" customWidth="1"/>
    <col min="6175" max="6175" width="16.42578125" style="537" bestFit="1" customWidth="1"/>
    <col min="6176" max="6177" width="9.140625" style="537"/>
    <col min="6178" max="6178" width="12.140625" style="537" bestFit="1" customWidth="1"/>
    <col min="6179" max="6400" width="9.140625" style="537"/>
    <col min="6401" max="6401" width="21.140625" style="537" customWidth="1"/>
    <col min="6402" max="6402" width="54" style="537" bestFit="1" customWidth="1"/>
    <col min="6403" max="6403" width="32.85546875" style="537" bestFit="1" customWidth="1"/>
    <col min="6404" max="6404" width="27" style="537" customWidth="1"/>
    <col min="6405" max="6405" width="21.42578125" style="537" bestFit="1" customWidth="1"/>
    <col min="6406" max="6406" width="25.140625" style="537" bestFit="1" customWidth="1"/>
    <col min="6407" max="6407" width="28.7109375" style="537" customWidth="1"/>
    <col min="6408" max="6408" width="19.42578125" style="537" bestFit="1" customWidth="1"/>
    <col min="6409" max="6409" width="26.140625" style="537" bestFit="1" customWidth="1"/>
    <col min="6410" max="6410" width="25.85546875" style="537" bestFit="1" customWidth="1"/>
    <col min="6411" max="6411" width="19.28515625" style="537" bestFit="1" customWidth="1"/>
    <col min="6412" max="6412" width="22" style="537" bestFit="1" customWidth="1"/>
    <col min="6413" max="6413" width="17.5703125" style="537" bestFit="1" customWidth="1"/>
    <col min="6414" max="6414" width="9.140625" style="537"/>
    <col min="6415" max="6415" width="17.85546875" style="537" bestFit="1" customWidth="1"/>
    <col min="6416" max="6416" width="20.5703125" style="537" bestFit="1" customWidth="1"/>
    <col min="6417" max="6417" width="9.140625" style="537"/>
    <col min="6418" max="6418" width="27.85546875" style="537" customWidth="1"/>
    <col min="6419" max="6419" width="19" style="537" customWidth="1"/>
    <col min="6420" max="6420" width="21.42578125" style="537" bestFit="1" customWidth="1"/>
    <col min="6421" max="6421" width="24.140625" style="537" customWidth="1"/>
    <col min="6422" max="6422" width="20" style="537" customWidth="1"/>
    <col min="6423" max="6423" width="19.42578125" style="537" bestFit="1" customWidth="1"/>
    <col min="6424" max="6424" width="26.140625" style="537" bestFit="1" customWidth="1"/>
    <col min="6425" max="6425" width="23" style="537" customWidth="1"/>
    <col min="6426" max="6426" width="19.28515625" style="537" bestFit="1" customWidth="1"/>
    <col min="6427" max="6427" width="22" style="537" bestFit="1" customWidth="1"/>
    <col min="6428" max="6428" width="9.140625" style="537"/>
    <col min="6429" max="6429" width="22.140625" style="537" customWidth="1"/>
    <col min="6430" max="6430" width="23.85546875" style="537" customWidth="1"/>
    <col min="6431" max="6431" width="16.42578125" style="537" bestFit="1" customWidth="1"/>
    <col min="6432" max="6433" width="9.140625" style="537"/>
    <col min="6434" max="6434" width="12.140625" style="537" bestFit="1" customWidth="1"/>
    <col min="6435" max="6656" width="9.140625" style="537"/>
    <col min="6657" max="6657" width="21.140625" style="537" customWidth="1"/>
    <col min="6658" max="6658" width="54" style="537" bestFit="1" customWidth="1"/>
    <col min="6659" max="6659" width="32.85546875" style="537" bestFit="1" customWidth="1"/>
    <col min="6660" max="6660" width="27" style="537" customWidth="1"/>
    <col min="6661" max="6661" width="21.42578125" style="537" bestFit="1" customWidth="1"/>
    <col min="6662" max="6662" width="25.140625" style="537" bestFit="1" customWidth="1"/>
    <col min="6663" max="6663" width="28.7109375" style="537" customWidth="1"/>
    <col min="6664" max="6664" width="19.42578125" style="537" bestFit="1" customWidth="1"/>
    <col min="6665" max="6665" width="26.140625" style="537" bestFit="1" customWidth="1"/>
    <col min="6666" max="6666" width="25.85546875" style="537" bestFit="1" customWidth="1"/>
    <col min="6667" max="6667" width="19.28515625" style="537" bestFit="1" customWidth="1"/>
    <col min="6668" max="6668" width="22" style="537" bestFit="1" customWidth="1"/>
    <col min="6669" max="6669" width="17.5703125" style="537" bestFit="1" customWidth="1"/>
    <col min="6670" max="6670" width="9.140625" style="537"/>
    <col min="6671" max="6671" width="17.85546875" style="537" bestFit="1" customWidth="1"/>
    <col min="6672" max="6672" width="20.5703125" style="537" bestFit="1" customWidth="1"/>
    <col min="6673" max="6673" width="9.140625" style="537"/>
    <col min="6674" max="6674" width="27.85546875" style="537" customWidth="1"/>
    <col min="6675" max="6675" width="19" style="537" customWidth="1"/>
    <col min="6676" max="6676" width="21.42578125" style="537" bestFit="1" customWidth="1"/>
    <col min="6677" max="6677" width="24.140625" style="537" customWidth="1"/>
    <col min="6678" max="6678" width="20" style="537" customWidth="1"/>
    <col min="6679" max="6679" width="19.42578125" style="537" bestFit="1" customWidth="1"/>
    <col min="6680" max="6680" width="26.140625" style="537" bestFit="1" customWidth="1"/>
    <col min="6681" max="6681" width="23" style="537" customWidth="1"/>
    <col min="6682" max="6682" width="19.28515625" style="537" bestFit="1" customWidth="1"/>
    <col min="6683" max="6683" width="22" style="537" bestFit="1" customWidth="1"/>
    <col min="6684" max="6684" width="9.140625" style="537"/>
    <col min="6685" max="6685" width="22.140625" style="537" customWidth="1"/>
    <col min="6686" max="6686" width="23.85546875" style="537" customWidth="1"/>
    <col min="6687" max="6687" width="16.42578125" style="537" bestFit="1" customWidth="1"/>
    <col min="6688" max="6689" width="9.140625" style="537"/>
    <col min="6690" max="6690" width="12.140625" style="537" bestFit="1" customWidth="1"/>
    <col min="6691" max="6912" width="9.140625" style="537"/>
    <col min="6913" max="6913" width="21.140625" style="537" customWidth="1"/>
    <col min="6914" max="6914" width="54" style="537" bestFit="1" customWidth="1"/>
    <col min="6915" max="6915" width="32.85546875" style="537" bestFit="1" customWidth="1"/>
    <col min="6916" max="6916" width="27" style="537" customWidth="1"/>
    <col min="6917" max="6917" width="21.42578125" style="537" bestFit="1" customWidth="1"/>
    <col min="6918" max="6918" width="25.140625" style="537" bestFit="1" customWidth="1"/>
    <col min="6919" max="6919" width="28.7109375" style="537" customWidth="1"/>
    <col min="6920" max="6920" width="19.42578125" style="537" bestFit="1" customWidth="1"/>
    <col min="6921" max="6921" width="26.140625" style="537" bestFit="1" customWidth="1"/>
    <col min="6922" max="6922" width="25.85546875" style="537" bestFit="1" customWidth="1"/>
    <col min="6923" max="6923" width="19.28515625" style="537" bestFit="1" customWidth="1"/>
    <col min="6924" max="6924" width="22" style="537" bestFit="1" customWidth="1"/>
    <col min="6925" max="6925" width="17.5703125" style="537" bestFit="1" customWidth="1"/>
    <col min="6926" max="6926" width="9.140625" style="537"/>
    <col min="6927" max="6927" width="17.85546875" style="537" bestFit="1" customWidth="1"/>
    <col min="6928" max="6928" width="20.5703125" style="537" bestFit="1" customWidth="1"/>
    <col min="6929" max="6929" width="9.140625" style="537"/>
    <col min="6930" max="6930" width="27.85546875" style="537" customWidth="1"/>
    <col min="6931" max="6931" width="19" style="537" customWidth="1"/>
    <col min="6932" max="6932" width="21.42578125" style="537" bestFit="1" customWidth="1"/>
    <col min="6933" max="6933" width="24.140625" style="537" customWidth="1"/>
    <col min="6934" max="6934" width="20" style="537" customWidth="1"/>
    <col min="6935" max="6935" width="19.42578125" style="537" bestFit="1" customWidth="1"/>
    <col min="6936" max="6936" width="26.140625" style="537" bestFit="1" customWidth="1"/>
    <col min="6937" max="6937" width="23" style="537" customWidth="1"/>
    <col min="6938" max="6938" width="19.28515625" style="537" bestFit="1" customWidth="1"/>
    <col min="6939" max="6939" width="22" style="537" bestFit="1" customWidth="1"/>
    <col min="6940" max="6940" width="9.140625" style="537"/>
    <col min="6941" max="6941" width="22.140625" style="537" customWidth="1"/>
    <col min="6942" max="6942" width="23.85546875" style="537" customWidth="1"/>
    <col min="6943" max="6943" width="16.42578125" style="537" bestFit="1" customWidth="1"/>
    <col min="6944" max="6945" width="9.140625" style="537"/>
    <col min="6946" max="6946" width="12.140625" style="537" bestFit="1" customWidth="1"/>
    <col min="6947" max="7168" width="9.140625" style="537"/>
    <col min="7169" max="7169" width="21.140625" style="537" customWidth="1"/>
    <col min="7170" max="7170" width="54" style="537" bestFit="1" customWidth="1"/>
    <col min="7171" max="7171" width="32.85546875" style="537" bestFit="1" customWidth="1"/>
    <col min="7172" max="7172" width="27" style="537" customWidth="1"/>
    <col min="7173" max="7173" width="21.42578125" style="537" bestFit="1" customWidth="1"/>
    <col min="7174" max="7174" width="25.140625" style="537" bestFit="1" customWidth="1"/>
    <col min="7175" max="7175" width="28.7109375" style="537" customWidth="1"/>
    <col min="7176" max="7176" width="19.42578125" style="537" bestFit="1" customWidth="1"/>
    <col min="7177" max="7177" width="26.140625" style="537" bestFit="1" customWidth="1"/>
    <col min="7178" max="7178" width="25.85546875" style="537" bestFit="1" customWidth="1"/>
    <col min="7179" max="7179" width="19.28515625" style="537" bestFit="1" customWidth="1"/>
    <col min="7180" max="7180" width="22" style="537" bestFit="1" customWidth="1"/>
    <col min="7181" max="7181" width="17.5703125" style="537" bestFit="1" customWidth="1"/>
    <col min="7182" max="7182" width="9.140625" style="537"/>
    <col min="7183" max="7183" width="17.85546875" style="537" bestFit="1" customWidth="1"/>
    <col min="7184" max="7184" width="20.5703125" style="537" bestFit="1" customWidth="1"/>
    <col min="7185" max="7185" width="9.140625" style="537"/>
    <col min="7186" max="7186" width="27.85546875" style="537" customWidth="1"/>
    <col min="7187" max="7187" width="19" style="537" customWidth="1"/>
    <col min="7188" max="7188" width="21.42578125" style="537" bestFit="1" customWidth="1"/>
    <col min="7189" max="7189" width="24.140625" style="537" customWidth="1"/>
    <col min="7190" max="7190" width="20" style="537" customWidth="1"/>
    <col min="7191" max="7191" width="19.42578125" style="537" bestFit="1" customWidth="1"/>
    <col min="7192" max="7192" width="26.140625" style="537" bestFit="1" customWidth="1"/>
    <col min="7193" max="7193" width="23" style="537" customWidth="1"/>
    <col min="7194" max="7194" width="19.28515625" style="537" bestFit="1" customWidth="1"/>
    <col min="7195" max="7195" width="22" style="537" bestFit="1" customWidth="1"/>
    <col min="7196" max="7196" width="9.140625" style="537"/>
    <col min="7197" max="7197" width="22.140625" style="537" customWidth="1"/>
    <col min="7198" max="7198" width="23.85546875" style="537" customWidth="1"/>
    <col min="7199" max="7199" width="16.42578125" style="537" bestFit="1" customWidth="1"/>
    <col min="7200" max="7201" width="9.140625" style="537"/>
    <col min="7202" max="7202" width="12.140625" style="537" bestFit="1" customWidth="1"/>
    <col min="7203" max="7424" width="9.140625" style="537"/>
    <col min="7425" max="7425" width="21.140625" style="537" customWidth="1"/>
    <col min="7426" max="7426" width="54" style="537" bestFit="1" customWidth="1"/>
    <col min="7427" max="7427" width="32.85546875" style="537" bestFit="1" customWidth="1"/>
    <col min="7428" max="7428" width="27" style="537" customWidth="1"/>
    <col min="7429" max="7429" width="21.42578125" style="537" bestFit="1" customWidth="1"/>
    <col min="7430" max="7430" width="25.140625" style="537" bestFit="1" customWidth="1"/>
    <col min="7431" max="7431" width="28.7109375" style="537" customWidth="1"/>
    <col min="7432" max="7432" width="19.42578125" style="537" bestFit="1" customWidth="1"/>
    <col min="7433" max="7433" width="26.140625" style="537" bestFit="1" customWidth="1"/>
    <col min="7434" max="7434" width="25.85546875" style="537" bestFit="1" customWidth="1"/>
    <col min="7435" max="7435" width="19.28515625" style="537" bestFit="1" customWidth="1"/>
    <col min="7436" max="7436" width="22" style="537" bestFit="1" customWidth="1"/>
    <col min="7437" max="7437" width="17.5703125" style="537" bestFit="1" customWidth="1"/>
    <col min="7438" max="7438" width="9.140625" style="537"/>
    <col min="7439" max="7439" width="17.85546875" style="537" bestFit="1" customWidth="1"/>
    <col min="7440" max="7440" width="20.5703125" style="537" bestFit="1" customWidth="1"/>
    <col min="7441" max="7441" width="9.140625" style="537"/>
    <col min="7442" max="7442" width="27.85546875" style="537" customWidth="1"/>
    <col min="7443" max="7443" width="19" style="537" customWidth="1"/>
    <col min="7444" max="7444" width="21.42578125" style="537" bestFit="1" customWidth="1"/>
    <col min="7445" max="7445" width="24.140625" style="537" customWidth="1"/>
    <col min="7446" max="7446" width="20" style="537" customWidth="1"/>
    <col min="7447" max="7447" width="19.42578125" style="537" bestFit="1" customWidth="1"/>
    <col min="7448" max="7448" width="26.140625" style="537" bestFit="1" customWidth="1"/>
    <col min="7449" max="7449" width="23" style="537" customWidth="1"/>
    <col min="7450" max="7450" width="19.28515625" style="537" bestFit="1" customWidth="1"/>
    <col min="7451" max="7451" width="22" style="537" bestFit="1" customWidth="1"/>
    <col min="7452" max="7452" width="9.140625" style="537"/>
    <col min="7453" max="7453" width="22.140625" style="537" customWidth="1"/>
    <col min="7454" max="7454" width="23.85546875" style="537" customWidth="1"/>
    <col min="7455" max="7455" width="16.42578125" style="537" bestFit="1" customWidth="1"/>
    <col min="7456" max="7457" width="9.140625" style="537"/>
    <col min="7458" max="7458" width="12.140625" style="537" bestFit="1" customWidth="1"/>
    <col min="7459" max="7680" width="9.140625" style="537"/>
    <col min="7681" max="7681" width="21.140625" style="537" customWidth="1"/>
    <col min="7682" max="7682" width="54" style="537" bestFit="1" customWidth="1"/>
    <col min="7683" max="7683" width="32.85546875" style="537" bestFit="1" customWidth="1"/>
    <col min="7684" max="7684" width="27" style="537" customWidth="1"/>
    <col min="7685" max="7685" width="21.42578125" style="537" bestFit="1" customWidth="1"/>
    <col min="7686" max="7686" width="25.140625" style="537" bestFit="1" customWidth="1"/>
    <col min="7687" max="7687" width="28.7109375" style="537" customWidth="1"/>
    <col min="7688" max="7688" width="19.42578125" style="537" bestFit="1" customWidth="1"/>
    <col min="7689" max="7689" width="26.140625" style="537" bestFit="1" customWidth="1"/>
    <col min="7690" max="7690" width="25.85546875" style="537" bestFit="1" customWidth="1"/>
    <col min="7691" max="7691" width="19.28515625" style="537" bestFit="1" customWidth="1"/>
    <col min="7692" max="7692" width="22" style="537" bestFit="1" customWidth="1"/>
    <col min="7693" max="7693" width="17.5703125" style="537" bestFit="1" customWidth="1"/>
    <col min="7694" max="7694" width="9.140625" style="537"/>
    <col min="7695" max="7695" width="17.85546875" style="537" bestFit="1" customWidth="1"/>
    <col min="7696" max="7696" width="20.5703125" style="537" bestFit="1" customWidth="1"/>
    <col min="7697" max="7697" width="9.140625" style="537"/>
    <col min="7698" max="7698" width="27.85546875" style="537" customWidth="1"/>
    <col min="7699" max="7699" width="19" style="537" customWidth="1"/>
    <col min="7700" max="7700" width="21.42578125" style="537" bestFit="1" customWidth="1"/>
    <col min="7701" max="7701" width="24.140625" style="537" customWidth="1"/>
    <col min="7702" max="7702" width="20" style="537" customWidth="1"/>
    <col min="7703" max="7703" width="19.42578125" style="537" bestFit="1" customWidth="1"/>
    <col min="7704" max="7704" width="26.140625" style="537" bestFit="1" customWidth="1"/>
    <col min="7705" max="7705" width="23" style="537" customWidth="1"/>
    <col min="7706" max="7706" width="19.28515625" style="537" bestFit="1" customWidth="1"/>
    <col min="7707" max="7707" width="22" style="537" bestFit="1" customWidth="1"/>
    <col min="7708" max="7708" width="9.140625" style="537"/>
    <col min="7709" max="7709" width="22.140625" style="537" customWidth="1"/>
    <col min="7710" max="7710" width="23.85546875" style="537" customWidth="1"/>
    <col min="7711" max="7711" width="16.42578125" style="537" bestFit="1" customWidth="1"/>
    <col min="7712" max="7713" width="9.140625" style="537"/>
    <col min="7714" max="7714" width="12.140625" style="537" bestFit="1" customWidth="1"/>
    <col min="7715" max="7936" width="9.140625" style="537"/>
    <col min="7937" max="7937" width="21.140625" style="537" customWidth="1"/>
    <col min="7938" max="7938" width="54" style="537" bestFit="1" customWidth="1"/>
    <col min="7939" max="7939" width="32.85546875" style="537" bestFit="1" customWidth="1"/>
    <col min="7940" max="7940" width="27" style="537" customWidth="1"/>
    <col min="7941" max="7941" width="21.42578125" style="537" bestFit="1" customWidth="1"/>
    <col min="7942" max="7942" width="25.140625" style="537" bestFit="1" customWidth="1"/>
    <col min="7943" max="7943" width="28.7109375" style="537" customWidth="1"/>
    <col min="7944" max="7944" width="19.42578125" style="537" bestFit="1" customWidth="1"/>
    <col min="7945" max="7945" width="26.140625" style="537" bestFit="1" customWidth="1"/>
    <col min="7946" max="7946" width="25.85546875" style="537" bestFit="1" customWidth="1"/>
    <col min="7947" max="7947" width="19.28515625" style="537" bestFit="1" customWidth="1"/>
    <col min="7948" max="7948" width="22" style="537" bestFit="1" customWidth="1"/>
    <col min="7949" max="7949" width="17.5703125" style="537" bestFit="1" customWidth="1"/>
    <col min="7950" max="7950" width="9.140625" style="537"/>
    <col min="7951" max="7951" width="17.85546875" style="537" bestFit="1" customWidth="1"/>
    <col min="7952" max="7952" width="20.5703125" style="537" bestFit="1" customWidth="1"/>
    <col min="7953" max="7953" width="9.140625" style="537"/>
    <col min="7954" max="7954" width="27.85546875" style="537" customWidth="1"/>
    <col min="7955" max="7955" width="19" style="537" customWidth="1"/>
    <col min="7956" max="7956" width="21.42578125" style="537" bestFit="1" customWidth="1"/>
    <col min="7957" max="7957" width="24.140625" style="537" customWidth="1"/>
    <col min="7958" max="7958" width="20" style="537" customWidth="1"/>
    <col min="7959" max="7959" width="19.42578125" style="537" bestFit="1" customWidth="1"/>
    <col min="7960" max="7960" width="26.140625" style="537" bestFit="1" customWidth="1"/>
    <col min="7961" max="7961" width="23" style="537" customWidth="1"/>
    <col min="7962" max="7962" width="19.28515625" style="537" bestFit="1" customWidth="1"/>
    <col min="7963" max="7963" width="22" style="537" bestFit="1" customWidth="1"/>
    <col min="7964" max="7964" width="9.140625" style="537"/>
    <col min="7965" max="7965" width="22.140625" style="537" customWidth="1"/>
    <col min="7966" max="7966" width="23.85546875" style="537" customWidth="1"/>
    <col min="7967" max="7967" width="16.42578125" style="537" bestFit="1" customWidth="1"/>
    <col min="7968" max="7969" width="9.140625" style="537"/>
    <col min="7970" max="7970" width="12.140625" style="537" bestFit="1" customWidth="1"/>
    <col min="7971" max="8192" width="9.140625" style="537"/>
    <col min="8193" max="8193" width="21.140625" style="537" customWidth="1"/>
    <col min="8194" max="8194" width="54" style="537" bestFit="1" customWidth="1"/>
    <col min="8195" max="8195" width="32.85546875" style="537" bestFit="1" customWidth="1"/>
    <col min="8196" max="8196" width="27" style="537" customWidth="1"/>
    <col min="8197" max="8197" width="21.42578125" style="537" bestFit="1" customWidth="1"/>
    <col min="8198" max="8198" width="25.140625" style="537" bestFit="1" customWidth="1"/>
    <col min="8199" max="8199" width="28.7109375" style="537" customWidth="1"/>
    <col min="8200" max="8200" width="19.42578125" style="537" bestFit="1" customWidth="1"/>
    <col min="8201" max="8201" width="26.140625" style="537" bestFit="1" customWidth="1"/>
    <col min="8202" max="8202" width="25.85546875" style="537" bestFit="1" customWidth="1"/>
    <col min="8203" max="8203" width="19.28515625" style="537" bestFit="1" customWidth="1"/>
    <col min="8204" max="8204" width="22" style="537" bestFit="1" customWidth="1"/>
    <col min="8205" max="8205" width="17.5703125" style="537" bestFit="1" customWidth="1"/>
    <col min="8206" max="8206" width="9.140625" style="537"/>
    <col min="8207" max="8207" width="17.85546875" style="537" bestFit="1" customWidth="1"/>
    <col min="8208" max="8208" width="20.5703125" style="537" bestFit="1" customWidth="1"/>
    <col min="8209" max="8209" width="9.140625" style="537"/>
    <col min="8210" max="8210" width="27.85546875" style="537" customWidth="1"/>
    <col min="8211" max="8211" width="19" style="537" customWidth="1"/>
    <col min="8212" max="8212" width="21.42578125" style="537" bestFit="1" customWidth="1"/>
    <col min="8213" max="8213" width="24.140625" style="537" customWidth="1"/>
    <col min="8214" max="8214" width="20" style="537" customWidth="1"/>
    <col min="8215" max="8215" width="19.42578125" style="537" bestFit="1" customWidth="1"/>
    <col min="8216" max="8216" width="26.140625" style="537" bestFit="1" customWidth="1"/>
    <col min="8217" max="8217" width="23" style="537" customWidth="1"/>
    <col min="8218" max="8218" width="19.28515625" style="537" bestFit="1" customWidth="1"/>
    <col min="8219" max="8219" width="22" style="537" bestFit="1" customWidth="1"/>
    <col min="8220" max="8220" width="9.140625" style="537"/>
    <col min="8221" max="8221" width="22.140625" style="537" customWidth="1"/>
    <col min="8222" max="8222" width="23.85546875" style="537" customWidth="1"/>
    <col min="8223" max="8223" width="16.42578125" style="537" bestFit="1" customWidth="1"/>
    <col min="8224" max="8225" width="9.140625" style="537"/>
    <col min="8226" max="8226" width="12.140625" style="537" bestFit="1" customWidth="1"/>
    <col min="8227" max="8448" width="9.140625" style="537"/>
    <col min="8449" max="8449" width="21.140625" style="537" customWidth="1"/>
    <col min="8450" max="8450" width="54" style="537" bestFit="1" customWidth="1"/>
    <col min="8451" max="8451" width="32.85546875" style="537" bestFit="1" customWidth="1"/>
    <col min="8452" max="8452" width="27" style="537" customWidth="1"/>
    <col min="8453" max="8453" width="21.42578125" style="537" bestFit="1" customWidth="1"/>
    <col min="8454" max="8454" width="25.140625" style="537" bestFit="1" customWidth="1"/>
    <col min="8455" max="8455" width="28.7109375" style="537" customWidth="1"/>
    <col min="8456" max="8456" width="19.42578125" style="537" bestFit="1" customWidth="1"/>
    <col min="8457" max="8457" width="26.140625" style="537" bestFit="1" customWidth="1"/>
    <col min="8458" max="8458" width="25.85546875" style="537" bestFit="1" customWidth="1"/>
    <col min="8459" max="8459" width="19.28515625" style="537" bestFit="1" customWidth="1"/>
    <col min="8460" max="8460" width="22" style="537" bestFit="1" customWidth="1"/>
    <col min="8461" max="8461" width="17.5703125" style="537" bestFit="1" customWidth="1"/>
    <col min="8462" max="8462" width="9.140625" style="537"/>
    <col min="8463" max="8463" width="17.85546875" style="537" bestFit="1" customWidth="1"/>
    <col min="8464" max="8464" width="20.5703125" style="537" bestFit="1" customWidth="1"/>
    <col min="8465" max="8465" width="9.140625" style="537"/>
    <col min="8466" max="8466" width="27.85546875" style="537" customWidth="1"/>
    <col min="8467" max="8467" width="19" style="537" customWidth="1"/>
    <col min="8468" max="8468" width="21.42578125" style="537" bestFit="1" customWidth="1"/>
    <col min="8469" max="8469" width="24.140625" style="537" customWidth="1"/>
    <col min="8470" max="8470" width="20" style="537" customWidth="1"/>
    <col min="8471" max="8471" width="19.42578125" style="537" bestFit="1" customWidth="1"/>
    <col min="8472" max="8472" width="26.140625" style="537" bestFit="1" customWidth="1"/>
    <col min="8473" max="8473" width="23" style="537" customWidth="1"/>
    <col min="8474" max="8474" width="19.28515625" style="537" bestFit="1" customWidth="1"/>
    <col min="8475" max="8475" width="22" style="537" bestFit="1" customWidth="1"/>
    <col min="8476" max="8476" width="9.140625" style="537"/>
    <col min="8477" max="8477" width="22.140625" style="537" customWidth="1"/>
    <col min="8478" max="8478" width="23.85546875" style="537" customWidth="1"/>
    <col min="8479" max="8479" width="16.42578125" style="537" bestFit="1" customWidth="1"/>
    <col min="8480" max="8481" width="9.140625" style="537"/>
    <col min="8482" max="8482" width="12.140625" style="537" bestFit="1" customWidth="1"/>
    <col min="8483" max="8704" width="9.140625" style="537"/>
    <col min="8705" max="8705" width="21.140625" style="537" customWidth="1"/>
    <col min="8706" max="8706" width="54" style="537" bestFit="1" customWidth="1"/>
    <col min="8707" max="8707" width="32.85546875" style="537" bestFit="1" customWidth="1"/>
    <col min="8708" max="8708" width="27" style="537" customWidth="1"/>
    <col min="8709" max="8709" width="21.42578125" style="537" bestFit="1" customWidth="1"/>
    <col min="8710" max="8710" width="25.140625" style="537" bestFit="1" customWidth="1"/>
    <col min="8711" max="8711" width="28.7109375" style="537" customWidth="1"/>
    <col min="8712" max="8712" width="19.42578125" style="537" bestFit="1" customWidth="1"/>
    <col min="8713" max="8713" width="26.140625" style="537" bestFit="1" customWidth="1"/>
    <col min="8714" max="8714" width="25.85546875" style="537" bestFit="1" customWidth="1"/>
    <col min="8715" max="8715" width="19.28515625" style="537" bestFit="1" customWidth="1"/>
    <col min="8716" max="8716" width="22" style="537" bestFit="1" customWidth="1"/>
    <col min="8717" max="8717" width="17.5703125" style="537" bestFit="1" customWidth="1"/>
    <col min="8718" max="8718" width="9.140625" style="537"/>
    <col min="8719" max="8719" width="17.85546875" style="537" bestFit="1" customWidth="1"/>
    <col min="8720" max="8720" width="20.5703125" style="537" bestFit="1" customWidth="1"/>
    <col min="8721" max="8721" width="9.140625" style="537"/>
    <col min="8722" max="8722" width="27.85546875" style="537" customWidth="1"/>
    <col min="8723" max="8723" width="19" style="537" customWidth="1"/>
    <col min="8724" max="8724" width="21.42578125" style="537" bestFit="1" customWidth="1"/>
    <col min="8725" max="8725" width="24.140625" style="537" customWidth="1"/>
    <col min="8726" max="8726" width="20" style="537" customWidth="1"/>
    <col min="8727" max="8727" width="19.42578125" style="537" bestFit="1" customWidth="1"/>
    <col min="8728" max="8728" width="26.140625" style="537" bestFit="1" customWidth="1"/>
    <col min="8729" max="8729" width="23" style="537" customWidth="1"/>
    <col min="8730" max="8730" width="19.28515625" style="537" bestFit="1" customWidth="1"/>
    <col min="8731" max="8731" width="22" style="537" bestFit="1" customWidth="1"/>
    <col min="8732" max="8732" width="9.140625" style="537"/>
    <col min="8733" max="8733" width="22.140625" style="537" customWidth="1"/>
    <col min="8734" max="8734" width="23.85546875" style="537" customWidth="1"/>
    <col min="8735" max="8735" width="16.42578125" style="537" bestFit="1" customWidth="1"/>
    <col min="8736" max="8737" width="9.140625" style="537"/>
    <col min="8738" max="8738" width="12.140625" style="537" bestFit="1" customWidth="1"/>
    <col min="8739" max="8960" width="9.140625" style="537"/>
    <col min="8961" max="8961" width="21.140625" style="537" customWidth="1"/>
    <col min="8962" max="8962" width="54" style="537" bestFit="1" customWidth="1"/>
    <col min="8963" max="8963" width="32.85546875" style="537" bestFit="1" customWidth="1"/>
    <col min="8964" max="8964" width="27" style="537" customWidth="1"/>
    <col min="8965" max="8965" width="21.42578125" style="537" bestFit="1" customWidth="1"/>
    <col min="8966" max="8966" width="25.140625" style="537" bestFit="1" customWidth="1"/>
    <col min="8967" max="8967" width="28.7109375" style="537" customWidth="1"/>
    <col min="8968" max="8968" width="19.42578125" style="537" bestFit="1" customWidth="1"/>
    <col min="8969" max="8969" width="26.140625" style="537" bestFit="1" customWidth="1"/>
    <col min="8970" max="8970" width="25.85546875" style="537" bestFit="1" customWidth="1"/>
    <col min="8971" max="8971" width="19.28515625" style="537" bestFit="1" customWidth="1"/>
    <col min="8972" max="8972" width="22" style="537" bestFit="1" customWidth="1"/>
    <col min="8973" max="8973" width="17.5703125" style="537" bestFit="1" customWidth="1"/>
    <col min="8974" max="8974" width="9.140625" style="537"/>
    <col min="8975" max="8975" width="17.85546875" style="537" bestFit="1" customWidth="1"/>
    <col min="8976" max="8976" width="20.5703125" style="537" bestFit="1" customWidth="1"/>
    <col min="8977" max="8977" width="9.140625" style="537"/>
    <col min="8978" max="8978" width="27.85546875" style="537" customWidth="1"/>
    <col min="8979" max="8979" width="19" style="537" customWidth="1"/>
    <col min="8980" max="8980" width="21.42578125" style="537" bestFit="1" customWidth="1"/>
    <col min="8981" max="8981" width="24.140625" style="537" customWidth="1"/>
    <col min="8982" max="8982" width="20" style="537" customWidth="1"/>
    <col min="8983" max="8983" width="19.42578125" style="537" bestFit="1" customWidth="1"/>
    <col min="8984" max="8984" width="26.140625" style="537" bestFit="1" customWidth="1"/>
    <col min="8985" max="8985" width="23" style="537" customWidth="1"/>
    <col min="8986" max="8986" width="19.28515625" style="537" bestFit="1" customWidth="1"/>
    <col min="8987" max="8987" width="22" style="537" bestFit="1" customWidth="1"/>
    <col min="8988" max="8988" width="9.140625" style="537"/>
    <col min="8989" max="8989" width="22.140625" style="537" customWidth="1"/>
    <col min="8990" max="8990" width="23.85546875" style="537" customWidth="1"/>
    <col min="8991" max="8991" width="16.42578125" style="537" bestFit="1" customWidth="1"/>
    <col min="8992" max="8993" width="9.140625" style="537"/>
    <col min="8994" max="8994" width="12.140625" style="537" bestFit="1" customWidth="1"/>
    <col min="8995" max="9216" width="9.140625" style="537"/>
    <col min="9217" max="9217" width="21.140625" style="537" customWidth="1"/>
    <col min="9218" max="9218" width="54" style="537" bestFit="1" customWidth="1"/>
    <col min="9219" max="9219" width="32.85546875" style="537" bestFit="1" customWidth="1"/>
    <col min="9220" max="9220" width="27" style="537" customWidth="1"/>
    <col min="9221" max="9221" width="21.42578125" style="537" bestFit="1" customWidth="1"/>
    <col min="9222" max="9222" width="25.140625" style="537" bestFit="1" customWidth="1"/>
    <col min="9223" max="9223" width="28.7109375" style="537" customWidth="1"/>
    <col min="9224" max="9224" width="19.42578125" style="537" bestFit="1" customWidth="1"/>
    <col min="9225" max="9225" width="26.140625" style="537" bestFit="1" customWidth="1"/>
    <col min="9226" max="9226" width="25.85546875" style="537" bestFit="1" customWidth="1"/>
    <col min="9227" max="9227" width="19.28515625" style="537" bestFit="1" customWidth="1"/>
    <col min="9228" max="9228" width="22" style="537" bestFit="1" customWidth="1"/>
    <col min="9229" max="9229" width="17.5703125" style="537" bestFit="1" customWidth="1"/>
    <col min="9230" max="9230" width="9.140625" style="537"/>
    <col min="9231" max="9231" width="17.85546875" style="537" bestFit="1" customWidth="1"/>
    <col min="9232" max="9232" width="20.5703125" style="537" bestFit="1" customWidth="1"/>
    <col min="9233" max="9233" width="9.140625" style="537"/>
    <col min="9234" max="9234" width="27.85546875" style="537" customWidth="1"/>
    <col min="9235" max="9235" width="19" style="537" customWidth="1"/>
    <col min="9236" max="9236" width="21.42578125" style="537" bestFit="1" customWidth="1"/>
    <col min="9237" max="9237" width="24.140625" style="537" customWidth="1"/>
    <col min="9238" max="9238" width="20" style="537" customWidth="1"/>
    <col min="9239" max="9239" width="19.42578125" style="537" bestFit="1" customWidth="1"/>
    <col min="9240" max="9240" width="26.140625" style="537" bestFit="1" customWidth="1"/>
    <col min="9241" max="9241" width="23" style="537" customWidth="1"/>
    <col min="9242" max="9242" width="19.28515625" style="537" bestFit="1" customWidth="1"/>
    <col min="9243" max="9243" width="22" style="537" bestFit="1" customWidth="1"/>
    <col min="9244" max="9244" width="9.140625" style="537"/>
    <col min="9245" max="9245" width="22.140625" style="537" customWidth="1"/>
    <col min="9246" max="9246" width="23.85546875" style="537" customWidth="1"/>
    <col min="9247" max="9247" width="16.42578125" style="537" bestFit="1" customWidth="1"/>
    <col min="9248" max="9249" width="9.140625" style="537"/>
    <col min="9250" max="9250" width="12.140625" style="537" bestFit="1" customWidth="1"/>
    <col min="9251" max="9472" width="9.140625" style="537"/>
    <col min="9473" max="9473" width="21.140625" style="537" customWidth="1"/>
    <col min="9474" max="9474" width="54" style="537" bestFit="1" customWidth="1"/>
    <col min="9475" max="9475" width="32.85546875" style="537" bestFit="1" customWidth="1"/>
    <col min="9476" max="9476" width="27" style="537" customWidth="1"/>
    <col min="9477" max="9477" width="21.42578125" style="537" bestFit="1" customWidth="1"/>
    <col min="9478" max="9478" width="25.140625" style="537" bestFit="1" customWidth="1"/>
    <col min="9479" max="9479" width="28.7109375" style="537" customWidth="1"/>
    <col min="9480" max="9480" width="19.42578125" style="537" bestFit="1" customWidth="1"/>
    <col min="9481" max="9481" width="26.140625" style="537" bestFit="1" customWidth="1"/>
    <col min="9482" max="9482" width="25.85546875" style="537" bestFit="1" customWidth="1"/>
    <col min="9483" max="9483" width="19.28515625" style="537" bestFit="1" customWidth="1"/>
    <col min="9484" max="9484" width="22" style="537" bestFit="1" customWidth="1"/>
    <col min="9485" max="9485" width="17.5703125" style="537" bestFit="1" customWidth="1"/>
    <col min="9486" max="9486" width="9.140625" style="537"/>
    <col min="9487" max="9487" width="17.85546875" style="537" bestFit="1" customWidth="1"/>
    <col min="9488" max="9488" width="20.5703125" style="537" bestFit="1" customWidth="1"/>
    <col min="9489" max="9489" width="9.140625" style="537"/>
    <col min="9490" max="9490" width="27.85546875" style="537" customWidth="1"/>
    <col min="9491" max="9491" width="19" style="537" customWidth="1"/>
    <col min="9492" max="9492" width="21.42578125" style="537" bestFit="1" customWidth="1"/>
    <col min="9493" max="9493" width="24.140625" style="537" customWidth="1"/>
    <col min="9494" max="9494" width="20" style="537" customWidth="1"/>
    <col min="9495" max="9495" width="19.42578125" style="537" bestFit="1" customWidth="1"/>
    <col min="9496" max="9496" width="26.140625" style="537" bestFit="1" customWidth="1"/>
    <col min="9497" max="9497" width="23" style="537" customWidth="1"/>
    <col min="9498" max="9498" width="19.28515625" style="537" bestFit="1" customWidth="1"/>
    <col min="9499" max="9499" width="22" style="537" bestFit="1" customWidth="1"/>
    <col min="9500" max="9500" width="9.140625" style="537"/>
    <col min="9501" max="9501" width="22.140625" style="537" customWidth="1"/>
    <col min="9502" max="9502" width="23.85546875" style="537" customWidth="1"/>
    <col min="9503" max="9503" width="16.42578125" style="537" bestFit="1" customWidth="1"/>
    <col min="9504" max="9505" width="9.140625" style="537"/>
    <col min="9506" max="9506" width="12.140625" style="537" bestFit="1" customWidth="1"/>
    <col min="9507" max="9728" width="9.140625" style="537"/>
    <col min="9729" max="9729" width="21.140625" style="537" customWidth="1"/>
    <col min="9730" max="9730" width="54" style="537" bestFit="1" customWidth="1"/>
    <col min="9731" max="9731" width="32.85546875" style="537" bestFit="1" customWidth="1"/>
    <col min="9732" max="9732" width="27" style="537" customWidth="1"/>
    <col min="9733" max="9733" width="21.42578125" style="537" bestFit="1" customWidth="1"/>
    <col min="9734" max="9734" width="25.140625" style="537" bestFit="1" customWidth="1"/>
    <col min="9735" max="9735" width="28.7109375" style="537" customWidth="1"/>
    <col min="9736" max="9736" width="19.42578125" style="537" bestFit="1" customWidth="1"/>
    <col min="9737" max="9737" width="26.140625" style="537" bestFit="1" customWidth="1"/>
    <col min="9738" max="9738" width="25.85546875" style="537" bestFit="1" customWidth="1"/>
    <col min="9739" max="9739" width="19.28515625" style="537" bestFit="1" customWidth="1"/>
    <col min="9740" max="9740" width="22" style="537" bestFit="1" customWidth="1"/>
    <col min="9741" max="9741" width="17.5703125" style="537" bestFit="1" customWidth="1"/>
    <col min="9742" max="9742" width="9.140625" style="537"/>
    <col min="9743" max="9743" width="17.85546875" style="537" bestFit="1" customWidth="1"/>
    <col min="9744" max="9744" width="20.5703125" style="537" bestFit="1" customWidth="1"/>
    <col min="9745" max="9745" width="9.140625" style="537"/>
    <col min="9746" max="9746" width="27.85546875" style="537" customWidth="1"/>
    <col min="9747" max="9747" width="19" style="537" customWidth="1"/>
    <col min="9748" max="9748" width="21.42578125" style="537" bestFit="1" customWidth="1"/>
    <col min="9749" max="9749" width="24.140625" style="537" customWidth="1"/>
    <col min="9750" max="9750" width="20" style="537" customWidth="1"/>
    <col min="9751" max="9751" width="19.42578125" style="537" bestFit="1" customWidth="1"/>
    <col min="9752" max="9752" width="26.140625" style="537" bestFit="1" customWidth="1"/>
    <col min="9753" max="9753" width="23" style="537" customWidth="1"/>
    <col min="9754" max="9754" width="19.28515625" style="537" bestFit="1" customWidth="1"/>
    <col min="9755" max="9755" width="22" style="537" bestFit="1" customWidth="1"/>
    <col min="9756" max="9756" width="9.140625" style="537"/>
    <col min="9757" max="9757" width="22.140625" style="537" customWidth="1"/>
    <col min="9758" max="9758" width="23.85546875" style="537" customWidth="1"/>
    <col min="9759" max="9759" width="16.42578125" style="537" bestFit="1" customWidth="1"/>
    <col min="9760" max="9761" width="9.140625" style="537"/>
    <col min="9762" max="9762" width="12.140625" style="537" bestFit="1" customWidth="1"/>
    <col min="9763" max="9984" width="9.140625" style="537"/>
    <col min="9985" max="9985" width="21.140625" style="537" customWidth="1"/>
    <col min="9986" max="9986" width="54" style="537" bestFit="1" customWidth="1"/>
    <col min="9987" max="9987" width="32.85546875" style="537" bestFit="1" customWidth="1"/>
    <col min="9988" max="9988" width="27" style="537" customWidth="1"/>
    <col min="9989" max="9989" width="21.42578125" style="537" bestFit="1" customWidth="1"/>
    <col min="9990" max="9990" width="25.140625" style="537" bestFit="1" customWidth="1"/>
    <col min="9991" max="9991" width="28.7109375" style="537" customWidth="1"/>
    <col min="9992" max="9992" width="19.42578125" style="537" bestFit="1" customWidth="1"/>
    <col min="9993" max="9993" width="26.140625" style="537" bestFit="1" customWidth="1"/>
    <col min="9994" max="9994" width="25.85546875" style="537" bestFit="1" customWidth="1"/>
    <col min="9995" max="9995" width="19.28515625" style="537" bestFit="1" customWidth="1"/>
    <col min="9996" max="9996" width="22" style="537" bestFit="1" customWidth="1"/>
    <col min="9997" max="9997" width="17.5703125" style="537" bestFit="1" customWidth="1"/>
    <col min="9998" max="9998" width="9.140625" style="537"/>
    <col min="9999" max="9999" width="17.85546875" style="537" bestFit="1" customWidth="1"/>
    <col min="10000" max="10000" width="20.5703125" style="537" bestFit="1" customWidth="1"/>
    <col min="10001" max="10001" width="9.140625" style="537"/>
    <col min="10002" max="10002" width="27.85546875" style="537" customWidth="1"/>
    <col min="10003" max="10003" width="19" style="537" customWidth="1"/>
    <col min="10004" max="10004" width="21.42578125" style="537" bestFit="1" customWidth="1"/>
    <col min="10005" max="10005" width="24.140625" style="537" customWidth="1"/>
    <col min="10006" max="10006" width="20" style="537" customWidth="1"/>
    <col min="10007" max="10007" width="19.42578125" style="537" bestFit="1" customWidth="1"/>
    <col min="10008" max="10008" width="26.140625" style="537" bestFit="1" customWidth="1"/>
    <col min="10009" max="10009" width="23" style="537" customWidth="1"/>
    <col min="10010" max="10010" width="19.28515625" style="537" bestFit="1" customWidth="1"/>
    <col min="10011" max="10011" width="22" style="537" bestFit="1" customWidth="1"/>
    <col min="10012" max="10012" width="9.140625" style="537"/>
    <col min="10013" max="10013" width="22.140625" style="537" customWidth="1"/>
    <col min="10014" max="10014" width="23.85546875" style="537" customWidth="1"/>
    <col min="10015" max="10015" width="16.42578125" style="537" bestFit="1" customWidth="1"/>
    <col min="10016" max="10017" width="9.140625" style="537"/>
    <col min="10018" max="10018" width="12.140625" style="537" bestFit="1" customWidth="1"/>
    <col min="10019" max="10240" width="9.140625" style="537"/>
    <col min="10241" max="10241" width="21.140625" style="537" customWidth="1"/>
    <col min="10242" max="10242" width="54" style="537" bestFit="1" customWidth="1"/>
    <col min="10243" max="10243" width="32.85546875" style="537" bestFit="1" customWidth="1"/>
    <col min="10244" max="10244" width="27" style="537" customWidth="1"/>
    <col min="10245" max="10245" width="21.42578125" style="537" bestFit="1" customWidth="1"/>
    <col min="10246" max="10246" width="25.140625" style="537" bestFit="1" customWidth="1"/>
    <col min="10247" max="10247" width="28.7109375" style="537" customWidth="1"/>
    <col min="10248" max="10248" width="19.42578125" style="537" bestFit="1" customWidth="1"/>
    <col min="10249" max="10249" width="26.140625" style="537" bestFit="1" customWidth="1"/>
    <col min="10250" max="10250" width="25.85546875" style="537" bestFit="1" customWidth="1"/>
    <col min="10251" max="10251" width="19.28515625" style="537" bestFit="1" customWidth="1"/>
    <col min="10252" max="10252" width="22" style="537" bestFit="1" customWidth="1"/>
    <col min="10253" max="10253" width="17.5703125" style="537" bestFit="1" customWidth="1"/>
    <col min="10254" max="10254" width="9.140625" style="537"/>
    <col min="10255" max="10255" width="17.85546875" style="537" bestFit="1" customWidth="1"/>
    <col min="10256" max="10256" width="20.5703125" style="537" bestFit="1" customWidth="1"/>
    <col min="10257" max="10257" width="9.140625" style="537"/>
    <col min="10258" max="10258" width="27.85546875" style="537" customWidth="1"/>
    <col min="10259" max="10259" width="19" style="537" customWidth="1"/>
    <col min="10260" max="10260" width="21.42578125" style="537" bestFit="1" customWidth="1"/>
    <col min="10261" max="10261" width="24.140625" style="537" customWidth="1"/>
    <col min="10262" max="10262" width="20" style="537" customWidth="1"/>
    <col min="10263" max="10263" width="19.42578125" style="537" bestFit="1" customWidth="1"/>
    <col min="10264" max="10264" width="26.140625" style="537" bestFit="1" customWidth="1"/>
    <col min="10265" max="10265" width="23" style="537" customWidth="1"/>
    <col min="10266" max="10266" width="19.28515625" style="537" bestFit="1" customWidth="1"/>
    <col min="10267" max="10267" width="22" style="537" bestFit="1" customWidth="1"/>
    <col min="10268" max="10268" width="9.140625" style="537"/>
    <col min="10269" max="10269" width="22.140625" style="537" customWidth="1"/>
    <col min="10270" max="10270" width="23.85546875" style="537" customWidth="1"/>
    <col min="10271" max="10271" width="16.42578125" style="537" bestFit="1" customWidth="1"/>
    <col min="10272" max="10273" width="9.140625" style="537"/>
    <col min="10274" max="10274" width="12.140625" style="537" bestFit="1" customWidth="1"/>
    <col min="10275" max="10496" width="9.140625" style="537"/>
    <col min="10497" max="10497" width="21.140625" style="537" customWidth="1"/>
    <col min="10498" max="10498" width="54" style="537" bestFit="1" customWidth="1"/>
    <col min="10499" max="10499" width="32.85546875" style="537" bestFit="1" customWidth="1"/>
    <col min="10500" max="10500" width="27" style="537" customWidth="1"/>
    <col min="10501" max="10501" width="21.42578125" style="537" bestFit="1" customWidth="1"/>
    <col min="10502" max="10502" width="25.140625" style="537" bestFit="1" customWidth="1"/>
    <col min="10503" max="10503" width="28.7109375" style="537" customWidth="1"/>
    <col min="10504" max="10504" width="19.42578125" style="537" bestFit="1" customWidth="1"/>
    <col min="10505" max="10505" width="26.140625" style="537" bestFit="1" customWidth="1"/>
    <col min="10506" max="10506" width="25.85546875" style="537" bestFit="1" customWidth="1"/>
    <col min="10507" max="10507" width="19.28515625" style="537" bestFit="1" customWidth="1"/>
    <col min="10508" max="10508" width="22" style="537" bestFit="1" customWidth="1"/>
    <col min="10509" max="10509" width="17.5703125" style="537" bestFit="1" customWidth="1"/>
    <col min="10510" max="10510" width="9.140625" style="537"/>
    <col min="10511" max="10511" width="17.85546875" style="537" bestFit="1" customWidth="1"/>
    <col min="10512" max="10512" width="20.5703125" style="537" bestFit="1" customWidth="1"/>
    <col min="10513" max="10513" width="9.140625" style="537"/>
    <col min="10514" max="10514" width="27.85546875" style="537" customWidth="1"/>
    <col min="10515" max="10515" width="19" style="537" customWidth="1"/>
    <col min="10516" max="10516" width="21.42578125" style="537" bestFit="1" customWidth="1"/>
    <col min="10517" max="10517" width="24.140625" style="537" customWidth="1"/>
    <col min="10518" max="10518" width="20" style="537" customWidth="1"/>
    <col min="10519" max="10519" width="19.42578125" style="537" bestFit="1" customWidth="1"/>
    <col min="10520" max="10520" width="26.140625" style="537" bestFit="1" customWidth="1"/>
    <col min="10521" max="10521" width="23" style="537" customWidth="1"/>
    <col min="10522" max="10522" width="19.28515625" style="537" bestFit="1" customWidth="1"/>
    <col min="10523" max="10523" width="22" style="537" bestFit="1" customWidth="1"/>
    <col min="10524" max="10524" width="9.140625" style="537"/>
    <col min="10525" max="10525" width="22.140625" style="537" customWidth="1"/>
    <col min="10526" max="10526" width="23.85546875" style="537" customWidth="1"/>
    <col min="10527" max="10527" width="16.42578125" style="537" bestFit="1" customWidth="1"/>
    <col min="10528" max="10529" width="9.140625" style="537"/>
    <col min="10530" max="10530" width="12.140625" style="537" bestFit="1" customWidth="1"/>
    <col min="10531" max="10752" width="9.140625" style="537"/>
    <col min="10753" max="10753" width="21.140625" style="537" customWidth="1"/>
    <col min="10754" max="10754" width="54" style="537" bestFit="1" customWidth="1"/>
    <col min="10755" max="10755" width="32.85546875" style="537" bestFit="1" customWidth="1"/>
    <col min="10756" max="10756" width="27" style="537" customWidth="1"/>
    <col min="10757" max="10757" width="21.42578125" style="537" bestFit="1" customWidth="1"/>
    <col min="10758" max="10758" width="25.140625" style="537" bestFit="1" customWidth="1"/>
    <col min="10759" max="10759" width="28.7109375" style="537" customWidth="1"/>
    <col min="10760" max="10760" width="19.42578125" style="537" bestFit="1" customWidth="1"/>
    <col min="10761" max="10761" width="26.140625" style="537" bestFit="1" customWidth="1"/>
    <col min="10762" max="10762" width="25.85546875" style="537" bestFit="1" customWidth="1"/>
    <col min="10763" max="10763" width="19.28515625" style="537" bestFit="1" customWidth="1"/>
    <col min="10764" max="10764" width="22" style="537" bestFit="1" customWidth="1"/>
    <col min="10765" max="10765" width="17.5703125" style="537" bestFit="1" customWidth="1"/>
    <col min="10766" max="10766" width="9.140625" style="537"/>
    <col min="10767" max="10767" width="17.85546875" style="537" bestFit="1" customWidth="1"/>
    <col min="10768" max="10768" width="20.5703125" style="537" bestFit="1" customWidth="1"/>
    <col min="10769" max="10769" width="9.140625" style="537"/>
    <col min="10770" max="10770" width="27.85546875" style="537" customWidth="1"/>
    <col min="10771" max="10771" width="19" style="537" customWidth="1"/>
    <col min="10772" max="10772" width="21.42578125" style="537" bestFit="1" customWidth="1"/>
    <col min="10773" max="10773" width="24.140625" style="537" customWidth="1"/>
    <col min="10774" max="10774" width="20" style="537" customWidth="1"/>
    <col min="10775" max="10775" width="19.42578125" style="537" bestFit="1" customWidth="1"/>
    <col min="10776" max="10776" width="26.140625" style="537" bestFit="1" customWidth="1"/>
    <col min="10777" max="10777" width="23" style="537" customWidth="1"/>
    <col min="10778" max="10778" width="19.28515625" style="537" bestFit="1" customWidth="1"/>
    <col min="10779" max="10779" width="22" style="537" bestFit="1" customWidth="1"/>
    <col min="10780" max="10780" width="9.140625" style="537"/>
    <col min="10781" max="10781" width="22.140625" style="537" customWidth="1"/>
    <col min="10782" max="10782" width="23.85546875" style="537" customWidth="1"/>
    <col min="10783" max="10783" width="16.42578125" style="537" bestFit="1" customWidth="1"/>
    <col min="10784" max="10785" width="9.140625" style="537"/>
    <col min="10786" max="10786" width="12.140625" style="537" bestFit="1" customWidth="1"/>
    <col min="10787" max="11008" width="9.140625" style="537"/>
    <col min="11009" max="11009" width="21.140625" style="537" customWidth="1"/>
    <col min="11010" max="11010" width="54" style="537" bestFit="1" customWidth="1"/>
    <col min="11011" max="11011" width="32.85546875" style="537" bestFit="1" customWidth="1"/>
    <col min="11012" max="11012" width="27" style="537" customWidth="1"/>
    <col min="11013" max="11013" width="21.42578125" style="537" bestFit="1" customWidth="1"/>
    <col min="11014" max="11014" width="25.140625" style="537" bestFit="1" customWidth="1"/>
    <col min="11015" max="11015" width="28.7109375" style="537" customWidth="1"/>
    <col min="11016" max="11016" width="19.42578125" style="537" bestFit="1" customWidth="1"/>
    <col min="11017" max="11017" width="26.140625" style="537" bestFit="1" customWidth="1"/>
    <col min="11018" max="11018" width="25.85546875" style="537" bestFit="1" customWidth="1"/>
    <col min="11019" max="11019" width="19.28515625" style="537" bestFit="1" customWidth="1"/>
    <col min="11020" max="11020" width="22" style="537" bestFit="1" customWidth="1"/>
    <col min="11021" max="11021" width="17.5703125" style="537" bestFit="1" customWidth="1"/>
    <col min="11022" max="11022" width="9.140625" style="537"/>
    <col min="11023" max="11023" width="17.85546875" style="537" bestFit="1" customWidth="1"/>
    <col min="11024" max="11024" width="20.5703125" style="537" bestFit="1" customWidth="1"/>
    <col min="11025" max="11025" width="9.140625" style="537"/>
    <col min="11026" max="11026" width="27.85546875" style="537" customWidth="1"/>
    <col min="11027" max="11027" width="19" style="537" customWidth="1"/>
    <col min="11028" max="11028" width="21.42578125" style="537" bestFit="1" customWidth="1"/>
    <col min="11029" max="11029" width="24.140625" style="537" customWidth="1"/>
    <col min="11030" max="11030" width="20" style="537" customWidth="1"/>
    <col min="11031" max="11031" width="19.42578125" style="537" bestFit="1" customWidth="1"/>
    <col min="11032" max="11032" width="26.140625" style="537" bestFit="1" customWidth="1"/>
    <col min="11033" max="11033" width="23" style="537" customWidth="1"/>
    <col min="11034" max="11034" width="19.28515625" style="537" bestFit="1" customWidth="1"/>
    <col min="11035" max="11035" width="22" style="537" bestFit="1" customWidth="1"/>
    <col min="11036" max="11036" width="9.140625" style="537"/>
    <col min="11037" max="11037" width="22.140625" style="537" customWidth="1"/>
    <col min="11038" max="11038" width="23.85546875" style="537" customWidth="1"/>
    <col min="11039" max="11039" width="16.42578125" style="537" bestFit="1" customWidth="1"/>
    <col min="11040" max="11041" width="9.140625" style="537"/>
    <col min="11042" max="11042" width="12.140625" style="537" bestFit="1" customWidth="1"/>
    <col min="11043" max="11264" width="9.140625" style="537"/>
    <col min="11265" max="11265" width="21.140625" style="537" customWidth="1"/>
    <col min="11266" max="11266" width="54" style="537" bestFit="1" customWidth="1"/>
    <col min="11267" max="11267" width="32.85546875" style="537" bestFit="1" customWidth="1"/>
    <col min="11268" max="11268" width="27" style="537" customWidth="1"/>
    <col min="11269" max="11269" width="21.42578125" style="537" bestFit="1" customWidth="1"/>
    <col min="11270" max="11270" width="25.140625" style="537" bestFit="1" customWidth="1"/>
    <col min="11271" max="11271" width="28.7109375" style="537" customWidth="1"/>
    <col min="11272" max="11272" width="19.42578125" style="537" bestFit="1" customWidth="1"/>
    <col min="11273" max="11273" width="26.140625" style="537" bestFit="1" customWidth="1"/>
    <col min="11274" max="11274" width="25.85546875" style="537" bestFit="1" customWidth="1"/>
    <col min="11275" max="11275" width="19.28515625" style="537" bestFit="1" customWidth="1"/>
    <col min="11276" max="11276" width="22" style="537" bestFit="1" customWidth="1"/>
    <col min="11277" max="11277" width="17.5703125" style="537" bestFit="1" customWidth="1"/>
    <col min="11278" max="11278" width="9.140625" style="537"/>
    <col min="11279" max="11279" width="17.85546875" style="537" bestFit="1" customWidth="1"/>
    <col min="11280" max="11280" width="20.5703125" style="537" bestFit="1" customWidth="1"/>
    <col min="11281" max="11281" width="9.140625" style="537"/>
    <col min="11282" max="11282" width="27.85546875" style="537" customWidth="1"/>
    <col min="11283" max="11283" width="19" style="537" customWidth="1"/>
    <col min="11284" max="11284" width="21.42578125" style="537" bestFit="1" customWidth="1"/>
    <col min="11285" max="11285" width="24.140625" style="537" customWidth="1"/>
    <col min="11286" max="11286" width="20" style="537" customWidth="1"/>
    <col min="11287" max="11287" width="19.42578125" style="537" bestFit="1" customWidth="1"/>
    <col min="11288" max="11288" width="26.140625" style="537" bestFit="1" customWidth="1"/>
    <col min="11289" max="11289" width="23" style="537" customWidth="1"/>
    <col min="11290" max="11290" width="19.28515625" style="537" bestFit="1" customWidth="1"/>
    <col min="11291" max="11291" width="22" style="537" bestFit="1" customWidth="1"/>
    <col min="11292" max="11292" width="9.140625" style="537"/>
    <col min="11293" max="11293" width="22.140625" style="537" customWidth="1"/>
    <col min="11294" max="11294" width="23.85546875" style="537" customWidth="1"/>
    <col min="11295" max="11295" width="16.42578125" style="537" bestFit="1" customWidth="1"/>
    <col min="11296" max="11297" width="9.140625" style="537"/>
    <col min="11298" max="11298" width="12.140625" style="537" bestFit="1" customWidth="1"/>
    <col min="11299" max="11520" width="9.140625" style="537"/>
    <col min="11521" max="11521" width="21.140625" style="537" customWidth="1"/>
    <col min="11522" max="11522" width="54" style="537" bestFit="1" customWidth="1"/>
    <col min="11523" max="11523" width="32.85546875" style="537" bestFit="1" customWidth="1"/>
    <col min="11524" max="11524" width="27" style="537" customWidth="1"/>
    <col min="11525" max="11525" width="21.42578125" style="537" bestFit="1" customWidth="1"/>
    <col min="11526" max="11526" width="25.140625" style="537" bestFit="1" customWidth="1"/>
    <col min="11527" max="11527" width="28.7109375" style="537" customWidth="1"/>
    <col min="11528" max="11528" width="19.42578125" style="537" bestFit="1" customWidth="1"/>
    <col min="11529" max="11529" width="26.140625" style="537" bestFit="1" customWidth="1"/>
    <col min="11530" max="11530" width="25.85546875" style="537" bestFit="1" customWidth="1"/>
    <col min="11531" max="11531" width="19.28515625" style="537" bestFit="1" customWidth="1"/>
    <col min="11532" max="11532" width="22" style="537" bestFit="1" customWidth="1"/>
    <col min="11533" max="11533" width="17.5703125" style="537" bestFit="1" customWidth="1"/>
    <col min="11534" max="11534" width="9.140625" style="537"/>
    <col min="11535" max="11535" width="17.85546875" style="537" bestFit="1" customWidth="1"/>
    <col min="11536" max="11536" width="20.5703125" style="537" bestFit="1" customWidth="1"/>
    <col min="11537" max="11537" width="9.140625" style="537"/>
    <col min="11538" max="11538" width="27.85546875" style="537" customWidth="1"/>
    <col min="11539" max="11539" width="19" style="537" customWidth="1"/>
    <col min="11540" max="11540" width="21.42578125" style="537" bestFit="1" customWidth="1"/>
    <col min="11541" max="11541" width="24.140625" style="537" customWidth="1"/>
    <col min="11542" max="11542" width="20" style="537" customWidth="1"/>
    <col min="11543" max="11543" width="19.42578125" style="537" bestFit="1" customWidth="1"/>
    <col min="11544" max="11544" width="26.140625" style="537" bestFit="1" customWidth="1"/>
    <col min="11545" max="11545" width="23" style="537" customWidth="1"/>
    <col min="11546" max="11546" width="19.28515625" style="537" bestFit="1" customWidth="1"/>
    <col min="11547" max="11547" width="22" style="537" bestFit="1" customWidth="1"/>
    <col min="11548" max="11548" width="9.140625" style="537"/>
    <col min="11549" max="11549" width="22.140625" style="537" customWidth="1"/>
    <col min="11550" max="11550" width="23.85546875" style="537" customWidth="1"/>
    <col min="11551" max="11551" width="16.42578125" style="537" bestFit="1" customWidth="1"/>
    <col min="11552" max="11553" width="9.140625" style="537"/>
    <col min="11554" max="11554" width="12.140625" style="537" bestFit="1" customWidth="1"/>
    <col min="11555" max="11776" width="9.140625" style="537"/>
    <col min="11777" max="11777" width="21.140625" style="537" customWidth="1"/>
    <col min="11778" max="11778" width="54" style="537" bestFit="1" customWidth="1"/>
    <col min="11779" max="11779" width="32.85546875" style="537" bestFit="1" customWidth="1"/>
    <col min="11780" max="11780" width="27" style="537" customWidth="1"/>
    <col min="11781" max="11781" width="21.42578125" style="537" bestFit="1" customWidth="1"/>
    <col min="11782" max="11782" width="25.140625" style="537" bestFit="1" customWidth="1"/>
    <col min="11783" max="11783" width="28.7109375" style="537" customWidth="1"/>
    <col min="11784" max="11784" width="19.42578125" style="537" bestFit="1" customWidth="1"/>
    <col min="11785" max="11785" width="26.140625" style="537" bestFit="1" customWidth="1"/>
    <col min="11786" max="11786" width="25.85546875" style="537" bestFit="1" customWidth="1"/>
    <col min="11787" max="11787" width="19.28515625" style="537" bestFit="1" customWidth="1"/>
    <col min="11788" max="11788" width="22" style="537" bestFit="1" customWidth="1"/>
    <col min="11789" max="11789" width="17.5703125" style="537" bestFit="1" customWidth="1"/>
    <col min="11790" max="11790" width="9.140625" style="537"/>
    <col min="11791" max="11791" width="17.85546875" style="537" bestFit="1" customWidth="1"/>
    <col min="11792" max="11792" width="20.5703125" style="537" bestFit="1" customWidth="1"/>
    <col min="11793" max="11793" width="9.140625" style="537"/>
    <col min="11794" max="11794" width="27.85546875" style="537" customWidth="1"/>
    <col min="11795" max="11795" width="19" style="537" customWidth="1"/>
    <col min="11796" max="11796" width="21.42578125" style="537" bestFit="1" customWidth="1"/>
    <col min="11797" max="11797" width="24.140625" style="537" customWidth="1"/>
    <col min="11798" max="11798" width="20" style="537" customWidth="1"/>
    <col min="11799" max="11799" width="19.42578125" style="537" bestFit="1" customWidth="1"/>
    <col min="11800" max="11800" width="26.140625" style="537" bestFit="1" customWidth="1"/>
    <col min="11801" max="11801" width="23" style="537" customWidth="1"/>
    <col min="11802" max="11802" width="19.28515625" style="537" bestFit="1" customWidth="1"/>
    <col min="11803" max="11803" width="22" style="537" bestFit="1" customWidth="1"/>
    <col min="11804" max="11804" width="9.140625" style="537"/>
    <col min="11805" max="11805" width="22.140625" style="537" customWidth="1"/>
    <col min="11806" max="11806" width="23.85546875" style="537" customWidth="1"/>
    <col min="11807" max="11807" width="16.42578125" style="537" bestFit="1" customWidth="1"/>
    <col min="11808" max="11809" width="9.140625" style="537"/>
    <col min="11810" max="11810" width="12.140625" style="537" bestFit="1" customWidth="1"/>
    <col min="11811" max="12032" width="9.140625" style="537"/>
    <col min="12033" max="12033" width="21.140625" style="537" customWidth="1"/>
    <col min="12034" max="12034" width="54" style="537" bestFit="1" customWidth="1"/>
    <col min="12035" max="12035" width="32.85546875" style="537" bestFit="1" customWidth="1"/>
    <col min="12036" max="12036" width="27" style="537" customWidth="1"/>
    <col min="12037" max="12037" width="21.42578125" style="537" bestFit="1" customWidth="1"/>
    <col min="12038" max="12038" width="25.140625" style="537" bestFit="1" customWidth="1"/>
    <col min="12039" max="12039" width="28.7109375" style="537" customWidth="1"/>
    <col min="12040" max="12040" width="19.42578125" style="537" bestFit="1" customWidth="1"/>
    <col min="12041" max="12041" width="26.140625" style="537" bestFit="1" customWidth="1"/>
    <col min="12042" max="12042" width="25.85546875" style="537" bestFit="1" customWidth="1"/>
    <col min="12043" max="12043" width="19.28515625" style="537" bestFit="1" customWidth="1"/>
    <col min="12044" max="12044" width="22" style="537" bestFit="1" customWidth="1"/>
    <col min="12045" max="12045" width="17.5703125" style="537" bestFit="1" customWidth="1"/>
    <col min="12046" max="12046" width="9.140625" style="537"/>
    <col min="12047" max="12047" width="17.85546875" style="537" bestFit="1" customWidth="1"/>
    <col min="12048" max="12048" width="20.5703125" style="537" bestFit="1" customWidth="1"/>
    <col min="12049" max="12049" width="9.140625" style="537"/>
    <col min="12050" max="12050" width="27.85546875" style="537" customWidth="1"/>
    <col min="12051" max="12051" width="19" style="537" customWidth="1"/>
    <col min="12052" max="12052" width="21.42578125" style="537" bestFit="1" customWidth="1"/>
    <col min="12053" max="12053" width="24.140625" style="537" customWidth="1"/>
    <col min="12054" max="12054" width="20" style="537" customWidth="1"/>
    <col min="12055" max="12055" width="19.42578125" style="537" bestFit="1" customWidth="1"/>
    <col min="12056" max="12056" width="26.140625" style="537" bestFit="1" customWidth="1"/>
    <col min="12057" max="12057" width="23" style="537" customWidth="1"/>
    <col min="12058" max="12058" width="19.28515625" style="537" bestFit="1" customWidth="1"/>
    <col min="12059" max="12059" width="22" style="537" bestFit="1" customWidth="1"/>
    <col min="12060" max="12060" width="9.140625" style="537"/>
    <col min="12061" max="12061" width="22.140625" style="537" customWidth="1"/>
    <col min="12062" max="12062" width="23.85546875" style="537" customWidth="1"/>
    <col min="12063" max="12063" width="16.42578125" style="537" bestFit="1" customWidth="1"/>
    <col min="12064" max="12065" width="9.140625" style="537"/>
    <col min="12066" max="12066" width="12.140625" style="537" bestFit="1" customWidth="1"/>
    <col min="12067" max="12288" width="9.140625" style="537"/>
    <col min="12289" max="12289" width="21.140625" style="537" customWidth="1"/>
    <col min="12290" max="12290" width="54" style="537" bestFit="1" customWidth="1"/>
    <col min="12291" max="12291" width="32.85546875" style="537" bestFit="1" customWidth="1"/>
    <col min="12292" max="12292" width="27" style="537" customWidth="1"/>
    <col min="12293" max="12293" width="21.42578125" style="537" bestFit="1" customWidth="1"/>
    <col min="12294" max="12294" width="25.140625" style="537" bestFit="1" customWidth="1"/>
    <col min="12295" max="12295" width="28.7109375" style="537" customWidth="1"/>
    <col min="12296" max="12296" width="19.42578125" style="537" bestFit="1" customWidth="1"/>
    <col min="12297" max="12297" width="26.140625" style="537" bestFit="1" customWidth="1"/>
    <col min="12298" max="12298" width="25.85546875" style="537" bestFit="1" customWidth="1"/>
    <col min="12299" max="12299" width="19.28515625" style="537" bestFit="1" customWidth="1"/>
    <col min="12300" max="12300" width="22" style="537" bestFit="1" customWidth="1"/>
    <col min="12301" max="12301" width="17.5703125" style="537" bestFit="1" customWidth="1"/>
    <col min="12302" max="12302" width="9.140625" style="537"/>
    <col min="12303" max="12303" width="17.85546875" style="537" bestFit="1" customWidth="1"/>
    <col min="12304" max="12304" width="20.5703125" style="537" bestFit="1" customWidth="1"/>
    <col min="12305" max="12305" width="9.140625" style="537"/>
    <col min="12306" max="12306" width="27.85546875" style="537" customWidth="1"/>
    <col min="12307" max="12307" width="19" style="537" customWidth="1"/>
    <col min="12308" max="12308" width="21.42578125" style="537" bestFit="1" customWidth="1"/>
    <col min="12309" max="12309" width="24.140625" style="537" customWidth="1"/>
    <col min="12310" max="12310" width="20" style="537" customWidth="1"/>
    <col min="12311" max="12311" width="19.42578125" style="537" bestFit="1" customWidth="1"/>
    <col min="12312" max="12312" width="26.140625" style="537" bestFit="1" customWidth="1"/>
    <col min="12313" max="12313" width="23" style="537" customWidth="1"/>
    <col min="12314" max="12314" width="19.28515625" style="537" bestFit="1" customWidth="1"/>
    <col min="12315" max="12315" width="22" style="537" bestFit="1" customWidth="1"/>
    <col min="12316" max="12316" width="9.140625" style="537"/>
    <col min="12317" max="12317" width="22.140625" style="537" customWidth="1"/>
    <col min="12318" max="12318" width="23.85546875" style="537" customWidth="1"/>
    <col min="12319" max="12319" width="16.42578125" style="537" bestFit="1" customWidth="1"/>
    <col min="12320" max="12321" width="9.140625" style="537"/>
    <col min="12322" max="12322" width="12.140625" style="537" bestFit="1" customWidth="1"/>
    <col min="12323" max="12544" width="9.140625" style="537"/>
    <col min="12545" max="12545" width="21.140625" style="537" customWidth="1"/>
    <col min="12546" max="12546" width="54" style="537" bestFit="1" customWidth="1"/>
    <col min="12547" max="12547" width="32.85546875" style="537" bestFit="1" customWidth="1"/>
    <col min="12548" max="12548" width="27" style="537" customWidth="1"/>
    <col min="12549" max="12549" width="21.42578125" style="537" bestFit="1" customWidth="1"/>
    <col min="12550" max="12550" width="25.140625" style="537" bestFit="1" customWidth="1"/>
    <col min="12551" max="12551" width="28.7109375" style="537" customWidth="1"/>
    <col min="12552" max="12552" width="19.42578125" style="537" bestFit="1" customWidth="1"/>
    <col min="12553" max="12553" width="26.140625" style="537" bestFit="1" customWidth="1"/>
    <col min="12554" max="12554" width="25.85546875" style="537" bestFit="1" customWidth="1"/>
    <col min="12555" max="12555" width="19.28515625" style="537" bestFit="1" customWidth="1"/>
    <col min="12556" max="12556" width="22" style="537" bestFit="1" customWidth="1"/>
    <col min="12557" max="12557" width="17.5703125" style="537" bestFit="1" customWidth="1"/>
    <col min="12558" max="12558" width="9.140625" style="537"/>
    <col min="12559" max="12559" width="17.85546875" style="537" bestFit="1" customWidth="1"/>
    <col min="12560" max="12560" width="20.5703125" style="537" bestFit="1" customWidth="1"/>
    <col min="12561" max="12561" width="9.140625" style="537"/>
    <col min="12562" max="12562" width="27.85546875" style="537" customWidth="1"/>
    <col min="12563" max="12563" width="19" style="537" customWidth="1"/>
    <col min="12564" max="12564" width="21.42578125" style="537" bestFit="1" customWidth="1"/>
    <col min="12565" max="12565" width="24.140625" style="537" customWidth="1"/>
    <col min="12566" max="12566" width="20" style="537" customWidth="1"/>
    <col min="12567" max="12567" width="19.42578125" style="537" bestFit="1" customWidth="1"/>
    <col min="12568" max="12568" width="26.140625" style="537" bestFit="1" customWidth="1"/>
    <col min="12569" max="12569" width="23" style="537" customWidth="1"/>
    <col min="12570" max="12570" width="19.28515625" style="537" bestFit="1" customWidth="1"/>
    <col min="12571" max="12571" width="22" style="537" bestFit="1" customWidth="1"/>
    <col min="12572" max="12572" width="9.140625" style="537"/>
    <col min="12573" max="12573" width="22.140625" style="537" customWidth="1"/>
    <col min="12574" max="12574" width="23.85546875" style="537" customWidth="1"/>
    <col min="12575" max="12575" width="16.42578125" style="537" bestFit="1" customWidth="1"/>
    <col min="12576" max="12577" width="9.140625" style="537"/>
    <col min="12578" max="12578" width="12.140625" style="537" bestFit="1" customWidth="1"/>
    <col min="12579" max="12800" width="9.140625" style="537"/>
    <col min="12801" max="12801" width="21.140625" style="537" customWidth="1"/>
    <col min="12802" max="12802" width="54" style="537" bestFit="1" customWidth="1"/>
    <col min="12803" max="12803" width="32.85546875" style="537" bestFit="1" customWidth="1"/>
    <col min="12804" max="12804" width="27" style="537" customWidth="1"/>
    <col min="12805" max="12805" width="21.42578125" style="537" bestFit="1" customWidth="1"/>
    <col min="12806" max="12806" width="25.140625" style="537" bestFit="1" customWidth="1"/>
    <col min="12807" max="12807" width="28.7109375" style="537" customWidth="1"/>
    <col min="12808" max="12808" width="19.42578125" style="537" bestFit="1" customWidth="1"/>
    <col min="12809" max="12809" width="26.140625" style="537" bestFit="1" customWidth="1"/>
    <col min="12810" max="12810" width="25.85546875" style="537" bestFit="1" customWidth="1"/>
    <col min="12811" max="12811" width="19.28515625" style="537" bestFit="1" customWidth="1"/>
    <col min="12812" max="12812" width="22" style="537" bestFit="1" customWidth="1"/>
    <col min="12813" max="12813" width="17.5703125" style="537" bestFit="1" customWidth="1"/>
    <col min="12814" max="12814" width="9.140625" style="537"/>
    <col min="12815" max="12815" width="17.85546875" style="537" bestFit="1" customWidth="1"/>
    <col min="12816" max="12816" width="20.5703125" style="537" bestFit="1" customWidth="1"/>
    <col min="12817" max="12817" width="9.140625" style="537"/>
    <col min="12818" max="12818" width="27.85546875" style="537" customWidth="1"/>
    <col min="12819" max="12819" width="19" style="537" customWidth="1"/>
    <col min="12820" max="12820" width="21.42578125" style="537" bestFit="1" customWidth="1"/>
    <col min="12821" max="12821" width="24.140625" style="537" customWidth="1"/>
    <col min="12822" max="12822" width="20" style="537" customWidth="1"/>
    <col min="12823" max="12823" width="19.42578125" style="537" bestFit="1" customWidth="1"/>
    <col min="12824" max="12824" width="26.140625" style="537" bestFit="1" customWidth="1"/>
    <col min="12825" max="12825" width="23" style="537" customWidth="1"/>
    <col min="12826" max="12826" width="19.28515625" style="537" bestFit="1" customWidth="1"/>
    <col min="12827" max="12827" width="22" style="537" bestFit="1" customWidth="1"/>
    <col min="12828" max="12828" width="9.140625" style="537"/>
    <col min="12829" max="12829" width="22.140625" style="537" customWidth="1"/>
    <col min="12830" max="12830" width="23.85546875" style="537" customWidth="1"/>
    <col min="12831" max="12831" width="16.42578125" style="537" bestFit="1" customWidth="1"/>
    <col min="12832" max="12833" width="9.140625" style="537"/>
    <col min="12834" max="12834" width="12.140625" style="537" bestFit="1" customWidth="1"/>
    <col min="12835" max="13056" width="9.140625" style="537"/>
    <col min="13057" max="13057" width="21.140625" style="537" customWidth="1"/>
    <col min="13058" max="13058" width="54" style="537" bestFit="1" customWidth="1"/>
    <col min="13059" max="13059" width="32.85546875" style="537" bestFit="1" customWidth="1"/>
    <col min="13060" max="13060" width="27" style="537" customWidth="1"/>
    <col min="13061" max="13061" width="21.42578125" style="537" bestFit="1" customWidth="1"/>
    <col min="13062" max="13062" width="25.140625" style="537" bestFit="1" customWidth="1"/>
    <col min="13063" max="13063" width="28.7109375" style="537" customWidth="1"/>
    <col min="13064" max="13064" width="19.42578125" style="537" bestFit="1" customWidth="1"/>
    <col min="13065" max="13065" width="26.140625" style="537" bestFit="1" customWidth="1"/>
    <col min="13066" max="13066" width="25.85546875" style="537" bestFit="1" customWidth="1"/>
    <col min="13067" max="13067" width="19.28515625" style="537" bestFit="1" customWidth="1"/>
    <col min="13068" max="13068" width="22" style="537" bestFit="1" customWidth="1"/>
    <col min="13069" max="13069" width="17.5703125" style="537" bestFit="1" customWidth="1"/>
    <col min="13070" max="13070" width="9.140625" style="537"/>
    <col min="13071" max="13071" width="17.85546875" style="537" bestFit="1" customWidth="1"/>
    <col min="13072" max="13072" width="20.5703125" style="537" bestFit="1" customWidth="1"/>
    <col min="13073" max="13073" width="9.140625" style="537"/>
    <col min="13074" max="13074" width="27.85546875" style="537" customWidth="1"/>
    <col min="13075" max="13075" width="19" style="537" customWidth="1"/>
    <col min="13076" max="13076" width="21.42578125" style="537" bestFit="1" customWidth="1"/>
    <col min="13077" max="13077" width="24.140625" style="537" customWidth="1"/>
    <col min="13078" max="13078" width="20" style="537" customWidth="1"/>
    <col min="13079" max="13079" width="19.42578125" style="537" bestFit="1" customWidth="1"/>
    <col min="13080" max="13080" width="26.140625" style="537" bestFit="1" customWidth="1"/>
    <col min="13081" max="13081" width="23" style="537" customWidth="1"/>
    <col min="13082" max="13082" width="19.28515625" style="537" bestFit="1" customWidth="1"/>
    <col min="13083" max="13083" width="22" style="537" bestFit="1" customWidth="1"/>
    <col min="13084" max="13084" width="9.140625" style="537"/>
    <col min="13085" max="13085" width="22.140625" style="537" customWidth="1"/>
    <col min="13086" max="13086" width="23.85546875" style="537" customWidth="1"/>
    <col min="13087" max="13087" width="16.42578125" style="537" bestFit="1" customWidth="1"/>
    <col min="13088" max="13089" width="9.140625" style="537"/>
    <col min="13090" max="13090" width="12.140625" style="537" bestFit="1" customWidth="1"/>
    <col min="13091" max="13312" width="9.140625" style="537"/>
    <col min="13313" max="13313" width="21.140625" style="537" customWidth="1"/>
    <col min="13314" max="13314" width="54" style="537" bestFit="1" customWidth="1"/>
    <col min="13315" max="13315" width="32.85546875" style="537" bestFit="1" customWidth="1"/>
    <col min="13316" max="13316" width="27" style="537" customWidth="1"/>
    <col min="13317" max="13317" width="21.42578125" style="537" bestFit="1" customWidth="1"/>
    <col min="13318" max="13318" width="25.140625" style="537" bestFit="1" customWidth="1"/>
    <col min="13319" max="13319" width="28.7109375" style="537" customWidth="1"/>
    <col min="13320" max="13320" width="19.42578125" style="537" bestFit="1" customWidth="1"/>
    <col min="13321" max="13321" width="26.140625" style="537" bestFit="1" customWidth="1"/>
    <col min="13322" max="13322" width="25.85546875" style="537" bestFit="1" customWidth="1"/>
    <col min="13323" max="13323" width="19.28515625" style="537" bestFit="1" customWidth="1"/>
    <col min="13324" max="13324" width="22" style="537" bestFit="1" customWidth="1"/>
    <col min="13325" max="13325" width="17.5703125" style="537" bestFit="1" customWidth="1"/>
    <col min="13326" max="13326" width="9.140625" style="537"/>
    <col min="13327" max="13327" width="17.85546875" style="537" bestFit="1" customWidth="1"/>
    <col min="13328" max="13328" width="20.5703125" style="537" bestFit="1" customWidth="1"/>
    <col min="13329" max="13329" width="9.140625" style="537"/>
    <col min="13330" max="13330" width="27.85546875" style="537" customWidth="1"/>
    <col min="13331" max="13331" width="19" style="537" customWidth="1"/>
    <col min="13332" max="13332" width="21.42578125" style="537" bestFit="1" customWidth="1"/>
    <col min="13333" max="13333" width="24.140625" style="537" customWidth="1"/>
    <col min="13334" max="13334" width="20" style="537" customWidth="1"/>
    <col min="13335" max="13335" width="19.42578125" style="537" bestFit="1" customWidth="1"/>
    <col min="13336" max="13336" width="26.140625" style="537" bestFit="1" customWidth="1"/>
    <col min="13337" max="13337" width="23" style="537" customWidth="1"/>
    <col min="13338" max="13338" width="19.28515625" style="537" bestFit="1" customWidth="1"/>
    <col min="13339" max="13339" width="22" style="537" bestFit="1" customWidth="1"/>
    <col min="13340" max="13340" width="9.140625" style="537"/>
    <col min="13341" max="13341" width="22.140625" style="537" customWidth="1"/>
    <col min="13342" max="13342" width="23.85546875" style="537" customWidth="1"/>
    <col min="13343" max="13343" width="16.42578125" style="537" bestFit="1" customWidth="1"/>
    <col min="13344" max="13345" width="9.140625" style="537"/>
    <col min="13346" max="13346" width="12.140625" style="537" bestFit="1" customWidth="1"/>
    <col min="13347" max="13568" width="9.140625" style="537"/>
    <col min="13569" max="13569" width="21.140625" style="537" customWidth="1"/>
    <col min="13570" max="13570" width="54" style="537" bestFit="1" customWidth="1"/>
    <col min="13571" max="13571" width="32.85546875" style="537" bestFit="1" customWidth="1"/>
    <col min="13572" max="13572" width="27" style="537" customWidth="1"/>
    <col min="13573" max="13573" width="21.42578125" style="537" bestFit="1" customWidth="1"/>
    <col min="13574" max="13574" width="25.140625" style="537" bestFit="1" customWidth="1"/>
    <col min="13575" max="13575" width="28.7109375" style="537" customWidth="1"/>
    <col min="13576" max="13576" width="19.42578125" style="537" bestFit="1" customWidth="1"/>
    <col min="13577" max="13577" width="26.140625" style="537" bestFit="1" customWidth="1"/>
    <col min="13578" max="13578" width="25.85546875" style="537" bestFit="1" customWidth="1"/>
    <col min="13579" max="13579" width="19.28515625" style="537" bestFit="1" customWidth="1"/>
    <col min="13580" max="13580" width="22" style="537" bestFit="1" customWidth="1"/>
    <col min="13581" max="13581" width="17.5703125" style="537" bestFit="1" customWidth="1"/>
    <col min="13582" max="13582" width="9.140625" style="537"/>
    <col min="13583" max="13583" width="17.85546875" style="537" bestFit="1" customWidth="1"/>
    <col min="13584" max="13584" width="20.5703125" style="537" bestFit="1" customWidth="1"/>
    <col min="13585" max="13585" width="9.140625" style="537"/>
    <col min="13586" max="13586" width="27.85546875" style="537" customWidth="1"/>
    <col min="13587" max="13587" width="19" style="537" customWidth="1"/>
    <col min="13588" max="13588" width="21.42578125" style="537" bestFit="1" customWidth="1"/>
    <col min="13589" max="13589" width="24.140625" style="537" customWidth="1"/>
    <col min="13590" max="13590" width="20" style="537" customWidth="1"/>
    <col min="13591" max="13591" width="19.42578125" style="537" bestFit="1" customWidth="1"/>
    <col min="13592" max="13592" width="26.140625" style="537" bestFit="1" customWidth="1"/>
    <col min="13593" max="13593" width="23" style="537" customWidth="1"/>
    <col min="13594" max="13594" width="19.28515625" style="537" bestFit="1" customWidth="1"/>
    <col min="13595" max="13595" width="22" style="537" bestFit="1" customWidth="1"/>
    <col min="13596" max="13596" width="9.140625" style="537"/>
    <col min="13597" max="13597" width="22.140625" style="537" customWidth="1"/>
    <col min="13598" max="13598" width="23.85546875" style="537" customWidth="1"/>
    <col min="13599" max="13599" width="16.42578125" style="537" bestFit="1" customWidth="1"/>
    <col min="13600" max="13601" width="9.140625" style="537"/>
    <col min="13602" max="13602" width="12.140625" style="537" bestFit="1" customWidth="1"/>
    <col min="13603" max="13824" width="9.140625" style="537"/>
    <col min="13825" max="13825" width="21.140625" style="537" customWidth="1"/>
    <col min="13826" max="13826" width="54" style="537" bestFit="1" customWidth="1"/>
    <col min="13827" max="13827" width="32.85546875" style="537" bestFit="1" customWidth="1"/>
    <col min="13828" max="13828" width="27" style="537" customWidth="1"/>
    <col min="13829" max="13829" width="21.42578125" style="537" bestFit="1" customWidth="1"/>
    <col min="13830" max="13830" width="25.140625" style="537" bestFit="1" customWidth="1"/>
    <col min="13831" max="13831" width="28.7109375" style="537" customWidth="1"/>
    <col min="13832" max="13832" width="19.42578125" style="537" bestFit="1" customWidth="1"/>
    <col min="13833" max="13833" width="26.140625" style="537" bestFit="1" customWidth="1"/>
    <col min="13834" max="13834" width="25.85546875" style="537" bestFit="1" customWidth="1"/>
    <col min="13835" max="13835" width="19.28515625" style="537" bestFit="1" customWidth="1"/>
    <col min="13836" max="13836" width="22" style="537" bestFit="1" customWidth="1"/>
    <col min="13837" max="13837" width="17.5703125" style="537" bestFit="1" customWidth="1"/>
    <col min="13838" max="13838" width="9.140625" style="537"/>
    <col min="13839" max="13839" width="17.85546875" style="537" bestFit="1" customWidth="1"/>
    <col min="13840" max="13840" width="20.5703125" style="537" bestFit="1" customWidth="1"/>
    <col min="13841" max="13841" width="9.140625" style="537"/>
    <col min="13842" max="13842" width="27.85546875" style="537" customWidth="1"/>
    <col min="13843" max="13843" width="19" style="537" customWidth="1"/>
    <col min="13844" max="13844" width="21.42578125" style="537" bestFit="1" customWidth="1"/>
    <col min="13845" max="13845" width="24.140625" style="537" customWidth="1"/>
    <col min="13846" max="13846" width="20" style="537" customWidth="1"/>
    <col min="13847" max="13847" width="19.42578125" style="537" bestFit="1" customWidth="1"/>
    <col min="13848" max="13848" width="26.140625" style="537" bestFit="1" customWidth="1"/>
    <col min="13849" max="13849" width="23" style="537" customWidth="1"/>
    <col min="13850" max="13850" width="19.28515625" style="537" bestFit="1" customWidth="1"/>
    <col min="13851" max="13851" width="22" style="537" bestFit="1" customWidth="1"/>
    <col min="13852" max="13852" width="9.140625" style="537"/>
    <col min="13853" max="13853" width="22.140625" style="537" customWidth="1"/>
    <col min="13854" max="13854" width="23.85546875" style="537" customWidth="1"/>
    <col min="13855" max="13855" width="16.42578125" style="537" bestFit="1" customWidth="1"/>
    <col min="13856" max="13857" width="9.140625" style="537"/>
    <col min="13858" max="13858" width="12.140625" style="537" bestFit="1" customWidth="1"/>
    <col min="13859" max="14080" width="9.140625" style="537"/>
    <col min="14081" max="14081" width="21.140625" style="537" customWidth="1"/>
    <col min="14082" max="14082" width="54" style="537" bestFit="1" customWidth="1"/>
    <col min="14083" max="14083" width="32.85546875" style="537" bestFit="1" customWidth="1"/>
    <col min="14084" max="14084" width="27" style="537" customWidth="1"/>
    <col min="14085" max="14085" width="21.42578125" style="537" bestFit="1" customWidth="1"/>
    <col min="14086" max="14086" width="25.140625" style="537" bestFit="1" customWidth="1"/>
    <col min="14087" max="14087" width="28.7109375" style="537" customWidth="1"/>
    <col min="14088" max="14088" width="19.42578125" style="537" bestFit="1" customWidth="1"/>
    <col min="14089" max="14089" width="26.140625" style="537" bestFit="1" customWidth="1"/>
    <col min="14090" max="14090" width="25.85546875" style="537" bestFit="1" customWidth="1"/>
    <col min="14091" max="14091" width="19.28515625" style="537" bestFit="1" customWidth="1"/>
    <col min="14092" max="14092" width="22" style="537" bestFit="1" customWidth="1"/>
    <col min="14093" max="14093" width="17.5703125" style="537" bestFit="1" customWidth="1"/>
    <col min="14094" max="14094" width="9.140625" style="537"/>
    <col min="14095" max="14095" width="17.85546875" style="537" bestFit="1" customWidth="1"/>
    <col min="14096" max="14096" width="20.5703125" style="537" bestFit="1" customWidth="1"/>
    <col min="14097" max="14097" width="9.140625" style="537"/>
    <col min="14098" max="14098" width="27.85546875" style="537" customWidth="1"/>
    <col min="14099" max="14099" width="19" style="537" customWidth="1"/>
    <col min="14100" max="14100" width="21.42578125" style="537" bestFit="1" customWidth="1"/>
    <col min="14101" max="14101" width="24.140625" style="537" customWidth="1"/>
    <col min="14102" max="14102" width="20" style="537" customWidth="1"/>
    <col min="14103" max="14103" width="19.42578125" style="537" bestFit="1" customWidth="1"/>
    <col min="14104" max="14104" width="26.140625" style="537" bestFit="1" customWidth="1"/>
    <col min="14105" max="14105" width="23" style="537" customWidth="1"/>
    <col min="14106" max="14106" width="19.28515625" style="537" bestFit="1" customWidth="1"/>
    <col min="14107" max="14107" width="22" style="537" bestFit="1" customWidth="1"/>
    <col min="14108" max="14108" width="9.140625" style="537"/>
    <col min="14109" max="14109" width="22.140625" style="537" customWidth="1"/>
    <col min="14110" max="14110" width="23.85546875" style="537" customWidth="1"/>
    <col min="14111" max="14111" width="16.42578125" style="537" bestFit="1" customWidth="1"/>
    <col min="14112" max="14113" width="9.140625" style="537"/>
    <col min="14114" max="14114" width="12.140625" style="537" bestFit="1" customWidth="1"/>
    <col min="14115" max="14336" width="9.140625" style="537"/>
    <col min="14337" max="14337" width="21.140625" style="537" customWidth="1"/>
    <col min="14338" max="14338" width="54" style="537" bestFit="1" customWidth="1"/>
    <col min="14339" max="14339" width="32.85546875" style="537" bestFit="1" customWidth="1"/>
    <col min="14340" max="14340" width="27" style="537" customWidth="1"/>
    <col min="14341" max="14341" width="21.42578125" style="537" bestFit="1" customWidth="1"/>
    <col min="14342" max="14342" width="25.140625" style="537" bestFit="1" customWidth="1"/>
    <col min="14343" max="14343" width="28.7109375" style="537" customWidth="1"/>
    <col min="14344" max="14344" width="19.42578125" style="537" bestFit="1" customWidth="1"/>
    <col min="14345" max="14345" width="26.140625" style="537" bestFit="1" customWidth="1"/>
    <col min="14346" max="14346" width="25.85546875" style="537" bestFit="1" customWidth="1"/>
    <col min="14347" max="14347" width="19.28515625" style="537" bestFit="1" customWidth="1"/>
    <col min="14348" max="14348" width="22" style="537" bestFit="1" customWidth="1"/>
    <col min="14349" max="14349" width="17.5703125" style="537" bestFit="1" customWidth="1"/>
    <col min="14350" max="14350" width="9.140625" style="537"/>
    <col min="14351" max="14351" width="17.85546875" style="537" bestFit="1" customWidth="1"/>
    <col min="14352" max="14352" width="20.5703125" style="537" bestFit="1" customWidth="1"/>
    <col min="14353" max="14353" width="9.140625" style="537"/>
    <col min="14354" max="14354" width="27.85546875" style="537" customWidth="1"/>
    <col min="14355" max="14355" width="19" style="537" customWidth="1"/>
    <col min="14356" max="14356" width="21.42578125" style="537" bestFit="1" customWidth="1"/>
    <col min="14357" max="14357" width="24.140625" style="537" customWidth="1"/>
    <col min="14358" max="14358" width="20" style="537" customWidth="1"/>
    <col min="14359" max="14359" width="19.42578125" style="537" bestFit="1" customWidth="1"/>
    <col min="14360" max="14360" width="26.140625" style="537" bestFit="1" customWidth="1"/>
    <col min="14361" max="14361" width="23" style="537" customWidth="1"/>
    <col min="14362" max="14362" width="19.28515625" style="537" bestFit="1" customWidth="1"/>
    <col min="14363" max="14363" width="22" style="537" bestFit="1" customWidth="1"/>
    <col min="14364" max="14364" width="9.140625" style="537"/>
    <col min="14365" max="14365" width="22.140625" style="537" customWidth="1"/>
    <col min="14366" max="14366" width="23.85546875" style="537" customWidth="1"/>
    <col min="14367" max="14367" width="16.42578125" style="537" bestFit="1" customWidth="1"/>
    <col min="14368" max="14369" width="9.140625" style="537"/>
    <col min="14370" max="14370" width="12.140625" style="537" bestFit="1" customWidth="1"/>
    <col min="14371" max="14592" width="9.140625" style="537"/>
    <col min="14593" max="14593" width="21.140625" style="537" customWidth="1"/>
    <col min="14594" max="14594" width="54" style="537" bestFit="1" customWidth="1"/>
    <col min="14595" max="14595" width="32.85546875" style="537" bestFit="1" customWidth="1"/>
    <col min="14596" max="14596" width="27" style="537" customWidth="1"/>
    <col min="14597" max="14597" width="21.42578125" style="537" bestFit="1" customWidth="1"/>
    <col min="14598" max="14598" width="25.140625" style="537" bestFit="1" customWidth="1"/>
    <col min="14599" max="14599" width="28.7109375" style="537" customWidth="1"/>
    <col min="14600" max="14600" width="19.42578125" style="537" bestFit="1" customWidth="1"/>
    <col min="14601" max="14601" width="26.140625" style="537" bestFit="1" customWidth="1"/>
    <col min="14602" max="14602" width="25.85546875" style="537" bestFit="1" customWidth="1"/>
    <col min="14603" max="14603" width="19.28515625" style="537" bestFit="1" customWidth="1"/>
    <col min="14604" max="14604" width="22" style="537" bestFit="1" customWidth="1"/>
    <col min="14605" max="14605" width="17.5703125" style="537" bestFit="1" customWidth="1"/>
    <col min="14606" max="14606" width="9.140625" style="537"/>
    <col min="14607" max="14607" width="17.85546875" style="537" bestFit="1" customWidth="1"/>
    <col min="14608" max="14608" width="20.5703125" style="537" bestFit="1" customWidth="1"/>
    <col min="14609" max="14609" width="9.140625" style="537"/>
    <col min="14610" max="14610" width="27.85546875" style="537" customWidth="1"/>
    <col min="14611" max="14611" width="19" style="537" customWidth="1"/>
    <col min="14612" max="14612" width="21.42578125" style="537" bestFit="1" customWidth="1"/>
    <col min="14613" max="14613" width="24.140625" style="537" customWidth="1"/>
    <col min="14614" max="14614" width="20" style="537" customWidth="1"/>
    <col min="14615" max="14615" width="19.42578125" style="537" bestFit="1" customWidth="1"/>
    <col min="14616" max="14616" width="26.140625" style="537" bestFit="1" customWidth="1"/>
    <col min="14617" max="14617" width="23" style="537" customWidth="1"/>
    <col min="14618" max="14618" width="19.28515625" style="537" bestFit="1" customWidth="1"/>
    <col min="14619" max="14619" width="22" style="537" bestFit="1" customWidth="1"/>
    <col min="14620" max="14620" width="9.140625" style="537"/>
    <col min="14621" max="14621" width="22.140625" style="537" customWidth="1"/>
    <col min="14622" max="14622" width="23.85546875" style="537" customWidth="1"/>
    <col min="14623" max="14623" width="16.42578125" style="537" bestFit="1" customWidth="1"/>
    <col min="14624" max="14625" width="9.140625" style="537"/>
    <col min="14626" max="14626" width="12.140625" style="537" bestFit="1" customWidth="1"/>
    <col min="14627" max="14848" width="9.140625" style="537"/>
    <col min="14849" max="14849" width="21.140625" style="537" customWidth="1"/>
    <col min="14850" max="14850" width="54" style="537" bestFit="1" customWidth="1"/>
    <col min="14851" max="14851" width="32.85546875" style="537" bestFit="1" customWidth="1"/>
    <col min="14852" max="14852" width="27" style="537" customWidth="1"/>
    <col min="14853" max="14853" width="21.42578125" style="537" bestFit="1" customWidth="1"/>
    <col min="14854" max="14854" width="25.140625" style="537" bestFit="1" customWidth="1"/>
    <col min="14855" max="14855" width="28.7109375" style="537" customWidth="1"/>
    <col min="14856" max="14856" width="19.42578125" style="537" bestFit="1" customWidth="1"/>
    <col min="14857" max="14857" width="26.140625" style="537" bestFit="1" customWidth="1"/>
    <col min="14858" max="14858" width="25.85546875" style="537" bestFit="1" customWidth="1"/>
    <col min="14859" max="14859" width="19.28515625" style="537" bestFit="1" customWidth="1"/>
    <col min="14860" max="14860" width="22" style="537" bestFit="1" customWidth="1"/>
    <col min="14861" max="14861" width="17.5703125" style="537" bestFit="1" customWidth="1"/>
    <col min="14862" max="14862" width="9.140625" style="537"/>
    <col min="14863" max="14863" width="17.85546875" style="537" bestFit="1" customWidth="1"/>
    <col min="14864" max="14864" width="20.5703125" style="537" bestFit="1" customWidth="1"/>
    <col min="14865" max="14865" width="9.140625" style="537"/>
    <col min="14866" max="14866" width="27.85546875" style="537" customWidth="1"/>
    <col min="14867" max="14867" width="19" style="537" customWidth="1"/>
    <col min="14868" max="14868" width="21.42578125" style="537" bestFit="1" customWidth="1"/>
    <col min="14869" max="14869" width="24.140625" style="537" customWidth="1"/>
    <col min="14870" max="14870" width="20" style="537" customWidth="1"/>
    <col min="14871" max="14871" width="19.42578125" style="537" bestFit="1" customWidth="1"/>
    <col min="14872" max="14872" width="26.140625" style="537" bestFit="1" customWidth="1"/>
    <col min="14873" max="14873" width="23" style="537" customWidth="1"/>
    <col min="14874" max="14874" width="19.28515625" style="537" bestFit="1" customWidth="1"/>
    <col min="14875" max="14875" width="22" style="537" bestFit="1" customWidth="1"/>
    <col min="14876" max="14876" width="9.140625" style="537"/>
    <col min="14877" max="14877" width="22.140625" style="537" customWidth="1"/>
    <col min="14878" max="14878" width="23.85546875" style="537" customWidth="1"/>
    <col min="14879" max="14879" width="16.42578125" style="537" bestFit="1" customWidth="1"/>
    <col min="14880" max="14881" width="9.140625" style="537"/>
    <col min="14882" max="14882" width="12.140625" style="537" bestFit="1" customWidth="1"/>
    <col min="14883" max="15104" width="9.140625" style="537"/>
    <col min="15105" max="15105" width="21.140625" style="537" customWidth="1"/>
    <col min="15106" max="15106" width="54" style="537" bestFit="1" customWidth="1"/>
    <col min="15107" max="15107" width="32.85546875" style="537" bestFit="1" customWidth="1"/>
    <col min="15108" max="15108" width="27" style="537" customWidth="1"/>
    <col min="15109" max="15109" width="21.42578125" style="537" bestFit="1" customWidth="1"/>
    <col min="15110" max="15110" width="25.140625" style="537" bestFit="1" customWidth="1"/>
    <col min="15111" max="15111" width="28.7109375" style="537" customWidth="1"/>
    <col min="15112" max="15112" width="19.42578125" style="537" bestFit="1" customWidth="1"/>
    <col min="15113" max="15113" width="26.140625" style="537" bestFit="1" customWidth="1"/>
    <col min="15114" max="15114" width="25.85546875" style="537" bestFit="1" customWidth="1"/>
    <col min="15115" max="15115" width="19.28515625" style="537" bestFit="1" customWidth="1"/>
    <col min="15116" max="15116" width="22" style="537" bestFit="1" customWidth="1"/>
    <col min="15117" max="15117" width="17.5703125" style="537" bestFit="1" customWidth="1"/>
    <col min="15118" max="15118" width="9.140625" style="537"/>
    <col min="15119" max="15119" width="17.85546875" style="537" bestFit="1" customWidth="1"/>
    <col min="15120" max="15120" width="20.5703125" style="537" bestFit="1" customWidth="1"/>
    <col min="15121" max="15121" width="9.140625" style="537"/>
    <col min="15122" max="15122" width="27.85546875" style="537" customWidth="1"/>
    <col min="15123" max="15123" width="19" style="537" customWidth="1"/>
    <col min="15124" max="15124" width="21.42578125" style="537" bestFit="1" customWidth="1"/>
    <col min="15125" max="15125" width="24.140625" style="537" customWidth="1"/>
    <col min="15126" max="15126" width="20" style="537" customWidth="1"/>
    <col min="15127" max="15127" width="19.42578125" style="537" bestFit="1" customWidth="1"/>
    <col min="15128" max="15128" width="26.140625" style="537" bestFit="1" customWidth="1"/>
    <col min="15129" max="15129" width="23" style="537" customWidth="1"/>
    <col min="15130" max="15130" width="19.28515625" style="537" bestFit="1" customWidth="1"/>
    <col min="15131" max="15131" width="22" style="537" bestFit="1" customWidth="1"/>
    <col min="15132" max="15132" width="9.140625" style="537"/>
    <col min="15133" max="15133" width="22.140625" style="537" customWidth="1"/>
    <col min="15134" max="15134" width="23.85546875" style="537" customWidth="1"/>
    <col min="15135" max="15135" width="16.42578125" style="537" bestFit="1" customWidth="1"/>
    <col min="15136" max="15137" width="9.140625" style="537"/>
    <col min="15138" max="15138" width="12.140625" style="537" bestFit="1" customWidth="1"/>
    <col min="15139" max="15360" width="9.140625" style="537"/>
    <col min="15361" max="15361" width="21.140625" style="537" customWidth="1"/>
    <col min="15362" max="15362" width="54" style="537" bestFit="1" customWidth="1"/>
    <col min="15363" max="15363" width="32.85546875" style="537" bestFit="1" customWidth="1"/>
    <col min="15364" max="15364" width="27" style="537" customWidth="1"/>
    <col min="15365" max="15365" width="21.42578125" style="537" bestFit="1" customWidth="1"/>
    <col min="15366" max="15366" width="25.140625" style="537" bestFit="1" customWidth="1"/>
    <col min="15367" max="15367" width="28.7109375" style="537" customWidth="1"/>
    <col min="15368" max="15368" width="19.42578125" style="537" bestFit="1" customWidth="1"/>
    <col min="15369" max="15369" width="26.140625" style="537" bestFit="1" customWidth="1"/>
    <col min="15370" max="15370" width="25.85546875" style="537" bestFit="1" customWidth="1"/>
    <col min="15371" max="15371" width="19.28515625" style="537" bestFit="1" customWidth="1"/>
    <col min="15372" max="15372" width="22" style="537" bestFit="1" customWidth="1"/>
    <col min="15373" max="15373" width="17.5703125" style="537" bestFit="1" customWidth="1"/>
    <col min="15374" max="15374" width="9.140625" style="537"/>
    <col min="15375" max="15375" width="17.85546875" style="537" bestFit="1" customWidth="1"/>
    <col min="15376" max="15376" width="20.5703125" style="537" bestFit="1" customWidth="1"/>
    <col min="15377" max="15377" width="9.140625" style="537"/>
    <col min="15378" max="15378" width="27.85546875" style="537" customWidth="1"/>
    <col min="15379" max="15379" width="19" style="537" customWidth="1"/>
    <col min="15380" max="15380" width="21.42578125" style="537" bestFit="1" customWidth="1"/>
    <col min="15381" max="15381" width="24.140625" style="537" customWidth="1"/>
    <col min="15382" max="15382" width="20" style="537" customWidth="1"/>
    <col min="15383" max="15383" width="19.42578125" style="537" bestFit="1" customWidth="1"/>
    <col min="15384" max="15384" width="26.140625" style="537" bestFit="1" customWidth="1"/>
    <col min="15385" max="15385" width="23" style="537" customWidth="1"/>
    <col min="15386" max="15386" width="19.28515625" style="537" bestFit="1" customWidth="1"/>
    <col min="15387" max="15387" width="22" style="537" bestFit="1" customWidth="1"/>
    <col min="15388" max="15388" width="9.140625" style="537"/>
    <col min="15389" max="15389" width="22.140625" style="537" customWidth="1"/>
    <col min="15390" max="15390" width="23.85546875" style="537" customWidth="1"/>
    <col min="15391" max="15391" width="16.42578125" style="537" bestFit="1" customWidth="1"/>
    <col min="15392" max="15393" width="9.140625" style="537"/>
    <col min="15394" max="15394" width="12.140625" style="537" bestFit="1" customWidth="1"/>
    <col min="15395" max="15616" width="9.140625" style="537"/>
    <col min="15617" max="15617" width="21.140625" style="537" customWidth="1"/>
    <col min="15618" max="15618" width="54" style="537" bestFit="1" customWidth="1"/>
    <col min="15619" max="15619" width="32.85546875" style="537" bestFit="1" customWidth="1"/>
    <col min="15620" max="15620" width="27" style="537" customWidth="1"/>
    <col min="15621" max="15621" width="21.42578125" style="537" bestFit="1" customWidth="1"/>
    <col min="15622" max="15622" width="25.140625" style="537" bestFit="1" customWidth="1"/>
    <col min="15623" max="15623" width="28.7109375" style="537" customWidth="1"/>
    <col min="15624" max="15624" width="19.42578125" style="537" bestFit="1" customWidth="1"/>
    <col min="15625" max="15625" width="26.140625" style="537" bestFit="1" customWidth="1"/>
    <col min="15626" max="15626" width="25.85546875" style="537" bestFit="1" customWidth="1"/>
    <col min="15627" max="15627" width="19.28515625" style="537" bestFit="1" customWidth="1"/>
    <col min="15628" max="15628" width="22" style="537" bestFit="1" customWidth="1"/>
    <col min="15629" max="15629" width="17.5703125" style="537" bestFit="1" customWidth="1"/>
    <col min="15630" max="15630" width="9.140625" style="537"/>
    <col min="15631" max="15631" width="17.85546875" style="537" bestFit="1" customWidth="1"/>
    <col min="15632" max="15632" width="20.5703125" style="537" bestFit="1" customWidth="1"/>
    <col min="15633" max="15633" width="9.140625" style="537"/>
    <col min="15634" max="15634" width="27.85546875" style="537" customWidth="1"/>
    <col min="15635" max="15635" width="19" style="537" customWidth="1"/>
    <col min="15636" max="15636" width="21.42578125" style="537" bestFit="1" customWidth="1"/>
    <col min="15637" max="15637" width="24.140625" style="537" customWidth="1"/>
    <col min="15638" max="15638" width="20" style="537" customWidth="1"/>
    <col min="15639" max="15639" width="19.42578125" style="537" bestFit="1" customWidth="1"/>
    <col min="15640" max="15640" width="26.140625" style="537" bestFit="1" customWidth="1"/>
    <col min="15641" max="15641" width="23" style="537" customWidth="1"/>
    <col min="15642" max="15642" width="19.28515625" style="537" bestFit="1" customWidth="1"/>
    <col min="15643" max="15643" width="22" style="537" bestFit="1" customWidth="1"/>
    <col min="15644" max="15644" width="9.140625" style="537"/>
    <col min="15645" max="15645" width="22.140625" style="537" customWidth="1"/>
    <col min="15646" max="15646" width="23.85546875" style="537" customWidth="1"/>
    <col min="15647" max="15647" width="16.42578125" style="537" bestFit="1" customWidth="1"/>
    <col min="15648" max="15649" width="9.140625" style="537"/>
    <col min="15650" max="15650" width="12.140625" style="537" bestFit="1" customWidth="1"/>
    <col min="15651" max="15872" width="9.140625" style="537"/>
    <col min="15873" max="15873" width="21.140625" style="537" customWidth="1"/>
    <col min="15874" max="15874" width="54" style="537" bestFit="1" customWidth="1"/>
    <col min="15875" max="15875" width="32.85546875" style="537" bestFit="1" customWidth="1"/>
    <col min="15876" max="15876" width="27" style="537" customWidth="1"/>
    <col min="15877" max="15877" width="21.42578125" style="537" bestFit="1" customWidth="1"/>
    <col min="15878" max="15878" width="25.140625" style="537" bestFit="1" customWidth="1"/>
    <col min="15879" max="15879" width="28.7109375" style="537" customWidth="1"/>
    <col min="15880" max="15880" width="19.42578125" style="537" bestFit="1" customWidth="1"/>
    <col min="15881" max="15881" width="26.140625" style="537" bestFit="1" customWidth="1"/>
    <col min="15882" max="15882" width="25.85546875" style="537" bestFit="1" customWidth="1"/>
    <col min="15883" max="15883" width="19.28515625" style="537" bestFit="1" customWidth="1"/>
    <col min="15884" max="15884" width="22" style="537" bestFit="1" customWidth="1"/>
    <col min="15885" max="15885" width="17.5703125" style="537" bestFit="1" customWidth="1"/>
    <col min="15886" max="15886" width="9.140625" style="537"/>
    <col min="15887" max="15887" width="17.85546875" style="537" bestFit="1" customWidth="1"/>
    <col min="15888" max="15888" width="20.5703125" style="537" bestFit="1" customWidth="1"/>
    <col min="15889" max="15889" width="9.140625" style="537"/>
    <col min="15890" max="15890" width="27.85546875" style="537" customWidth="1"/>
    <col min="15891" max="15891" width="19" style="537" customWidth="1"/>
    <col min="15892" max="15892" width="21.42578125" style="537" bestFit="1" customWidth="1"/>
    <col min="15893" max="15893" width="24.140625" style="537" customWidth="1"/>
    <col min="15894" max="15894" width="20" style="537" customWidth="1"/>
    <col min="15895" max="15895" width="19.42578125" style="537" bestFit="1" customWidth="1"/>
    <col min="15896" max="15896" width="26.140625" style="537" bestFit="1" customWidth="1"/>
    <col min="15897" max="15897" width="23" style="537" customWidth="1"/>
    <col min="15898" max="15898" width="19.28515625" style="537" bestFit="1" customWidth="1"/>
    <col min="15899" max="15899" width="22" style="537" bestFit="1" customWidth="1"/>
    <col min="15900" max="15900" width="9.140625" style="537"/>
    <col min="15901" max="15901" width="22.140625" style="537" customWidth="1"/>
    <col min="15902" max="15902" width="23.85546875" style="537" customWidth="1"/>
    <col min="15903" max="15903" width="16.42578125" style="537" bestFit="1" customWidth="1"/>
    <col min="15904" max="15905" width="9.140625" style="537"/>
    <col min="15906" max="15906" width="12.140625" style="537" bestFit="1" customWidth="1"/>
    <col min="15907" max="16128" width="9.140625" style="537"/>
    <col min="16129" max="16129" width="21.140625" style="537" customWidth="1"/>
    <col min="16130" max="16130" width="54" style="537" bestFit="1" customWidth="1"/>
    <col min="16131" max="16131" width="32.85546875" style="537" bestFit="1" customWidth="1"/>
    <col min="16132" max="16132" width="27" style="537" customWidth="1"/>
    <col min="16133" max="16133" width="21.42578125" style="537" bestFit="1" customWidth="1"/>
    <col min="16134" max="16134" width="25.140625" style="537" bestFit="1" customWidth="1"/>
    <col min="16135" max="16135" width="28.7109375" style="537" customWidth="1"/>
    <col min="16136" max="16136" width="19.42578125" style="537" bestFit="1" customWidth="1"/>
    <col min="16137" max="16137" width="26.140625" style="537" bestFit="1" customWidth="1"/>
    <col min="16138" max="16138" width="25.85546875" style="537" bestFit="1" customWidth="1"/>
    <col min="16139" max="16139" width="19.28515625" style="537" bestFit="1" customWidth="1"/>
    <col min="16140" max="16140" width="22" style="537" bestFit="1" customWidth="1"/>
    <col min="16141" max="16141" width="17.5703125" style="537" bestFit="1" customWidth="1"/>
    <col min="16142" max="16142" width="9.140625" style="537"/>
    <col min="16143" max="16143" width="17.85546875" style="537" bestFit="1" customWidth="1"/>
    <col min="16144" max="16144" width="20.5703125" style="537" bestFit="1" customWidth="1"/>
    <col min="16145" max="16145" width="9.140625" style="537"/>
    <col min="16146" max="16146" width="27.85546875" style="537" customWidth="1"/>
    <col min="16147" max="16147" width="19" style="537" customWidth="1"/>
    <col min="16148" max="16148" width="21.42578125" style="537" bestFit="1" customWidth="1"/>
    <col min="16149" max="16149" width="24.140625" style="537" customWidth="1"/>
    <col min="16150" max="16150" width="20" style="537" customWidth="1"/>
    <col min="16151" max="16151" width="19.42578125" style="537" bestFit="1" customWidth="1"/>
    <col min="16152" max="16152" width="26.140625" style="537" bestFit="1" customWidth="1"/>
    <col min="16153" max="16153" width="23" style="537" customWidth="1"/>
    <col min="16154" max="16154" width="19.28515625" style="537" bestFit="1" customWidth="1"/>
    <col min="16155" max="16155" width="22" style="537" bestFit="1" customWidth="1"/>
    <col min="16156" max="16156" width="9.140625" style="537"/>
    <col min="16157" max="16157" width="22.140625" style="537" customWidth="1"/>
    <col min="16158" max="16158" width="23.85546875" style="537" customWidth="1"/>
    <col min="16159" max="16159" width="16.42578125" style="537" bestFit="1" customWidth="1"/>
    <col min="16160" max="16161" width="9.140625" style="537"/>
    <col min="16162" max="16162" width="12.140625" style="537" bestFit="1" customWidth="1"/>
    <col min="16163" max="16384" width="9.140625" style="537"/>
  </cols>
  <sheetData>
    <row r="1" spans="1:62" s="635" customFormat="1" ht="15.75">
      <c r="A1" s="646" t="s">
        <v>672</v>
      </c>
      <c r="C1" s="881" t="s">
        <v>673</v>
      </c>
      <c r="D1" s="881"/>
      <c r="E1" s="881"/>
      <c r="F1" s="881"/>
      <c r="G1" s="881"/>
      <c r="H1" s="881"/>
      <c r="I1" s="881"/>
      <c r="J1" s="881"/>
      <c r="K1" s="881"/>
      <c r="L1" s="881"/>
      <c r="M1" s="881"/>
      <c r="N1" s="644"/>
      <c r="O1" s="882" t="s">
        <v>674</v>
      </c>
      <c r="P1" s="882"/>
      <c r="Q1" s="637"/>
      <c r="R1" s="883" t="s">
        <v>675</v>
      </c>
      <c r="S1" s="883"/>
      <c r="T1" s="883"/>
      <c r="U1" s="883"/>
      <c r="V1" s="883"/>
      <c r="W1" s="883"/>
      <c r="X1" s="883"/>
      <c r="Y1" s="883"/>
      <c r="Z1" s="883"/>
      <c r="AA1" s="883"/>
      <c r="AB1" s="644"/>
      <c r="AC1" s="882" t="s">
        <v>676</v>
      </c>
      <c r="AD1" s="882"/>
      <c r="AE1" s="882"/>
      <c r="AF1" s="637"/>
      <c r="AG1" s="636"/>
      <c r="AH1" s="636"/>
      <c r="AI1" s="637"/>
      <c r="AJ1" s="637"/>
      <c r="AK1" s="637"/>
      <c r="AL1" s="637"/>
      <c r="AM1" s="637"/>
      <c r="AN1" s="637"/>
      <c r="AO1" s="637"/>
      <c r="AP1" s="637"/>
      <c r="AQ1" s="637"/>
      <c r="AR1" s="637"/>
      <c r="AS1" s="637"/>
      <c r="AT1" s="637"/>
      <c r="AU1" s="637"/>
      <c r="AV1" s="637"/>
      <c r="AW1" s="637"/>
      <c r="AX1" s="637"/>
      <c r="AY1" s="637"/>
      <c r="AZ1" s="637"/>
      <c r="BA1" s="637"/>
      <c r="BB1" s="637"/>
      <c r="BC1" s="637"/>
      <c r="BD1" s="637"/>
      <c r="BE1" s="637"/>
      <c r="BF1" s="637"/>
      <c r="BG1" s="637"/>
      <c r="BH1" s="637"/>
      <c r="BI1" s="637"/>
      <c r="BJ1" s="637"/>
    </row>
    <row r="2" spans="1:62" s="635" customFormat="1" ht="15.75">
      <c r="A2" s="647"/>
      <c r="C2" s="647"/>
      <c r="D2" s="647"/>
      <c r="E2" s="647"/>
      <c r="F2" s="647"/>
      <c r="G2" s="647"/>
      <c r="H2" s="647"/>
      <c r="I2" s="647"/>
      <c r="J2" s="647"/>
      <c r="K2" s="647"/>
      <c r="L2" s="647"/>
      <c r="M2" s="647"/>
      <c r="N2" s="644"/>
      <c r="O2" s="648">
        <v>68327030.200000003</v>
      </c>
      <c r="P2" s="649" t="s">
        <v>677</v>
      </c>
      <c r="Q2" s="637"/>
      <c r="R2" s="650"/>
      <c r="S2" s="650"/>
      <c r="T2" s="650"/>
      <c r="U2" s="650"/>
      <c r="V2" s="650"/>
      <c r="W2" s="650"/>
      <c r="X2" s="650"/>
      <c r="Y2" s="650"/>
      <c r="Z2" s="650"/>
      <c r="AA2" s="650"/>
      <c r="AB2" s="644"/>
      <c r="AC2" s="651"/>
      <c r="AD2" s="651"/>
      <c r="AE2" s="651"/>
      <c r="AF2" s="637"/>
      <c r="AG2" s="636"/>
      <c r="AH2" s="636"/>
      <c r="AI2" s="637"/>
      <c r="AJ2" s="637"/>
      <c r="AK2" s="637"/>
      <c r="AL2" s="637"/>
      <c r="AM2" s="637"/>
      <c r="AN2" s="637"/>
      <c r="AO2" s="637"/>
      <c r="AP2" s="637"/>
      <c r="AQ2" s="637"/>
      <c r="AR2" s="637"/>
      <c r="AS2" s="637"/>
      <c r="AT2" s="637"/>
      <c r="AU2" s="637"/>
      <c r="AV2" s="637"/>
      <c r="AW2" s="637"/>
      <c r="AX2" s="637"/>
      <c r="AY2" s="637"/>
      <c r="AZ2" s="637"/>
      <c r="BA2" s="637"/>
      <c r="BB2" s="637"/>
      <c r="BC2" s="637"/>
      <c r="BD2" s="637"/>
      <c r="BE2" s="637"/>
      <c r="BF2" s="637"/>
      <c r="BG2" s="637"/>
      <c r="BH2" s="637"/>
      <c r="BI2" s="637"/>
      <c r="BJ2" s="637"/>
    </row>
    <row r="3" spans="1:62" s="635" customFormat="1" ht="15.75">
      <c r="A3" s="647"/>
      <c r="C3" s="647"/>
      <c r="D3" s="647"/>
      <c r="E3" s="647"/>
      <c r="F3" s="647"/>
      <c r="G3" s="647"/>
      <c r="H3" s="647"/>
      <c r="I3" s="647"/>
      <c r="J3" s="647"/>
      <c r="K3" s="647"/>
      <c r="L3" s="647"/>
      <c r="M3" s="647"/>
      <c r="N3" s="644"/>
      <c r="O3" s="652">
        <v>-5476455.1855789609</v>
      </c>
      <c r="P3" s="649" t="s">
        <v>638</v>
      </c>
      <c r="Q3" s="637"/>
      <c r="R3" s="650"/>
      <c r="S3" s="650"/>
      <c r="T3" s="650"/>
      <c r="U3" s="650"/>
      <c r="V3" s="650"/>
      <c r="W3" s="650"/>
      <c r="X3" s="650"/>
      <c r="Y3" s="650"/>
      <c r="Z3" s="650"/>
      <c r="AA3" s="650"/>
      <c r="AB3" s="644"/>
      <c r="AC3" s="651"/>
      <c r="AD3" s="653">
        <v>3.2400000000000005E-2</v>
      </c>
      <c r="AE3" s="649" t="s">
        <v>678</v>
      </c>
      <c r="AF3" s="637"/>
      <c r="AG3" s="636"/>
      <c r="AH3" s="636"/>
      <c r="AI3" s="637"/>
      <c r="AJ3" s="637"/>
      <c r="AK3" s="637"/>
      <c r="AL3" s="637"/>
      <c r="AM3" s="637"/>
      <c r="AN3" s="637"/>
      <c r="AO3" s="637"/>
      <c r="AP3" s="637"/>
      <c r="AQ3" s="637"/>
      <c r="AR3" s="637"/>
      <c r="AS3" s="637"/>
      <c r="AT3" s="637"/>
      <c r="AU3" s="637"/>
      <c r="AV3" s="637"/>
      <c r="AW3" s="637"/>
      <c r="AX3" s="637"/>
      <c r="AY3" s="637"/>
      <c r="AZ3" s="637"/>
      <c r="BA3" s="637"/>
      <c r="BB3" s="637"/>
      <c r="BC3" s="637"/>
      <c r="BD3" s="637"/>
      <c r="BE3" s="637"/>
      <c r="BF3" s="637"/>
      <c r="BG3" s="637"/>
      <c r="BH3" s="637"/>
      <c r="BI3" s="637"/>
      <c r="BJ3" s="637"/>
    </row>
    <row r="4" spans="1:62" s="635" customFormat="1" ht="15">
      <c r="A4" s="654">
        <v>2012</v>
      </c>
      <c r="C4" s="655" t="s">
        <v>679</v>
      </c>
      <c r="D4" s="653">
        <v>4.1459570131959944E-2</v>
      </c>
      <c r="E4" s="656"/>
      <c r="F4" s="655" t="s">
        <v>680</v>
      </c>
      <c r="G4" s="653">
        <v>0.10936663962521412</v>
      </c>
      <c r="H4" s="657"/>
      <c r="I4" s="657"/>
      <c r="J4" s="657"/>
      <c r="K4" s="640"/>
      <c r="L4" s="640"/>
      <c r="M4" s="640"/>
      <c r="N4" s="658"/>
      <c r="O4" s="659">
        <v>62850575.014421046</v>
      </c>
      <c r="P4" s="643"/>
      <c r="Q4" s="637"/>
      <c r="R4" s="655" t="s">
        <v>681</v>
      </c>
      <c r="S4" s="653">
        <v>4.3022538721274983E-2</v>
      </c>
      <c r="T4" s="656"/>
      <c r="U4" s="655" t="s">
        <v>682</v>
      </c>
      <c r="V4" s="653">
        <v>0.10843870743143799</v>
      </c>
      <c r="W4" s="657"/>
      <c r="X4" s="657"/>
      <c r="Y4" s="657"/>
      <c r="Z4" s="640"/>
      <c r="AA4" s="649"/>
      <c r="AB4" s="649"/>
      <c r="AC4" s="649"/>
      <c r="AD4" s="645">
        <v>-94708.610792153748</v>
      </c>
      <c r="AE4" s="649" t="s">
        <v>578</v>
      </c>
      <c r="AF4" s="637"/>
      <c r="AG4" s="636"/>
      <c r="AH4" s="636"/>
      <c r="AI4" s="637"/>
      <c r="AJ4" s="637"/>
      <c r="AK4" s="637"/>
      <c r="AL4" s="637"/>
      <c r="AM4" s="637"/>
      <c r="AN4" s="637"/>
      <c r="AO4" s="637"/>
      <c r="AP4" s="637"/>
      <c r="AQ4" s="637"/>
      <c r="AR4" s="637"/>
      <c r="AS4" s="637"/>
      <c r="AT4" s="637"/>
      <c r="AU4" s="637"/>
      <c r="AV4" s="637"/>
      <c r="AW4" s="637"/>
      <c r="AX4" s="637"/>
      <c r="AY4" s="637"/>
      <c r="AZ4" s="637"/>
      <c r="BA4" s="637"/>
      <c r="BB4" s="637"/>
      <c r="BC4" s="637"/>
      <c r="BD4" s="637"/>
      <c r="BE4" s="637"/>
      <c r="BF4" s="637"/>
      <c r="BG4" s="637"/>
      <c r="BH4" s="637"/>
      <c r="BI4" s="637"/>
      <c r="BJ4" s="637"/>
    </row>
    <row r="5" spans="1:62" s="637" customFormat="1" ht="15">
      <c r="A5" s="660" t="s">
        <v>88</v>
      </c>
      <c r="B5" s="660" t="s">
        <v>86</v>
      </c>
      <c r="C5" s="661" t="s">
        <v>683</v>
      </c>
      <c r="D5" s="660" t="s">
        <v>684</v>
      </c>
      <c r="E5" s="660" t="s">
        <v>685</v>
      </c>
      <c r="F5" s="660" t="s">
        <v>686</v>
      </c>
      <c r="G5" s="660" t="s">
        <v>687</v>
      </c>
      <c r="H5" s="660" t="s">
        <v>688</v>
      </c>
      <c r="I5" s="660" t="s">
        <v>689</v>
      </c>
      <c r="J5" s="660" t="s">
        <v>84</v>
      </c>
      <c r="K5" s="660" t="s">
        <v>83</v>
      </c>
      <c r="L5" s="660" t="s">
        <v>81</v>
      </c>
      <c r="M5" s="660" t="s">
        <v>79</v>
      </c>
      <c r="N5" s="644"/>
      <c r="O5" s="662">
        <v>0</v>
      </c>
      <c r="P5" s="663" t="s">
        <v>75</v>
      </c>
      <c r="R5" s="660" t="s">
        <v>690</v>
      </c>
      <c r="S5" s="660" t="s">
        <v>691</v>
      </c>
      <c r="T5" s="660" t="s">
        <v>692</v>
      </c>
      <c r="U5" s="660" t="s">
        <v>693</v>
      </c>
      <c r="V5" s="660" t="s">
        <v>694</v>
      </c>
      <c r="W5" s="660" t="s">
        <v>695</v>
      </c>
      <c r="X5" s="660" t="s">
        <v>696</v>
      </c>
      <c r="Y5" s="660" t="s">
        <v>73</v>
      </c>
      <c r="Z5" s="660" t="s">
        <v>71</v>
      </c>
      <c r="AA5" s="660" t="s">
        <v>69</v>
      </c>
      <c r="AB5" s="644"/>
      <c r="AC5" s="662" t="s">
        <v>62</v>
      </c>
      <c r="AD5" s="662" t="s">
        <v>61</v>
      </c>
      <c r="AE5" s="662" t="s">
        <v>59</v>
      </c>
      <c r="AG5" s="636"/>
      <c r="AH5" s="636"/>
    </row>
    <row r="6" spans="1:62" s="672" customFormat="1" ht="30">
      <c r="A6" s="664" t="s">
        <v>360</v>
      </c>
      <c r="B6" s="665" t="s">
        <v>361</v>
      </c>
      <c r="C6" s="666" t="s">
        <v>697</v>
      </c>
      <c r="D6" s="666" t="s">
        <v>681</v>
      </c>
      <c r="E6" s="667" t="s">
        <v>358</v>
      </c>
      <c r="F6" s="666" t="s">
        <v>357</v>
      </c>
      <c r="G6" s="666" t="s">
        <v>682</v>
      </c>
      <c r="H6" s="668" t="s">
        <v>356</v>
      </c>
      <c r="I6" s="666" t="s">
        <v>2</v>
      </c>
      <c r="J6" s="669" t="s">
        <v>355</v>
      </c>
      <c r="K6" s="670" t="s">
        <v>698</v>
      </c>
      <c r="L6" s="669" t="s">
        <v>353</v>
      </c>
      <c r="M6" s="669" t="s">
        <v>699</v>
      </c>
      <c r="N6" s="671"/>
      <c r="O6" s="669" t="s">
        <v>700</v>
      </c>
      <c r="P6" s="669" t="s">
        <v>701</v>
      </c>
      <c r="R6" s="673" t="s">
        <v>702</v>
      </c>
      <c r="S6" s="666" t="s">
        <v>681</v>
      </c>
      <c r="T6" s="667" t="s">
        <v>358</v>
      </c>
      <c r="U6" s="666" t="s">
        <v>357</v>
      </c>
      <c r="V6" s="666" t="s">
        <v>682</v>
      </c>
      <c r="W6" s="668" t="s">
        <v>356</v>
      </c>
      <c r="X6" s="666" t="s">
        <v>2</v>
      </c>
      <c r="Y6" s="669" t="s">
        <v>355</v>
      </c>
      <c r="Z6" s="670" t="s">
        <v>698</v>
      </c>
      <c r="AA6" s="669" t="s">
        <v>353</v>
      </c>
      <c r="AB6" s="671"/>
      <c r="AC6" s="669" t="s">
        <v>703</v>
      </c>
      <c r="AD6" s="669" t="s">
        <v>704</v>
      </c>
      <c r="AE6" s="669" t="s">
        <v>705</v>
      </c>
      <c r="AG6" s="636"/>
      <c r="AH6" s="636"/>
      <c r="AI6" s="637"/>
    </row>
    <row r="7" spans="1:62" s="635" customFormat="1" ht="15">
      <c r="A7" s="674"/>
      <c r="B7" s="657"/>
      <c r="C7" s="657"/>
      <c r="D7" s="657"/>
      <c r="E7" s="675"/>
      <c r="F7" s="657"/>
      <c r="G7" s="657"/>
      <c r="H7" s="676"/>
      <c r="I7" s="657"/>
      <c r="J7" s="676"/>
      <c r="K7" s="640"/>
      <c r="L7" s="677"/>
      <c r="M7" s="677"/>
      <c r="N7" s="644"/>
      <c r="O7" s="677"/>
      <c r="P7" s="677"/>
      <c r="Q7" s="637"/>
      <c r="R7" s="678"/>
      <c r="S7" s="657"/>
      <c r="T7" s="675"/>
      <c r="U7" s="657"/>
      <c r="V7" s="657"/>
      <c r="W7" s="676"/>
      <c r="X7" s="657"/>
      <c r="Y7" s="676"/>
      <c r="Z7" s="640"/>
      <c r="AA7" s="677"/>
      <c r="AB7" s="644"/>
      <c r="AC7" s="677"/>
      <c r="AD7" s="677"/>
      <c r="AE7" s="677"/>
      <c r="AF7" s="637"/>
      <c r="AG7" s="636"/>
      <c r="AH7" s="636"/>
      <c r="AI7" s="637"/>
      <c r="AJ7" s="637"/>
      <c r="AK7" s="637"/>
      <c r="AL7" s="637"/>
      <c r="AM7" s="637"/>
      <c r="AN7" s="637"/>
      <c r="AO7" s="637"/>
      <c r="AP7" s="637"/>
      <c r="AQ7" s="637"/>
      <c r="AR7" s="637"/>
      <c r="AS7" s="637"/>
      <c r="AT7" s="637"/>
      <c r="AU7" s="637"/>
      <c r="AV7" s="637"/>
      <c r="AW7" s="637"/>
      <c r="AX7" s="637"/>
      <c r="AY7" s="637"/>
      <c r="AZ7" s="637"/>
      <c r="BA7" s="637"/>
      <c r="BB7" s="637"/>
      <c r="BC7" s="637"/>
      <c r="BD7" s="637"/>
      <c r="BE7" s="637"/>
      <c r="BF7" s="637"/>
      <c r="BG7" s="637"/>
      <c r="BH7" s="637"/>
      <c r="BI7" s="637"/>
      <c r="BJ7" s="637"/>
    </row>
    <row r="8" spans="1:62" s="635" customFormat="1" ht="15">
      <c r="A8" s="679">
        <v>345</v>
      </c>
      <c r="B8" s="635" t="s">
        <v>645</v>
      </c>
      <c r="C8" s="648">
        <v>148722800.79999998</v>
      </c>
      <c r="D8" s="639">
        <v>4.1459570131959944E-2</v>
      </c>
      <c r="E8" s="680">
        <v>6165983.3899891078</v>
      </c>
      <c r="F8" s="648">
        <v>135617144.36878616</v>
      </c>
      <c r="G8" s="639">
        <v>0.10936663962521412</v>
      </c>
      <c r="H8" s="681">
        <v>14831991.355181672</v>
      </c>
      <c r="I8" s="648">
        <v>3979429.5212138877</v>
      </c>
      <c r="J8" s="681">
        <v>24977404.266384669</v>
      </c>
      <c r="K8" s="682">
        <v>-2471006.5445595589</v>
      </c>
      <c r="L8" s="229">
        <v>22506397.721825108</v>
      </c>
      <c r="M8" s="683">
        <v>0.37756798718297951</v>
      </c>
      <c r="N8" s="632"/>
      <c r="O8" s="229">
        <v>23730365.101487819</v>
      </c>
      <c r="P8" s="683">
        <v>0.3775679871829794</v>
      </c>
      <c r="Q8" s="632"/>
      <c r="R8" s="684">
        <v>148597383.15307695</v>
      </c>
      <c r="S8" s="639">
        <v>4.3022538721274983E-2</v>
      </c>
      <c r="T8" s="680">
        <v>6393036.6705833878</v>
      </c>
      <c r="U8" s="684">
        <v>135594913.32846159</v>
      </c>
      <c r="V8" s="639">
        <v>0.10843870743143799</v>
      </c>
      <c r="W8" s="681">
        <v>14703737.135616237</v>
      </c>
      <c r="X8" s="684">
        <v>3776268.7399999993</v>
      </c>
      <c r="Y8" s="681">
        <v>24873042.546199623</v>
      </c>
      <c r="Z8" s="685">
        <v>-2471006.3127486529</v>
      </c>
      <c r="AA8" s="229">
        <v>22402036.233450972</v>
      </c>
      <c r="AB8" s="632"/>
      <c r="AC8" s="229">
        <v>-1328328.8680368476</v>
      </c>
      <c r="AD8" s="686">
        <v>-86075.710648787732</v>
      </c>
      <c r="AE8" s="229">
        <v>-1414404.5786856352</v>
      </c>
      <c r="AG8" s="636"/>
      <c r="AH8" s="636"/>
      <c r="AI8" s="637"/>
    </row>
    <row r="9" spans="1:62" s="635" customFormat="1" ht="15">
      <c r="A9" s="679">
        <v>1453</v>
      </c>
      <c r="B9" s="635" t="s">
        <v>647</v>
      </c>
      <c r="C9" s="648">
        <v>8764879.3100000005</v>
      </c>
      <c r="D9" s="639">
        <v>4.1459570131959944E-2</v>
      </c>
      <c r="E9" s="680">
        <v>363388.12845110969</v>
      </c>
      <c r="F9" s="648">
        <v>7867011.218945778</v>
      </c>
      <c r="G9" s="639">
        <v>0.10936663962521412</v>
      </c>
      <c r="H9" s="681">
        <v>860388.58090995939</v>
      </c>
      <c r="I9" s="648">
        <v>234525.03105422165</v>
      </c>
      <c r="J9" s="681">
        <v>1458301.7404152907</v>
      </c>
      <c r="K9" s="682">
        <v>-145910.01351864421</v>
      </c>
      <c r="L9" s="229">
        <v>1312391.7268966464</v>
      </c>
      <c r="M9" s="683">
        <v>2.201672203808271E-2</v>
      </c>
      <c r="N9" s="632"/>
      <c r="O9" s="229">
        <v>1383763.6400261743</v>
      </c>
      <c r="P9" s="683">
        <v>2.2016722038082699E-2</v>
      </c>
      <c r="Q9" s="632"/>
      <c r="R9" s="684">
        <v>8762893.4969230797</v>
      </c>
      <c r="S9" s="639">
        <v>4.3022538721274983E-2</v>
      </c>
      <c r="T9" s="680">
        <v>377001.92478178191</v>
      </c>
      <c r="U9" s="684">
        <v>7816858.0390769234</v>
      </c>
      <c r="V9" s="639">
        <v>0.10843870743143799</v>
      </c>
      <c r="W9" s="681">
        <v>847649.98193254659</v>
      </c>
      <c r="X9" s="684">
        <v>251926.943</v>
      </c>
      <c r="Y9" s="681">
        <v>1476578.8497143285</v>
      </c>
      <c r="Z9" s="685">
        <v>-145909.97796341113</v>
      </c>
      <c r="AA9" s="229">
        <v>1330668.8717509173</v>
      </c>
      <c r="AB9" s="632"/>
      <c r="AC9" s="229">
        <v>-53094.768275256967</v>
      </c>
      <c r="AD9" s="229">
        <v>-3440.5409842366521</v>
      </c>
      <c r="AE9" s="229">
        <v>-56535.309259493617</v>
      </c>
      <c r="AG9" s="636"/>
      <c r="AH9" s="636"/>
      <c r="AI9" s="637"/>
    </row>
    <row r="10" spans="1:62" s="635" customFormat="1" ht="15">
      <c r="A10" s="679">
        <v>352</v>
      </c>
      <c r="B10" s="635" t="s">
        <v>649</v>
      </c>
      <c r="C10" s="648">
        <v>92883232.140000015</v>
      </c>
      <c r="D10" s="639">
        <v>4.1459570131959944E-2</v>
      </c>
      <c r="E10" s="680">
        <v>3850898.8769914466</v>
      </c>
      <c r="F10" s="648">
        <v>85101480.659666464</v>
      </c>
      <c r="G10" s="639">
        <v>0.10936663962521412</v>
      </c>
      <c r="H10" s="681">
        <v>9307262.9668778703</v>
      </c>
      <c r="I10" s="648">
        <v>2485310.08033355</v>
      </c>
      <c r="J10" s="681">
        <v>15643471.924202867</v>
      </c>
      <c r="K10" s="682">
        <v>-1648616.6689331559</v>
      </c>
      <c r="L10" s="229">
        <v>13994855.25526971</v>
      </c>
      <c r="M10" s="683">
        <v>0.23477810154066858</v>
      </c>
      <c r="N10" s="632"/>
      <c r="O10" s="229">
        <v>14755938.682625152</v>
      </c>
      <c r="P10" s="683">
        <v>0.2347781015406685</v>
      </c>
      <c r="Q10" s="632"/>
      <c r="R10" s="684">
        <v>92882269.148461506</v>
      </c>
      <c r="S10" s="639">
        <v>4.3022538721274983E-2</v>
      </c>
      <c r="T10" s="680">
        <v>3996031.0209595701</v>
      </c>
      <c r="U10" s="684">
        <v>85211589.528461516</v>
      </c>
      <c r="V10" s="639">
        <v>0.10843870743143799</v>
      </c>
      <c r="W10" s="681">
        <v>9240234.6266446244</v>
      </c>
      <c r="X10" s="684">
        <v>2407646.1700000004</v>
      </c>
      <c r="Y10" s="681">
        <v>15643911.817604193</v>
      </c>
      <c r="Z10" s="685">
        <v>-1648616.5309214175</v>
      </c>
      <c r="AA10" s="229">
        <v>13995295.286682775</v>
      </c>
      <c r="AB10" s="632"/>
      <c r="AC10" s="229">
        <v>-760643.39594237693</v>
      </c>
      <c r="AD10" s="229">
        <v>-49289.69205706603</v>
      </c>
      <c r="AE10" s="229">
        <v>-809933.08799944294</v>
      </c>
      <c r="AG10" s="636"/>
      <c r="AH10" s="636"/>
      <c r="AI10" s="637"/>
    </row>
    <row r="11" spans="1:62" s="635" customFormat="1" ht="15">
      <c r="A11" s="679">
        <v>356</v>
      </c>
      <c r="B11" s="635" t="s">
        <v>651</v>
      </c>
      <c r="C11" s="648">
        <v>116396367.64999999</v>
      </c>
      <c r="D11" s="639">
        <v>4.1459570131959944E-2</v>
      </c>
      <c r="E11" s="680">
        <v>4825743.3676905679</v>
      </c>
      <c r="F11" s="648">
        <v>116342780.11343458</v>
      </c>
      <c r="G11" s="639">
        <v>0.10936663962521412</v>
      </c>
      <c r="H11" s="681">
        <v>12724018.905661527</v>
      </c>
      <c r="I11" s="648">
        <v>95621.938142807994</v>
      </c>
      <c r="J11" s="681">
        <v>17645384.2114949</v>
      </c>
      <c r="K11" s="682">
        <v>-945579.47127189522</v>
      </c>
      <c r="L11" s="229">
        <v>16699804.740223005</v>
      </c>
      <c r="M11" s="683">
        <v>0.2801564133028866</v>
      </c>
      <c r="N11" s="632"/>
      <c r="O11" s="229">
        <v>17607991.670064222</v>
      </c>
      <c r="P11" s="683">
        <v>0.28015641330288654</v>
      </c>
      <c r="Q11" s="632"/>
      <c r="R11" s="684">
        <v>116179144.07461539</v>
      </c>
      <c r="S11" s="639">
        <v>4.3022538721274983E-2</v>
      </c>
      <c r="T11" s="680">
        <v>4998321.7245547259</v>
      </c>
      <c r="U11" s="684">
        <v>116063928.81776614</v>
      </c>
      <c r="V11" s="639">
        <v>0.10843870743143799</v>
      </c>
      <c r="W11" s="681">
        <v>12585822.420412987</v>
      </c>
      <c r="X11" s="684">
        <v>277387.53000000003</v>
      </c>
      <c r="Y11" s="681">
        <v>17861531.674967714</v>
      </c>
      <c r="Z11" s="685">
        <v>-945579.47927746177</v>
      </c>
      <c r="AA11" s="229">
        <v>16915952.195690252</v>
      </c>
      <c r="AB11" s="632"/>
      <c r="AC11" s="229">
        <v>-692039.47437397018</v>
      </c>
      <c r="AD11" s="229">
        <v>-44844.157939433273</v>
      </c>
      <c r="AE11" s="229">
        <v>-736883.63231340342</v>
      </c>
      <c r="AG11" s="636"/>
      <c r="AH11" s="636"/>
      <c r="AI11" s="637"/>
    </row>
    <row r="12" spans="1:62" s="635" customFormat="1" ht="15">
      <c r="A12" s="679">
        <v>1621</v>
      </c>
      <c r="B12" s="635" t="s">
        <v>706</v>
      </c>
      <c r="C12" s="648">
        <v>0</v>
      </c>
      <c r="D12" s="639">
        <v>4.1459570131959944E-2</v>
      </c>
      <c r="E12" s="680">
        <v>0</v>
      </c>
      <c r="F12" s="648">
        <v>0</v>
      </c>
      <c r="G12" s="639">
        <v>0.10936663962521412</v>
      </c>
      <c r="H12" s="681">
        <v>0</v>
      </c>
      <c r="I12" s="648">
        <v>0</v>
      </c>
      <c r="J12" s="681">
        <v>0</v>
      </c>
      <c r="K12" s="682">
        <v>0</v>
      </c>
      <c r="L12" s="229">
        <v>0</v>
      </c>
      <c r="M12" s="683">
        <v>0</v>
      </c>
      <c r="N12" s="632"/>
      <c r="O12" s="229">
        <v>0</v>
      </c>
      <c r="P12" s="683">
        <v>0</v>
      </c>
      <c r="Q12" s="632"/>
      <c r="R12" s="684">
        <v>0</v>
      </c>
      <c r="S12" s="639">
        <v>4.3022538721274983E-2</v>
      </c>
      <c r="T12" s="680">
        <v>0</v>
      </c>
      <c r="U12" s="684">
        <v>0</v>
      </c>
      <c r="V12" s="639">
        <v>0.10843870743143799</v>
      </c>
      <c r="W12" s="681">
        <v>0</v>
      </c>
      <c r="X12" s="684">
        <v>0</v>
      </c>
      <c r="Y12" s="681">
        <v>0</v>
      </c>
      <c r="Z12" s="685">
        <v>0</v>
      </c>
      <c r="AA12" s="229">
        <v>0</v>
      </c>
      <c r="AB12" s="632"/>
      <c r="AC12" s="229">
        <v>0</v>
      </c>
      <c r="AD12" s="229">
        <v>0</v>
      </c>
      <c r="AE12" s="229">
        <v>0</v>
      </c>
      <c r="AG12" s="636"/>
      <c r="AH12" s="636"/>
      <c r="AI12" s="637"/>
    </row>
    <row r="13" spans="1:62" s="635" customFormat="1" ht="15">
      <c r="A13" s="679">
        <v>1712</v>
      </c>
      <c r="B13" s="635" t="s">
        <v>707</v>
      </c>
      <c r="C13" s="648">
        <v>0</v>
      </c>
      <c r="D13" s="639">
        <v>4.1459570131959944E-2</v>
      </c>
      <c r="E13" s="680">
        <v>0</v>
      </c>
      <c r="F13" s="648">
        <v>0</v>
      </c>
      <c r="G13" s="639">
        <v>0.10936663962521412</v>
      </c>
      <c r="H13" s="681">
        <v>0</v>
      </c>
      <c r="I13" s="648">
        <v>0</v>
      </c>
      <c r="J13" s="681">
        <v>0</v>
      </c>
      <c r="K13" s="682">
        <v>0</v>
      </c>
      <c r="L13" s="229">
        <v>0</v>
      </c>
      <c r="M13" s="683">
        <v>0</v>
      </c>
      <c r="N13" s="632"/>
      <c r="O13" s="229">
        <v>0</v>
      </c>
      <c r="P13" s="683">
        <v>0</v>
      </c>
      <c r="Q13" s="632"/>
      <c r="R13" s="684">
        <v>0</v>
      </c>
      <c r="S13" s="639">
        <v>4.3022538721274983E-2</v>
      </c>
      <c r="T13" s="680">
        <v>0</v>
      </c>
      <c r="U13" s="684">
        <v>0</v>
      </c>
      <c r="V13" s="639">
        <v>0.10843870743143799</v>
      </c>
      <c r="W13" s="681">
        <v>0</v>
      </c>
      <c r="X13" s="684">
        <v>0</v>
      </c>
      <c r="Y13" s="681">
        <v>0</v>
      </c>
      <c r="Z13" s="685">
        <v>0</v>
      </c>
      <c r="AA13" s="229">
        <v>0</v>
      </c>
      <c r="AB13" s="632"/>
      <c r="AC13" s="229">
        <v>0</v>
      </c>
      <c r="AD13" s="229">
        <v>0</v>
      </c>
      <c r="AE13" s="229">
        <v>0</v>
      </c>
      <c r="AG13" s="636"/>
      <c r="AH13" s="636"/>
      <c r="AI13" s="637"/>
    </row>
    <row r="14" spans="1:62" s="635" customFormat="1" ht="15">
      <c r="A14" s="679">
        <v>1616</v>
      </c>
      <c r="B14" s="635" t="s">
        <v>653</v>
      </c>
      <c r="C14" s="648">
        <v>1382778.6099999996</v>
      </c>
      <c r="D14" s="639">
        <v>4.1459570131959944E-2</v>
      </c>
      <c r="E14" s="680">
        <v>57329.40675826907</v>
      </c>
      <c r="F14" s="648">
        <v>1237081.7849319312</v>
      </c>
      <c r="G14" s="639">
        <v>0.10936663962521412</v>
      </c>
      <c r="H14" s="681">
        <v>135295.47775956715</v>
      </c>
      <c r="I14" s="648">
        <v>36999.505068069608</v>
      </c>
      <c r="J14" s="681">
        <v>229624.38958590582</v>
      </c>
      <c r="K14" s="682">
        <v>-265342.48729570769</v>
      </c>
      <c r="L14" s="229">
        <v>-35718.097709801863</v>
      </c>
      <c r="M14" s="683">
        <v>-5.9920785302825712E-4</v>
      </c>
      <c r="N14" s="632"/>
      <c r="O14" s="229">
        <v>-37660.558115982654</v>
      </c>
      <c r="P14" s="683">
        <v>-5.992078530282569E-4</v>
      </c>
      <c r="Q14" s="632"/>
      <c r="R14" s="684">
        <v>1381839.2938461539</v>
      </c>
      <c r="S14" s="639">
        <v>4.3022538721274983E-2</v>
      </c>
      <c r="T14" s="680">
        <v>59450.234526075437</v>
      </c>
      <c r="U14" s="684">
        <v>1238867.913846154</v>
      </c>
      <c r="V14" s="639">
        <v>0.10843870743143799</v>
      </c>
      <c r="W14" s="681">
        <v>134341.23525575903</v>
      </c>
      <c r="X14" s="684">
        <v>76538.880000000019</v>
      </c>
      <c r="Y14" s="681">
        <v>270330.34978183446</v>
      </c>
      <c r="Z14" s="685">
        <v>-265342.49997775577</v>
      </c>
      <c r="AA14" s="229">
        <v>4987.8498040786944</v>
      </c>
      <c r="AB14" s="632"/>
      <c r="AC14" s="229">
        <v>42648.407920061349</v>
      </c>
      <c r="AD14" s="229">
        <v>2763.6168332199759</v>
      </c>
      <c r="AE14" s="229">
        <v>45412.024753281323</v>
      </c>
      <c r="AG14" s="636"/>
      <c r="AH14" s="636"/>
      <c r="AI14" s="637"/>
    </row>
    <row r="15" spans="1:62" s="635" customFormat="1" ht="15">
      <c r="A15" s="679" t="s">
        <v>472</v>
      </c>
      <c r="B15" s="635" t="s">
        <v>655</v>
      </c>
      <c r="C15" s="648">
        <v>1632488.4765384616</v>
      </c>
      <c r="D15" s="639">
        <v>4.1459570131959944E-2</v>
      </c>
      <c r="E15" s="680">
        <v>67682.270482662789</v>
      </c>
      <c r="F15" s="648">
        <v>1615714.2365137872</v>
      </c>
      <c r="G15" s="639">
        <v>0.10936663962521412</v>
      </c>
      <c r="H15" s="681">
        <v>176705.23664213132</v>
      </c>
      <c r="I15" s="648">
        <v>42600.166589074492</v>
      </c>
      <c r="J15" s="681">
        <v>286987.6737138686</v>
      </c>
      <c r="K15" s="682">
        <v>0</v>
      </c>
      <c r="L15" s="229">
        <v>286987.6737138686</v>
      </c>
      <c r="M15" s="683">
        <v>4.8145136174054977E-3</v>
      </c>
      <c r="N15" s="632"/>
      <c r="O15" s="229">
        <v>302594.94926869584</v>
      </c>
      <c r="P15" s="683">
        <v>4.814513617405496E-3</v>
      </c>
      <c r="Q15" s="632"/>
      <c r="R15" s="684">
        <v>1819378.5980769231</v>
      </c>
      <c r="S15" s="639">
        <v>4.3022538721274983E-2</v>
      </c>
      <c r="T15" s="680">
        <v>78274.286184423414</v>
      </c>
      <c r="U15" s="684">
        <v>1797910.0626923079</v>
      </c>
      <c r="V15" s="639">
        <v>0.10843870743143799</v>
      </c>
      <c r="W15" s="681">
        <v>194963.04327632952</v>
      </c>
      <c r="X15" s="684">
        <v>101364.88999999998</v>
      </c>
      <c r="Y15" s="681">
        <v>374602.21946075291</v>
      </c>
      <c r="Z15" s="685">
        <v>0</v>
      </c>
      <c r="AA15" s="229">
        <v>374602.21946075291</v>
      </c>
      <c r="AB15" s="632"/>
      <c r="AC15" s="229">
        <v>72007.270192057069</v>
      </c>
      <c r="AD15" s="229">
        <v>4666.0711084452996</v>
      </c>
      <c r="AE15" s="229">
        <v>76673.341300502361</v>
      </c>
      <c r="AG15" s="636"/>
      <c r="AH15" s="636"/>
      <c r="AI15" s="637"/>
    </row>
    <row r="16" spans="1:62" s="635" customFormat="1" ht="15">
      <c r="A16" s="679">
        <v>2837</v>
      </c>
      <c r="B16" s="635" t="s">
        <v>661</v>
      </c>
      <c r="C16" s="648">
        <v>518820.73269230779</v>
      </c>
      <c r="D16" s="639">
        <v>4.1459570131959944E-2</v>
      </c>
      <c r="E16" s="680">
        <v>21510.084552971577</v>
      </c>
      <c r="F16" s="648">
        <v>513036.45222559443</v>
      </c>
      <c r="G16" s="639">
        <v>0.10936663962521412</v>
      </c>
      <c r="H16" s="681">
        <v>56109.072785154967</v>
      </c>
      <c r="I16" s="648">
        <v>13671.935648595005</v>
      </c>
      <c r="J16" s="681">
        <v>91291.092986721545</v>
      </c>
      <c r="K16" s="682">
        <v>0</v>
      </c>
      <c r="L16" s="229">
        <v>91291.092986721545</v>
      </c>
      <c r="M16" s="683">
        <v>1.5315020490065132E-3</v>
      </c>
      <c r="N16" s="632"/>
      <c r="O16" s="229">
        <v>96255.784415823393</v>
      </c>
      <c r="P16" s="683">
        <v>1.5315020490065127E-3</v>
      </c>
      <c r="Q16" s="632"/>
      <c r="R16" s="684">
        <v>579345.74538461538</v>
      </c>
      <c r="S16" s="639">
        <v>4.3022538721274983E-2</v>
      </c>
      <c r="T16" s="680">
        <v>24924.924763815532</v>
      </c>
      <c r="U16" s="684">
        <v>571539.93230769236</v>
      </c>
      <c r="V16" s="639">
        <v>0.10843870743143799</v>
      </c>
      <c r="W16" s="681">
        <v>61977.051504897725</v>
      </c>
      <c r="X16" s="684">
        <v>33762.429999999993</v>
      </c>
      <c r="Y16" s="681">
        <v>120664.40626871325</v>
      </c>
      <c r="Z16" s="685">
        <v>0</v>
      </c>
      <c r="AA16" s="229">
        <v>120664.40626871325</v>
      </c>
      <c r="AB16" s="632"/>
      <c r="AC16" s="229">
        <v>24408.621852889861</v>
      </c>
      <c r="AD16" s="229">
        <v>1581.6786960672632</v>
      </c>
      <c r="AE16" s="229">
        <v>25990.300548957122</v>
      </c>
      <c r="AG16" s="636"/>
      <c r="AH16" s="636"/>
      <c r="AI16" s="637"/>
    </row>
    <row r="17" spans="1:35" s="635" customFormat="1" ht="15">
      <c r="A17" s="679">
        <v>2793</v>
      </c>
      <c r="B17" s="635" t="s">
        <v>663</v>
      </c>
      <c r="C17" s="648">
        <v>333591.48307692318</v>
      </c>
      <c r="D17" s="639">
        <v>4.1459570131959944E-2</v>
      </c>
      <c r="E17" s="680">
        <v>13830.559488052226</v>
      </c>
      <c r="F17" s="648">
        <v>329872.30499124672</v>
      </c>
      <c r="G17" s="639">
        <v>0.10936663962521412</v>
      </c>
      <c r="H17" s="681">
        <v>36077.025502316399</v>
      </c>
      <c r="I17" s="648">
        <v>8790.7845661440006</v>
      </c>
      <c r="J17" s="681">
        <v>58698.369556512625</v>
      </c>
      <c r="K17" s="682">
        <v>0</v>
      </c>
      <c r="L17" s="229">
        <v>58698.369556512625</v>
      </c>
      <c r="M17" s="683">
        <v>9.8472556640565425E-4</v>
      </c>
      <c r="N17" s="632"/>
      <c r="O17" s="229">
        <v>61890.568079996825</v>
      </c>
      <c r="P17" s="683">
        <v>9.8472556640565381E-4</v>
      </c>
      <c r="Q17" s="632"/>
      <c r="R17" s="684">
        <v>374704.58576923073</v>
      </c>
      <c r="S17" s="639">
        <v>4.3022538721274983E-2</v>
      </c>
      <c r="T17" s="680">
        <v>16120.742550296032</v>
      </c>
      <c r="U17" s="684">
        <v>367216.73346153845</v>
      </c>
      <c r="V17" s="639">
        <v>0.10843870743143799</v>
      </c>
      <c r="W17" s="681">
        <v>39820.507923764111</v>
      </c>
      <c r="X17" s="684">
        <v>32447.360000000008</v>
      </c>
      <c r="Y17" s="681">
        <v>88388.610474060144</v>
      </c>
      <c r="Z17" s="685">
        <v>0</v>
      </c>
      <c r="AA17" s="229">
        <v>88388.610474060144</v>
      </c>
      <c r="AB17" s="632"/>
      <c r="AC17" s="229">
        <v>26498.042394063319</v>
      </c>
      <c r="AD17" s="229">
        <v>1717.0731471353035</v>
      </c>
      <c r="AE17" s="229">
        <v>28215.115541198622</v>
      </c>
      <c r="AG17" s="636"/>
      <c r="AH17" s="636"/>
      <c r="AI17" s="637"/>
    </row>
    <row r="18" spans="1:35" s="635" customFormat="1" ht="15">
      <c r="A18" s="679">
        <v>1950</v>
      </c>
      <c r="B18" s="635" t="s">
        <v>657</v>
      </c>
      <c r="C18" s="648">
        <v>15354756.090000002</v>
      </c>
      <c r="D18" s="639">
        <v>4.1459570131959944E-2</v>
      </c>
      <c r="E18" s="680">
        <v>636601.58697249414</v>
      </c>
      <c r="F18" s="648">
        <v>14837364.293631984</v>
      </c>
      <c r="G18" s="639">
        <v>0.10936663962521412</v>
      </c>
      <c r="H18" s="681">
        <v>1622712.6736896688</v>
      </c>
      <c r="I18" s="648">
        <v>410852.73641232256</v>
      </c>
      <c r="J18" s="681">
        <v>2670166.9970744853</v>
      </c>
      <c r="K18" s="682">
        <v>0</v>
      </c>
      <c r="L18" s="229">
        <v>2670166.9970744853</v>
      </c>
      <c r="M18" s="683">
        <v>4.4794799727109716E-2</v>
      </c>
      <c r="N18" s="632"/>
      <c r="O18" s="229">
        <v>2815378.9205046766</v>
      </c>
      <c r="P18" s="683">
        <v>4.4794799727109702E-2</v>
      </c>
      <c r="Q18" s="632"/>
      <c r="R18" s="684">
        <v>15393643.185384611</v>
      </c>
      <c r="S18" s="639">
        <v>4.3022538721274983E-2</v>
      </c>
      <c r="T18" s="680">
        <v>662273.61000470014</v>
      </c>
      <c r="U18" s="684">
        <v>14957326.456923075</v>
      </c>
      <c r="V18" s="639">
        <v>0.10843870743143799</v>
      </c>
      <c r="W18" s="681">
        <v>1621953.1476187883</v>
      </c>
      <c r="X18" s="684">
        <v>452902.57000000012</v>
      </c>
      <c r="Y18" s="681">
        <v>2737129.3276234888</v>
      </c>
      <c r="Z18" s="685">
        <v>0</v>
      </c>
      <c r="AA18" s="229">
        <v>2737129.3276234888</v>
      </c>
      <c r="AB18" s="632"/>
      <c r="AC18" s="229">
        <v>-78249.592881187797</v>
      </c>
      <c r="AD18" s="229">
        <v>-5070.5736187009707</v>
      </c>
      <c r="AE18" s="229">
        <v>-83320.166499888772</v>
      </c>
      <c r="AG18" s="636"/>
      <c r="AH18" s="636"/>
      <c r="AI18" s="637"/>
    </row>
    <row r="19" spans="1:35" s="635" customFormat="1" ht="15">
      <c r="A19" s="679">
        <v>3206</v>
      </c>
      <c r="B19" s="635" t="s">
        <v>669</v>
      </c>
      <c r="C19" s="648">
        <v>884526.92307692312</v>
      </c>
      <c r="D19" s="639">
        <v>4.1459570131959944E-2</v>
      </c>
      <c r="E19" s="680">
        <v>36672.106000914435</v>
      </c>
      <c r="F19" s="648">
        <v>884526.92307692312</v>
      </c>
      <c r="G19" s="639">
        <v>0.10936663962521412</v>
      </c>
      <c r="H19" s="681">
        <v>96737.73723495334</v>
      </c>
      <c r="I19" s="648">
        <v>0</v>
      </c>
      <c r="J19" s="681">
        <v>133409.84323586777</v>
      </c>
      <c r="K19" s="682">
        <v>0</v>
      </c>
      <c r="L19" s="229">
        <v>133409.84323586777</v>
      </c>
      <c r="M19" s="683">
        <v>2.2380874364499887E-3</v>
      </c>
      <c r="N19" s="632"/>
      <c r="O19" s="229">
        <v>140665.08231343332</v>
      </c>
      <c r="P19" s="683">
        <v>2.2380874364499878E-3</v>
      </c>
      <c r="Q19" s="632"/>
      <c r="R19" s="684">
        <v>0</v>
      </c>
      <c r="S19" s="639">
        <v>4.3022538721274983E-2</v>
      </c>
      <c r="T19" s="680">
        <v>0</v>
      </c>
      <c r="U19" s="684">
        <v>0</v>
      </c>
      <c r="V19" s="639">
        <v>0.10843870743143799</v>
      </c>
      <c r="W19" s="681">
        <v>0</v>
      </c>
      <c r="X19" s="684">
        <v>0</v>
      </c>
      <c r="Y19" s="681">
        <v>0</v>
      </c>
      <c r="Z19" s="685">
        <v>0</v>
      </c>
      <c r="AA19" s="229">
        <v>0</v>
      </c>
      <c r="AB19" s="632"/>
      <c r="AC19" s="229">
        <v>-140665.08231343332</v>
      </c>
      <c r="AD19" s="229">
        <v>-9115.0973339104803</v>
      </c>
      <c r="AE19" s="229">
        <v>-149780.17964734379</v>
      </c>
      <c r="AG19" s="636"/>
      <c r="AH19" s="636"/>
      <c r="AI19" s="637"/>
    </row>
    <row r="20" spans="1:35" s="635" customFormat="1" ht="15">
      <c r="A20" s="679">
        <v>2846</v>
      </c>
      <c r="B20" s="635" t="s">
        <v>659</v>
      </c>
      <c r="C20" s="648">
        <v>12449827.884615388</v>
      </c>
      <c r="D20" s="639">
        <v>4.1459570131959944E-2</v>
      </c>
      <c r="E20" s="680">
        <v>516164.51231304219</v>
      </c>
      <c r="F20" s="648">
        <v>12443049.482742628</v>
      </c>
      <c r="G20" s="639">
        <v>0.10936663962521412</v>
      </c>
      <c r="H20" s="681">
        <v>1360854.50861782</v>
      </c>
      <c r="I20" s="648">
        <v>13556.803745520005</v>
      </c>
      <c r="J20" s="681">
        <v>1890575.8246763821</v>
      </c>
      <c r="K20" s="682">
        <v>0</v>
      </c>
      <c r="L20" s="229">
        <v>1890575.8246763821</v>
      </c>
      <c r="M20" s="683">
        <v>3.171635539203372E-2</v>
      </c>
      <c r="N20" s="632"/>
      <c r="O20" s="229">
        <v>1993391.1737510527</v>
      </c>
      <c r="P20" s="683">
        <v>3.1716355392033706E-2</v>
      </c>
      <c r="Q20" s="632"/>
      <c r="R20" s="684">
        <v>22441976.39153846</v>
      </c>
      <c r="S20" s="639">
        <v>4.3022538721274983E-2</v>
      </c>
      <c r="T20" s="680">
        <v>965510.79828690237</v>
      </c>
      <c r="U20" s="684">
        <v>22441976.39153846</v>
      </c>
      <c r="V20" s="639">
        <v>0.10843870743143799</v>
      </c>
      <c r="W20" s="681">
        <v>2433578.9121052776</v>
      </c>
      <c r="X20" s="684">
        <v>0</v>
      </c>
      <c r="Y20" s="681">
        <v>3399089.7103921799</v>
      </c>
      <c r="Z20" s="685">
        <v>0</v>
      </c>
      <c r="AA20" s="229">
        <v>3399089.7103921799</v>
      </c>
      <c r="AB20" s="632"/>
      <c r="AC20" s="229">
        <v>1405698.5366411272</v>
      </c>
      <c r="AD20" s="229">
        <v>91089.265174345055</v>
      </c>
      <c r="AE20" s="229">
        <v>1496787.8018154723</v>
      </c>
      <c r="AG20" s="636"/>
      <c r="AH20" s="636"/>
      <c r="AI20" s="637"/>
    </row>
    <row r="21" spans="1:35" s="635" customFormat="1" ht="15">
      <c r="A21" s="679">
        <v>3457</v>
      </c>
      <c r="B21" s="635" t="s">
        <v>708</v>
      </c>
      <c r="C21" s="648">
        <v>0</v>
      </c>
      <c r="D21" s="639">
        <v>4.1459570131959944E-2</v>
      </c>
      <c r="E21" s="680">
        <v>0</v>
      </c>
      <c r="F21" s="648">
        <v>0</v>
      </c>
      <c r="G21" s="639">
        <v>0.10936663962521412</v>
      </c>
      <c r="H21" s="681">
        <v>0</v>
      </c>
      <c r="I21" s="648">
        <v>0</v>
      </c>
      <c r="J21" s="681">
        <v>0</v>
      </c>
      <c r="K21" s="682">
        <v>0</v>
      </c>
      <c r="L21" s="229">
        <v>0</v>
      </c>
      <c r="M21" s="683">
        <v>0</v>
      </c>
      <c r="N21" s="632"/>
      <c r="O21" s="229">
        <v>0</v>
      </c>
      <c r="P21" s="683">
        <v>0</v>
      </c>
      <c r="Q21" s="632"/>
      <c r="R21" s="684">
        <v>0</v>
      </c>
      <c r="S21" s="639">
        <v>4.3022538721274983E-2</v>
      </c>
      <c r="T21" s="680">
        <v>0</v>
      </c>
      <c r="U21" s="684">
        <v>0</v>
      </c>
      <c r="V21" s="639">
        <v>0.10843870743143799</v>
      </c>
      <c r="W21" s="681">
        <v>0</v>
      </c>
      <c r="X21" s="684">
        <v>0</v>
      </c>
      <c r="Y21" s="681">
        <v>0</v>
      </c>
      <c r="Z21" s="685">
        <v>0</v>
      </c>
      <c r="AA21" s="229">
        <v>0</v>
      </c>
      <c r="AB21" s="632"/>
      <c r="AC21" s="229">
        <v>0</v>
      </c>
      <c r="AD21" s="229">
        <v>0</v>
      </c>
      <c r="AE21" s="229">
        <v>0</v>
      </c>
      <c r="AG21" s="636"/>
      <c r="AH21" s="636"/>
      <c r="AI21" s="637"/>
    </row>
    <row r="22" spans="1:35" s="635" customFormat="1" ht="15">
      <c r="A22" s="679">
        <v>1143</v>
      </c>
      <c r="B22" s="635" t="s">
        <v>709</v>
      </c>
      <c r="C22" s="648">
        <v>0</v>
      </c>
      <c r="D22" s="639">
        <v>4.1459570131959944E-2</v>
      </c>
      <c r="E22" s="680">
        <v>0</v>
      </c>
      <c r="F22" s="648">
        <v>0</v>
      </c>
      <c r="G22" s="639">
        <v>0.10936663962521412</v>
      </c>
      <c r="H22" s="681">
        <v>0</v>
      </c>
      <c r="I22" s="648">
        <v>0</v>
      </c>
      <c r="J22" s="681">
        <v>0</v>
      </c>
      <c r="K22" s="682">
        <v>0</v>
      </c>
      <c r="L22" s="229">
        <v>0</v>
      </c>
      <c r="M22" s="683">
        <v>0</v>
      </c>
      <c r="N22" s="632"/>
      <c r="O22" s="229">
        <v>0</v>
      </c>
      <c r="P22" s="683">
        <v>0</v>
      </c>
      <c r="Q22" s="632"/>
      <c r="R22" s="684">
        <v>0</v>
      </c>
      <c r="S22" s="639">
        <v>4.3022538721274983E-2</v>
      </c>
      <c r="T22" s="680">
        <v>0</v>
      </c>
      <c r="U22" s="684">
        <v>0</v>
      </c>
      <c r="V22" s="639">
        <v>0.10843870743143799</v>
      </c>
      <c r="W22" s="681">
        <v>0</v>
      </c>
      <c r="X22" s="684">
        <v>0</v>
      </c>
      <c r="Y22" s="681">
        <v>0</v>
      </c>
      <c r="Z22" s="685">
        <v>0</v>
      </c>
      <c r="AA22" s="229">
        <v>0</v>
      </c>
      <c r="AB22" s="632"/>
      <c r="AC22" s="229">
        <v>0</v>
      </c>
      <c r="AD22" s="229">
        <v>0</v>
      </c>
      <c r="AE22" s="229">
        <v>0</v>
      </c>
      <c r="AG22" s="636"/>
      <c r="AH22" s="636"/>
      <c r="AI22" s="637"/>
    </row>
    <row r="23" spans="1:35" s="635" customFormat="1" ht="15">
      <c r="A23" s="679">
        <v>3161</v>
      </c>
      <c r="B23" s="635" t="s">
        <v>710</v>
      </c>
      <c r="C23" s="648">
        <v>0</v>
      </c>
      <c r="D23" s="639">
        <v>4.1459570131959944E-2</v>
      </c>
      <c r="E23" s="680">
        <v>0</v>
      </c>
      <c r="F23" s="648">
        <v>0</v>
      </c>
      <c r="G23" s="639">
        <v>0.10936663962521412</v>
      </c>
      <c r="H23" s="681">
        <v>0</v>
      </c>
      <c r="I23" s="648">
        <v>0</v>
      </c>
      <c r="J23" s="681">
        <v>0</v>
      </c>
      <c r="K23" s="682">
        <v>0</v>
      </c>
      <c r="L23" s="229">
        <v>0</v>
      </c>
      <c r="M23" s="683">
        <v>0</v>
      </c>
      <c r="N23" s="632"/>
      <c r="O23" s="229">
        <v>0</v>
      </c>
      <c r="P23" s="683">
        <v>0</v>
      </c>
      <c r="Q23" s="687"/>
      <c r="R23" s="648">
        <v>0</v>
      </c>
      <c r="S23" s="639">
        <v>4.3022538721274983E-2</v>
      </c>
      <c r="T23" s="680">
        <v>0</v>
      </c>
      <c r="U23" s="684">
        <v>0</v>
      </c>
      <c r="V23" s="639">
        <v>0.10843870743143799</v>
      </c>
      <c r="W23" s="681">
        <v>0</v>
      </c>
      <c r="X23" s="684">
        <v>0</v>
      </c>
      <c r="Y23" s="681">
        <v>0</v>
      </c>
      <c r="Z23" s="685">
        <v>0</v>
      </c>
      <c r="AA23" s="229">
        <v>0</v>
      </c>
      <c r="AB23" s="632"/>
      <c r="AC23" s="229">
        <v>0</v>
      </c>
      <c r="AD23" s="229">
        <v>0</v>
      </c>
      <c r="AE23" s="229">
        <v>0</v>
      </c>
      <c r="AG23" s="636"/>
      <c r="AH23" s="636"/>
      <c r="AI23" s="637"/>
    </row>
    <row r="24" spans="1:35" s="635" customFormat="1" ht="15">
      <c r="A24" s="679">
        <v>1270</v>
      </c>
      <c r="B24" s="635" t="s">
        <v>665</v>
      </c>
      <c r="C24" s="648">
        <v>0</v>
      </c>
      <c r="D24" s="639">
        <v>4.1459570131959944E-2</v>
      </c>
      <c r="E24" s="680">
        <v>0</v>
      </c>
      <c r="F24" s="648">
        <v>0</v>
      </c>
      <c r="G24" s="639">
        <v>0.10936663962521412</v>
      </c>
      <c r="H24" s="681">
        <v>0</v>
      </c>
      <c r="I24" s="648">
        <v>0</v>
      </c>
      <c r="J24" s="681">
        <v>0</v>
      </c>
      <c r="K24" s="682">
        <v>0</v>
      </c>
      <c r="L24" s="229">
        <v>0</v>
      </c>
      <c r="M24" s="683">
        <v>0</v>
      </c>
      <c r="N24" s="632"/>
      <c r="O24" s="229">
        <v>0</v>
      </c>
      <c r="P24" s="683">
        <v>0</v>
      </c>
      <c r="Q24" s="687"/>
      <c r="R24" s="648">
        <v>19743.719999999998</v>
      </c>
      <c r="S24" s="639">
        <v>4.3022538721274983E-2</v>
      </c>
      <c r="T24" s="680">
        <v>849.42495820201123</v>
      </c>
      <c r="U24" s="648">
        <v>19743.719999999998</v>
      </c>
      <c r="V24" s="639">
        <v>0.10843870743143799</v>
      </c>
      <c r="W24" s="681">
        <v>2140.9834766882304</v>
      </c>
      <c r="X24" s="684">
        <v>0</v>
      </c>
      <c r="Y24" s="681">
        <v>2990.4084348902416</v>
      </c>
      <c r="Z24" s="685">
        <v>0</v>
      </c>
      <c r="AA24" s="229">
        <v>2990.4084348902416</v>
      </c>
      <c r="AB24" s="632"/>
      <c r="AC24" s="229">
        <v>2990.4084348902416</v>
      </c>
      <c r="AD24" s="229">
        <v>193.77846658088768</v>
      </c>
      <c r="AE24" s="229">
        <v>3184.1869014711292</v>
      </c>
      <c r="AG24" s="636"/>
      <c r="AH24" s="636"/>
      <c r="AI24" s="637"/>
    </row>
    <row r="25" spans="1:35" s="635" customFormat="1" ht="15">
      <c r="A25" s="679">
        <v>3125</v>
      </c>
      <c r="B25" s="635" t="s">
        <v>667</v>
      </c>
      <c r="C25" s="648">
        <v>0</v>
      </c>
      <c r="D25" s="639">
        <v>4.1459570131959944E-2</v>
      </c>
      <c r="E25" s="680">
        <v>0</v>
      </c>
      <c r="F25" s="648">
        <v>0</v>
      </c>
      <c r="G25" s="639">
        <v>0.10936663962521412</v>
      </c>
      <c r="H25" s="681">
        <v>0</v>
      </c>
      <c r="I25" s="648">
        <v>0</v>
      </c>
      <c r="J25" s="681">
        <v>0</v>
      </c>
      <c r="K25" s="682">
        <v>0</v>
      </c>
      <c r="L25" s="229">
        <v>0</v>
      </c>
      <c r="M25" s="683">
        <v>0</v>
      </c>
      <c r="N25" s="632"/>
      <c r="O25" s="229">
        <v>0</v>
      </c>
      <c r="P25" s="683">
        <v>0</v>
      </c>
      <c r="Q25" s="687"/>
      <c r="R25" s="648">
        <v>113674.35</v>
      </c>
      <c r="S25" s="639">
        <v>4.3022538721274983E-2</v>
      </c>
      <c r="T25" s="680">
        <v>4890.5591244907655</v>
      </c>
      <c r="U25" s="648">
        <v>113674.35</v>
      </c>
      <c r="V25" s="639">
        <v>0.10843870743143799</v>
      </c>
      <c r="W25" s="681">
        <v>12326.699582108884</v>
      </c>
      <c r="X25" s="684">
        <v>0</v>
      </c>
      <c r="Y25" s="681">
        <v>17217.258706599649</v>
      </c>
      <c r="Z25" s="685">
        <v>0</v>
      </c>
      <c r="AA25" s="229">
        <v>17217.258706599649</v>
      </c>
      <c r="AB25" s="632"/>
      <c r="AC25" s="229">
        <v>17217.258706599649</v>
      </c>
      <c r="AD25" s="229">
        <v>1115.6783641876575</v>
      </c>
      <c r="AE25" s="229">
        <v>18332.937070787306</v>
      </c>
      <c r="AG25" s="636"/>
      <c r="AH25" s="636"/>
      <c r="AI25" s="637"/>
    </row>
    <row r="26" spans="1:35" s="635" customFormat="1" ht="15">
      <c r="A26" s="688"/>
      <c r="B26" s="632"/>
      <c r="C26" s="648">
        <v>0</v>
      </c>
      <c r="D26" s="639">
        <v>4.1459570131959944E-2</v>
      </c>
      <c r="E26" s="680">
        <v>0</v>
      </c>
      <c r="F26" s="648">
        <v>0</v>
      </c>
      <c r="G26" s="639">
        <v>0.10936663962521412</v>
      </c>
      <c r="H26" s="681">
        <v>0</v>
      </c>
      <c r="I26" s="648">
        <v>0</v>
      </c>
      <c r="J26" s="681">
        <v>0</v>
      </c>
      <c r="K26" s="682">
        <v>0</v>
      </c>
      <c r="L26" s="229">
        <v>0</v>
      </c>
      <c r="M26" s="683">
        <v>0</v>
      </c>
      <c r="N26" s="632"/>
      <c r="O26" s="229">
        <v>0</v>
      </c>
      <c r="P26" s="683">
        <v>0</v>
      </c>
      <c r="Q26" s="687"/>
      <c r="R26" s="648">
        <v>0</v>
      </c>
      <c r="S26" s="639">
        <v>4.3022538721274983E-2</v>
      </c>
      <c r="T26" s="680">
        <v>0</v>
      </c>
      <c r="U26" s="684">
        <v>0</v>
      </c>
      <c r="V26" s="639">
        <v>0.10843870743143799</v>
      </c>
      <c r="W26" s="681">
        <v>0</v>
      </c>
      <c r="X26" s="684">
        <v>0</v>
      </c>
      <c r="Y26" s="681">
        <v>0</v>
      </c>
      <c r="Z26" s="685">
        <v>0</v>
      </c>
      <c r="AA26" s="229">
        <v>0</v>
      </c>
      <c r="AB26" s="632"/>
      <c r="AC26" s="229">
        <v>0</v>
      </c>
      <c r="AD26" s="229">
        <v>0</v>
      </c>
      <c r="AE26" s="229">
        <v>0</v>
      </c>
      <c r="AG26" s="636"/>
      <c r="AH26" s="636"/>
      <c r="AI26" s="637"/>
    </row>
    <row r="27" spans="1:35" s="635" customFormat="1" ht="15">
      <c r="A27" s="688"/>
      <c r="B27" s="632"/>
      <c r="C27" s="648">
        <v>0</v>
      </c>
      <c r="D27" s="639">
        <v>4.1459570131959944E-2</v>
      </c>
      <c r="E27" s="680">
        <v>0</v>
      </c>
      <c r="F27" s="648">
        <v>0</v>
      </c>
      <c r="G27" s="639">
        <v>0.10936663962521412</v>
      </c>
      <c r="H27" s="681">
        <v>0</v>
      </c>
      <c r="I27" s="648">
        <v>0</v>
      </c>
      <c r="J27" s="681">
        <v>0</v>
      </c>
      <c r="K27" s="682">
        <v>0</v>
      </c>
      <c r="L27" s="229">
        <v>0</v>
      </c>
      <c r="M27" s="683">
        <v>0</v>
      </c>
      <c r="N27" s="632"/>
      <c r="O27" s="229">
        <v>0</v>
      </c>
      <c r="P27" s="683">
        <v>0</v>
      </c>
      <c r="Q27" s="632"/>
      <c r="R27" s="684">
        <v>0</v>
      </c>
      <c r="S27" s="639">
        <v>4.3022538721274983E-2</v>
      </c>
      <c r="T27" s="680">
        <v>0</v>
      </c>
      <c r="U27" s="684">
        <v>0</v>
      </c>
      <c r="V27" s="639">
        <v>0.10843870743143799</v>
      </c>
      <c r="W27" s="681">
        <v>0</v>
      </c>
      <c r="X27" s="684">
        <v>0</v>
      </c>
      <c r="Y27" s="681">
        <v>0</v>
      </c>
      <c r="Z27" s="685">
        <v>0</v>
      </c>
      <c r="AA27" s="229">
        <v>0</v>
      </c>
      <c r="AB27" s="632"/>
      <c r="AC27" s="229">
        <v>0</v>
      </c>
      <c r="AD27" s="229">
        <v>0</v>
      </c>
      <c r="AE27" s="229">
        <v>0</v>
      </c>
      <c r="AG27" s="636"/>
      <c r="AH27" s="636"/>
      <c r="AI27" s="637"/>
    </row>
    <row r="28" spans="1:35" s="635" customFormat="1" ht="15">
      <c r="A28" s="688"/>
      <c r="B28" s="632"/>
      <c r="C28" s="648">
        <v>0</v>
      </c>
      <c r="D28" s="639">
        <v>4.1459570131959944E-2</v>
      </c>
      <c r="E28" s="680">
        <v>0</v>
      </c>
      <c r="F28" s="648">
        <v>0</v>
      </c>
      <c r="G28" s="639">
        <v>0.10936663962521412</v>
      </c>
      <c r="H28" s="681">
        <v>0</v>
      </c>
      <c r="I28" s="648">
        <v>0</v>
      </c>
      <c r="J28" s="681">
        <v>0</v>
      </c>
      <c r="K28" s="682">
        <v>0</v>
      </c>
      <c r="L28" s="229">
        <v>0</v>
      </c>
      <c r="M28" s="683">
        <v>0</v>
      </c>
      <c r="N28" s="632"/>
      <c r="O28" s="229">
        <v>0</v>
      </c>
      <c r="P28" s="683">
        <v>0</v>
      </c>
      <c r="Q28" s="632"/>
      <c r="R28" s="684">
        <v>0</v>
      </c>
      <c r="S28" s="639">
        <v>4.3022538721274983E-2</v>
      </c>
      <c r="T28" s="680">
        <v>0</v>
      </c>
      <c r="U28" s="684">
        <v>0</v>
      </c>
      <c r="V28" s="639">
        <v>0.10843870743143799</v>
      </c>
      <c r="W28" s="681">
        <v>0</v>
      </c>
      <c r="X28" s="684">
        <v>0</v>
      </c>
      <c r="Y28" s="681">
        <v>0</v>
      </c>
      <c r="Z28" s="685">
        <v>0</v>
      </c>
      <c r="AA28" s="229">
        <v>0</v>
      </c>
      <c r="AB28" s="632"/>
      <c r="AC28" s="229">
        <v>0</v>
      </c>
      <c r="AD28" s="229">
        <v>0</v>
      </c>
      <c r="AE28" s="229">
        <v>0</v>
      </c>
      <c r="AG28" s="636"/>
      <c r="AH28" s="636"/>
      <c r="AI28" s="637"/>
    </row>
    <row r="29" spans="1:35" s="635" customFormat="1" ht="15">
      <c r="A29" s="688"/>
      <c r="B29" s="632"/>
      <c r="C29" s="648">
        <v>0</v>
      </c>
      <c r="D29" s="639">
        <v>4.1459570131959944E-2</v>
      </c>
      <c r="E29" s="680">
        <v>0</v>
      </c>
      <c r="F29" s="648">
        <v>0</v>
      </c>
      <c r="G29" s="639">
        <v>0.10936663962521412</v>
      </c>
      <c r="H29" s="681">
        <v>0</v>
      </c>
      <c r="I29" s="648">
        <v>0</v>
      </c>
      <c r="J29" s="681">
        <v>0</v>
      </c>
      <c r="K29" s="682">
        <v>0</v>
      </c>
      <c r="L29" s="229">
        <v>0</v>
      </c>
      <c r="M29" s="683">
        <v>0</v>
      </c>
      <c r="N29" s="632"/>
      <c r="O29" s="229">
        <v>0</v>
      </c>
      <c r="P29" s="683">
        <v>0</v>
      </c>
      <c r="Q29" s="632"/>
      <c r="R29" s="684">
        <v>0</v>
      </c>
      <c r="S29" s="639">
        <v>4.3022538721274983E-2</v>
      </c>
      <c r="T29" s="680">
        <v>0</v>
      </c>
      <c r="U29" s="684">
        <v>0</v>
      </c>
      <c r="V29" s="639">
        <v>0.10843870743143799</v>
      </c>
      <c r="W29" s="681">
        <v>0</v>
      </c>
      <c r="X29" s="684">
        <v>0</v>
      </c>
      <c r="Y29" s="681">
        <v>0</v>
      </c>
      <c r="Z29" s="685">
        <v>0</v>
      </c>
      <c r="AA29" s="229">
        <v>0</v>
      </c>
      <c r="AB29" s="632"/>
      <c r="AC29" s="229">
        <v>0</v>
      </c>
      <c r="AD29" s="229">
        <v>0</v>
      </c>
      <c r="AE29" s="229">
        <v>0</v>
      </c>
      <c r="AG29" s="636"/>
      <c r="AH29" s="636"/>
      <c r="AI29" s="637"/>
    </row>
    <row r="30" spans="1:35" s="635" customFormat="1" ht="15">
      <c r="A30" s="689"/>
      <c r="B30" s="690"/>
      <c r="C30" s="690"/>
      <c r="D30" s="690"/>
      <c r="E30" s="691"/>
      <c r="F30" s="690"/>
      <c r="G30" s="690"/>
      <c r="H30" s="692"/>
      <c r="I30" s="690"/>
      <c r="J30" s="692"/>
      <c r="K30" s="690"/>
      <c r="L30" s="692"/>
      <c r="M30" s="692"/>
      <c r="N30" s="632"/>
      <c r="O30" s="692"/>
      <c r="P30" s="692"/>
      <c r="Q30" s="632"/>
      <c r="R30" s="693"/>
      <c r="S30" s="690"/>
      <c r="T30" s="691"/>
      <c r="U30" s="690"/>
      <c r="V30" s="690"/>
      <c r="W30" s="692"/>
      <c r="X30" s="690"/>
      <c r="Y30" s="692"/>
      <c r="Z30" s="690"/>
      <c r="AA30" s="692"/>
      <c r="AB30" s="632"/>
      <c r="AC30" s="692"/>
      <c r="AD30" s="692"/>
      <c r="AE30" s="692"/>
      <c r="AG30" s="636"/>
      <c r="AH30" s="636"/>
      <c r="AI30" s="637"/>
    </row>
    <row r="31" spans="1:35" s="635" customFormat="1" ht="15">
      <c r="A31" s="641"/>
      <c r="B31" s="641" t="s">
        <v>346</v>
      </c>
      <c r="C31" s="694"/>
      <c r="D31" s="694"/>
      <c r="E31" s="642"/>
      <c r="F31" s="640"/>
      <c r="G31" s="640"/>
      <c r="H31" s="640"/>
      <c r="I31" s="640"/>
      <c r="J31" s="645">
        <v>65085316.333327465</v>
      </c>
      <c r="K31" s="645">
        <v>-5476455.1855789609</v>
      </c>
      <c r="L31" s="645">
        <v>59608861.147748493</v>
      </c>
      <c r="M31" s="175">
        <v>1.0000000000000002</v>
      </c>
      <c r="N31" s="632"/>
      <c r="O31" s="645">
        <v>62850575.014421068</v>
      </c>
      <c r="P31" s="175">
        <v>1</v>
      </c>
      <c r="Q31" s="632"/>
      <c r="R31" s="694"/>
      <c r="S31" s="694"/>
      <c r="T31" s="642"/>
      <c r="U31" s="640"/>
      <c r="V31" s="640"/>
      <c r="W31" s="640"/>
      <c r="X31" s="640"/>
      <c r="Y31" s="645">
        <v>66865477.179628372</v>
      </c>
      <c r="Z31" s="645">
        <v>-5476454.8008886985</v>
      </c>
      <c r="AA31" s="645">
        <v>61389022.378739677</v>
      </c>
      <c r="AB31" s="632"/>
      <c r="AC31" s="645">
        <v>-1461552.6356813847</v>
      </c>
      <c r="AD31" s="645">
        <v>-94708.610792153675</v>
      </c>
      <c r="AE31" s="645">
        <v>-1556261.2464735371</v>
      </c>
      <c r="AG31" s="636"/>
      <c r="AH31" s="636"/>
      <c r="AI31" s="637"/>
    </row>
    <row r="32" spans="1:35" s="635" customFormat="1" ht="15">
      <c r="A32" s="632"/>
      <c r="B32" s="632"/>
      <c r="C32" s="632"/>
      <c r="D32" s="632"/>
      <c r="E32" s="633"/>
      <c r="F32" s="632"/>
      <c r="G32" s="632"/>
      <c r="H32" s="632"/>
      <c r="I32" s="632"/>
      <c r="J32" s="632"/>
      <c r="K32" s="634"/>
      <c r="L32" s="632"/>
      <c r="M32" s="632"/>
      <c r="N32" s="632"/>
      <c r="O32" s="632"/>
      <c r="P32" s="632"/>
      <c r="Q32" s="632"/>
      <c r="R32" s="632"/>
      <c r="S32" s="632"/>
      <c r="T32" s="633"/>
      <c r="U32" s="632"/>
      <c r="V32" s="632"/>
      <c r="W32" s="632"/>
      <c r="X32" s="632"/>
      <c r="Y32" s="632"/>
      <c r="Z32" s="634"/>
      <c r="AA32" s="632"/>
      <c r="AB32" s="632"/>
      <c r="AC32" s="632"/>
      <c r="AD32" s="632"/>
      <c r="AE32" s="632"/>
      <c r="AG32" s="636"/>
      <c r="AH32" s="636"/>
      <c r="AI32" s="637"/>
    </row>
    <row r="33" spans="1:35" s="635" customFormat="1" ht="15.75">
      <c r="A33" s="695" t="s">
        <v>590</v>
      </c>
      <c r="B33" s="696"/>
      <c r="C33" s="632"/>
      <c r="D33" s="632"/>
      <c r="E33" s="633"/>
      <c r="F33" s="632"/>
      <c r="G33" s="632"/>
      <c r="H33" s="632"/>
      <c r="I33" s="632"/>
      <c r="J33" s="697"/>
      <c r="K33" s="634"/>
      <c r="L33" s="632"/>
      <c r="M33" s="632"/>
      <c r="N33" s="632"/>
      <c r="O33" s="632"/>
      <c r="P33" s="632"/>
      <c r="Q33" s="632"/>
      <c r="R33" s="632"/>
      <c r="S33" s="632"/>
      <c r="T33" s="633"/>
      <c r="U33" s="632"/>
      <c r="V33" s="632"/>
      <c r="W33" s="632"/>
      <c r="X33" s="632"/>
      <c r="Y33" s="697"/>
      <c r="Z33" s="634"/>
      <c r="AA33" s="632"/>
      <c r="AB33" s="632"/>
      <c r="AC33" s="632"/>
      <c r="AD33" s="632"/>
      <c r="AE33" s="632"/>
      <c r="AG33" s="636"/>
      <c r="AH33" s="636"/>
      <c r="AI33" s="637"/>
    </row>
    <row r="34" spans="1:35" s="635" customFormat="1" ht="15.75">
      <c r="A34" s="698" t="s">
        <v>711</v>
      </c>
      <c r="B34" s="632"/>
      <c r="C34" s="632"/>
      <c r="D34" s="632"/>
      <c r="E34" s="633"/>
      <c r="F34" s="632"/>
      <c r="G34" s="632"/>
      <c r="H34" s="632"/>
      <c r="I34" s="632"/>
      <c r="J34" s="632"/>
      <c r="K34" s="634"/>
      <c r="L34" s="632"/>
      <c r="M34" s="632"/>
      <c r="N34" s="632"/>
      <c r="O34" s="632"/>
      <c r="P34" s="632"/>
      <c r="Q34" s="632"/>
      <c r="R34" s="632"/>
      <c r="S34" s="632"/>
      <c r="T34" s="633"/>
      <c r="U34" s="632"/>
      <c r="V34" s="632"/>
      <c r="W34" s="632"/>
      <c r="X34" s="632"/>
      <c r="Y34" s="632"/>
      <c r="Z34" s="634"/>
      <c r="AA34" s="632"/>
      <c r="AB34" s="632"/>
      <c r="AC34" s="632"/>
      <c r="AD34" s="632"/>
      <c r="AE34" s="632"/>
      <c r="AG34" s="632"/>
      <c r="AH34" s="632"/>
    </row>
    <row r="35" spans="1:35" s="635" customFormat="1" ht="15.75">
      <c r="A35" s="698" t="s">
        <v>712</v>
      </c>
      <c r="B35" s="632"/>
      <c r="C35" s="632"/>
      <c r="D35" s="632"/>
      <c r="E35" s="633"/>
      <c r="F35" s="632"/>
      <c r="G35" s="632"/>
      <c r="H35" s="632"/>
      <c r="I35" s="632"/>
      <c r="J35" s="632"/>
      <c r="K35" s="634"/>
      <c r="L35" s="632"/>
      <c r="M35" s="632"/>
      <c r="N35" s="632"/>
      <c r="O35" s="632"/>
      <c r="P35" s="632"/>
      <c r="Q35" s="632"/>
      <c r="R35" s="632"/>
      <c r="S35" s="632"/>
      <c r="T35" s="633"/>
      <c r="U35" s="632"/>
      <c r="V35" s="632"/>
      <c r="W35" s="632"/>
      <c r="X35" s="632"/>
      <c r="Y35" s="632"/>
      <c r="Z35" s="634"/>
      <c r="AA35" s="632"/>
      <c r="AB35" s="632"/>
      <c r="AC35" s="632"/>
      <c r="AD35" s="632"/>
      <c r="AE35" s="632"/>
      <c r="AG35" s="632"/>
      <c r="AH35" s="632"/>
    </row>
    <row r="36" spans="1:35" s="635" customFormat="1" ht="15.75">
      <c r="A36" s="698" t="s">
        <v>713</v>
      </c>
      <c r="B36" s="632"/>
      <c r="C36" s="632"/>
      <c r="D36" s="632"/>
      <c r="E36" s="633"/>
      <c r="F36" s="632"/>
      <c r="G36" s="632"/>
      <c r="H36" s="632"/>
      <c r="I36" s="632"/>
      <c r="J36" s="632"/>
      <c r="K36" s="632"/>
      <c r="L36" s="632"/>
      <c r="M36" s="632"/>
      <c r="N36" s="632"/>
      <c r="O36" s="632"/>
      <c r="P36" s="632"/>
      <c r="Q36" s="632"/>
      <c r="R36" s="632"/>
      <c r="S36" s="632"/>
      <c r="T36" s="633"/>
      <c r="U36" s="632"/>
      <c r="V36" s="632"/>
      <c r="W36" s="632"/>
      <c r="X36" s="632"/>
      <c r="Y36" s="632"/>
      <c r="Z36" s="632"/>
      <c r="AA36" s="632"/>
      <c r="AB36" s="632"/>
      <c r="AC36" s="632"/>
      <c r="AD36" s="632"/>
      <c r="AE36" s="632"/>
      <c r="AG36" s="632"/>
      <c r="AH36" s="632"/>
    </row>
    <row r="37" spans="1:35" s="635" customFormat="1" ht="15.75">
      <c r="A37" s="698" t="s">
        <v>714</v>
      </c>
      <c r="B37" s="632"/>
      <c r="C37" s="632"/>
      <c r="D37" s="632"/>
      <c r="E37" s="633"/>
      <c r="F37" s="632"/>
      <c r="G37" s="632"/>
      <c r="H37" s="632"/>
      <c r="I37" s="632"/>
      <c r="J37" s="632"/>
      <c r="K37" s="632"/>
      <c r="L37" s="632"/>
      <c r="M37" s="632"/>
      <c r="N37" s="632"/>
      <c r="O37" s="632"/>
      <c r="P37" s="632"/>
      <c r="Q37" s="632"/>
      <c r="R37" s="632"/>
      <c r="S37" s="632"/>
      <c r="T37" s="633"/>
      <c r="U37" s="632"/>
      <c r="V37" s="632"/>
      <c r="W37" s="632"/>
      <c r="X37" s="632"/>
      <c r="Y37" s="632"/>
      <c r="Z37" s="632"/>
      <c r="AA37" s="632"/>
      <c r="AB37" s="632"/>
      <c r="AC37" s="632"/>
      <c r="AD37" s="632"/>
      <c r="AE37" s="632"/>
      <c r="AG37" s="632"/>
      <c r="AH37" s="632"/>
    </row>
    <row r="38" spans="1:35" s="635" customFormat="1" ht="15.75">
      <c r="A38" s="698" t="s">
        <v>715</v>
      </c>
      <c r="B38" s="699"/>
      <c r="C38" s="699"/>
      <c r="D38" s="699"/>
      <c r="E38" s="699"/>
      <c r="F38" s="699"/>
      <c r="G38" s="699"/>
      <c r="H38" s="699"/>
      <c r="I38" s="699"/>
      <c r="J38" s="699"/>
      <c r="K38" s="699"/>
      <c r="L38" s="699"/>
      <c r="M38" s="632"/>
      <c r="N38" s="632"/>
      <c r="O38" s="632"/>
      <c r="P38" s="632"/>
      <c r="Q38" s="632"/>
      <c r="R38" s="632"/>
      <c r="AB38" s="632"/>
      <c r="AC38" s="632"/>
      <c r="AD38" s="632"/>
      <c r="AE38" s="632"/>
      <c r="AG38" s="632"/>
      <c r="AH38" s="632"/>
    </row>
    <row r="39" spans="1:35" s="635" customFormat="1" ht="15.75">
      <c r="A39" s="700" t="s">
        <v>716</v>
      </c>
      <c r="B39" s="699"/>
      <c r="C39" s="699"/>
      <c r="D39" s="699"/>
      <c r="E39" s="699"/>
      <c r="F39" s="699"/>
      <c r="G39" s="699"/>
      <c r="H39" s="699"/>
      <c r="I39" s="699"/>
      <c r="J39" s="699"/>
      <c r="K39" s="699"/>
      <c r="L39" s="699"/>
      <c r="M39" s="632"/>
      <c r="N39" s="632"/>
      <c r="O39" s="632"/>
      <c r="P39" s="632"/>
      <c r="Q39" s="632"/>
      <c r="R39" s="632"/>
      <c r="AB39" s="632"/>
      <c r="AC39" s="632"/>
      <c r="AD39" s="632"/>
      <c r="AE39" s="632"/>
      <c r="AG39" s="632"/>
      <c r="AH39" s="632"/>
    </row>
    <row r="40" spans="1:35" s="635" customFormat="1" ht="15.75" thickBot="1">
      <c r="A40" s="701"/>
      <c r="B40" s="701"/>
      <c r="C40" s="701"/>
      <c r="D40" s="701"/>
      <c r="E40" s="702"/>
      <c r="F40" s="701"/>
      <c r="G40" s="701"/>
      <c r="H40" s="701"/>
      <c r="I40" s="701"/>
      <c r="J40" s="701"/>
      <c r="K40" s="701"/>
      <c r="L40" s="701"/>
      <c r="M40" s="701"/>
      <c r="N40" s="701"/>
      <c r="O40" s="701"/>
      <c r="P40" s="701"/>
      <c r="Q40" s="701"/>
      <c r="R40" s="701"/>
      <c r="S40" s="701"/>
      <c r="T40" s="702"/>
      <c r="U40" s="701"/>
      <c r="V40" s="701"/>
      <c r="W40" s="701"/>
      <c r="X40" s="701"/>
      <c r="Y40" s="701"/>
      <c r="Z40" s="701"/>
      <c r="AA40" s="701"/>
      <c r="AB40" s="701"/>
      <c r="AC40" s="701"/>
      <c r="AD40" s="701"/>
      <c r="AE40" s="701"/>
      <c r="AF40" s="703"/>
      <c r="AG40" s="632"/>
      <c r="AH40" s="632"/>
    </row>
  </sheetData>
  <mergeCells count="4">
    <mergeCell ref="C1:M1"/>
    <mergeCell ref="O1:P1"/>
    <mergeCell ref="R1:AA1"/>
    <mergeCell ref="AC1:AE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zoomScale="80" zoomScaleNormal="80" workbookViewId="0">
      <pane xSplit="2" ySplit="11" topLeftCell="Y12" activePane="bottomRight" state="frozen"/>
      <selection pane="topRight" activeCell="C1" sqref="C1"/>
      <selection pane="bottomLeft" activeCell="A59" sqref="A59"/>
      <selection pane="bottomRight" activeCell="AD36" sqref="AD36"/>
    </sheetView>
  </sheetViews>
  <sheetFormatPr defaultRowHeight="12.75"/>
  <cols>
    <col min="1" max="1" width="13.140625" style="537" customWidth="1"/>
    <col min="2" max="2" width="69.42578125" style="537" bestFit="1" customWidth="1"/>
    <col min="3" max="3" width="14.28515625" style="537" bestFit="1" customWidth="1"/>
    <col min="4" max="4" width="11" style="537" bestFit="1" customWidth="1"/>
    <col min="5" max="5" width="11.5703125" style="537" bestFit="1" customWidth="1"/>
    <col min="6" max="6" width="23.42578125" style="537" customWidth="1"/>
    <col min="7" max="7" width="11.42578125" style="537" bestFit="1" customWidth="1"/>
    <col min="8" max="8" width="21.85546875" style="537" customWidth="1"/>
    <col min="9" max="9" width="11" style="537" bestFit="1" customWidth="1"/>
    <col min="10" max="10" width="14.28515625" style="537" bestFit="1" customWidth="1"/>
    <col min="11" max="11" width="11.42578125" style="537" bestFit="1" customWidth="1"/>
    <col min="12" max="12" width="12.28515625" style="537" bestFit="1" customWidth="1"/>
    <col min="13" max="13" width="11" style="537" bestFit="1" customWidth="1"/>
    <col min="14" max="14" width="10.140625" style="537" bestFit="1" customWidth="1"/>
    <col min="15" max="15" width="12.28515625" style="537" bestFit="1" customWidth="1"/>
    <col min="16" max="16" width="11" style="537" bestFit="1" customWidth="1"/>
    <col min="17" max="17" width="14.42578125" style="537" bestFit="1" customWidth="1"/>
    <col min="18" max="18" width="11.42578125" style="537" bestFit="1" customWidth="1"/>
    <col min="19" max="19" width="9.140625" style="537"/>
    <col min="20" max="20" width="15.5703125" style="537" bestFit="1" customWidth="1"/>
    <col min="21" max="21" width="10.7109375" style="537" bestFit="1" customWidth="1"/>
    <col min="22" max="22" width="9.140625" style="537"/>
    <col min="23" max="23" width="14.28515625" style="537" bestFit="1" customWidth="1"/>
    <col min="24" max="24" width="11" style="537" bestFit="1" customWidth="1"/>
    <col min="25" max="25" width="11.5703125" style="537" bestFit="1" customWidth="1"/>
    <col min="26" max="26" width="17.85546875" style="537" customWidth="1"/>
    <col min="27" max="27" width="11.42578125" style="537" bestFit="1" customWidth="1"/>
    <col min="28" max="28" width="18.140625" style="537" customWidth="1"/>
    <col min="29" max="29" width="11" style="537" bestFit="1" customWidth="1"/>
    <col min="30" max="30" width="14.28515625" style="537" bestFit="1" customWidth="1"/>
    <col min="31" max="31" width="11.42578125" style="537" bestFit="1" customWidth="1"/>
    <col min="32" max="32" width="12.28515625" style="537" bestFit="1" customWidth="1"/>
    <col min="33" max="33" width="11" style="537" bestFit="1" customWidth="1"/>
    <col min="34" max="35" width="14.28515625" style="537" bestFit="1" customWidth="1"/>
    <col min="36" max="36" width="11" style="537" bestFit="1" customWidth="1"/>
    <col min="37" max="37" width="14.42578125" style="537" bestFit="1" customWidth="1"/>
    <col min="38" max="38" width="9.140625" style="537"/>
    <col min="39" max="39" width="14.28515625" style="537" bestFit="1" customWidth="1"/>
    <col min="40" max="40" width="12.85546875" style="537" bestFit="1" customWidth="1"/>
    <col min="41" max="41" width="21.140625" style="537" customWidth="1"/>
    <col min="42" max="256" width="9.140625" style="537"/>
    <col min="257" max="257" width="13.140625" style="537" customWidth="1"/>
    <col min="258" max="258" width="69.42578125" style="537" bestFit="1" customWidth="1"/>
    <col min="259" max="259" width="14.28515625" style="537" bestFit="1" customWidth="1"/>
    <col min="260" max="260" width="11" style="537" bestFit="1" customWidth="1"/>
    <col min="261" max="261" width="11.5703125" style="537" bestFit="1" customWidth="1"/>
    <col min="262" max="262" width="23.42578125" style="537" customWidth="1"/>
    <col min="263" max="263" width="11.42578125" style="537" bestFit="1" customWidth="1"/>
    <col min="264" max="264" width="21.85546875" style="537" customWidth="1"/>
    <col min="265" max="265" width="11" style="537" bestFit="1" customWidth="1"/>
    <col min="266" max="266" width="14.28515625" style="537" bestFit="1" customWidth="1"/>
    <col min="267" max="267" width="11.42578125" style="537" bestFit="1" customWidth="1"/>
    <col min="268" max="268" width="12.28515625" style="537" bestFit="1" customWidth="1"/>
    <col min="269" max="269" width="11" style="537" bestFit="1" customWidth="1"/>
    <col min="270" max="270" width="10.140625" style="537" bestFit="1" customWidth="1"/>
    <col min="271" max="271" width="12.28515625" style="537" bestFit="1" customWidth="1"/>
    <col min="272" max="272" width="11" style="537" bestFit="1" customWidth="1"/>
    <col min="273" max="273" width="14.42578125" style="537" bestFit="1" customWidth="1"/>
    <col min="274" max="274" width="11.42578125" style="537" bestFit="1" customWidth="1"/>
    <col min="275" max="275" width="9.140625" style="537"/>
    <col min="276" max="276" width="15.5703125" style="537" bestFit="1" customWidth="1"/>
    <col min="277" max="277" width="10.7109375" style="537" bestFit="1" customWidth="1"/>
    <col min="278" max="278" width="9.140625" style="537"/>
    <col min="279" max="279" width="14.28515625" style="537" bestFit="1" customWidth="1"/>
    <col min="280" max="280" width="11" style="537" bestFit="1" customWidth="1"/>
    <col min="281" max="281" width="11.5703125" style="537" bestFit="1" customWidth="1"/>
    <col min="282" max="282" width="17.85546875" style="537" customWidth="1"/>
    <col min="283" max="283" width="11.42578125" style="537" bestFit="1" customWidth="1"/>
    <col min="284" max="284" width="18.140625" style="537" customWidth="1"/>
    <col min="285" max="285" width="11" style="537" bestFit="1" customWidth="1"/>
    <col min="286" max="286" width="14.28515625" style="537" bestFit="1" customWidth="1"/>
    <col min="287" max="287" width="11.42578125" style="537" bestFit="1" customWidth="1"/>
    <col min="288" max="288" width="12.28515625" style="537" bestFit="1" customWidth="1"/>
    <col min="289" max="289" width="11" style="537" bestFit="1" customWidth="1"/>
    <col min="290" max="291" width="14.28515625" style="537" bestFit="1" customWidth="1"/>
    <col min="292" max="292" width="11" style="537" bestFit="1" customWidth="1"/>
    <col min="293" max="293" width="14.42578125" style="537" bestFit="1" customWidth="1"/>
    <col min="294" max="294" width="9.140625" style="537"/>
    <col min="295" max="295" width="14.28515625" style="537" bestFit="1" customWidth="1"/>
    <col min="296" max="296" width="12.85546875" style="537" bestFit="1" customWidth="1"/>
    <col min="297" max="297" width="21.140625" style="537" customWidth="1"/>
    <col min="298" max="512" width="9.140625" style="537"/>
    <col min="513" max="513" width="13.140625" style="537" customWidth="1"/>
    <col min="514" max="514" width="69.42578125" style="537" bestFit="1" customWidth="1"/>
    <col min="515" max="515" width="14.28515625" style="537" bestFit="1" customWidth="1"/>
    <col min="516" max="516" width="11" style="537" bestFit="1" customWidth="1"/>
    <col min="517" max="517" width="11.5703125" style="537" bestFit="1" customWidth="1"/>
    <col min="518" max="518" width="23.42578125" style="537" customWidth="1"/>
    <col min="519" max="519" width="11.42578125" style="537" bestFit="1" customWidth="1"/>
    <col min="520" max="520" width="21.85546875" style="537" customWidth="1"/>
    <col min="521" max="521" width="11" style="537" bestFit="1" customWidth="1"/>
    <col min="522" max="522" width="14.28515625" style="537" bestFit="1" customWidth="1"/>
    <col min="523" max="523" width="11.42578125" style="537" bestFit="1" customWidth="1"/>
    <col min="524" max="524" width="12.28515625" style="537" bestFit="1" customWidth="1"/>
    <col min="525" max="525" width="11" style="537" bestFit="1" customWidth="1"/>
    <col min="526" max="526" width="10.140625" style="537" bestFit="1" customWidth="1"/>
    <col min="527" max="527" width="12.28515625" style="537" bestFit="1" customWidth="1"/>
    <col min="528" max="528" width="11" style="537" bestFit="1" customWidth="1"/>
    <col min="529" max="529" width="14.42578125" style="537" bestFit="1" customWidth="1"/>
    <col min="530" max="530" width="11.42578125" style="537" bestFit="1" customWidth="1"/>
    <col min="531" max="531" width="9.140625" style="537"/>
    <col min="532" max="532" width="15.5703125" style="537" bestFit="1" customWidth="1"/>
    <col min="533" max="533" width="10.7109375" style="537" bestFit="1" customWidth="1"/>
    <col min="534" max="534" width="9.140625" style="537"/>
    <col min="535" max="535" width="14.28515625" style="537" bestFit="1" customWidth="1"/>
    <col min="536" max="536" width="11" style="537" bestFit="1" customWidth="1"/>
    <col min="537" max="537" width="11.5703125" style="537" bestFit="1" customWidth="1"/>
    <col min="538" max="538" width="17.85546875" style="537" customWidth="1"/>
    <col min="539" max="539" width="11.42578125" style="537" bestFit="1" customWidth="1"/>
    <col min="540" max="540" width="18.140625" style="537" customWidth="1"/>
    <col min="541" max="541" width="11" style="537" bestFit="1" customWidth="1"/>
    <col min="542" max="542" width="14.28515625" style="537" bestFit="1" customWidth="1"/>
    <col min="543" max="543" width="11.42578125" style="537" bestFit="1" customWidth="1"/>
    <col min="544" max="544" width="12.28515625" style="537" bestFit="1" customWidth="1"/>
    <col min="545" max="545" width="11" style="537" bestFit="1" customWidth="1"/>
    <col min="546" max="547" width="14.28515625" style="537" bestFit="1" customWidth="1"/>
    <col min="548" max="548" width="11" style="537" bestFit="1" customWidth="1"/>
    <col min="549" max="549" width="14.42578125" style="537" bestFit="1" customWidth="1"/>
    <col min="550" max="550" width="9.140625" style="537"/>
    <col min="551" max="551" width="14.28515625" style="537" bestFit="1" customWidth="1"/>
    <col min="552" max="552" width="12.85546875" style="537" bestFit="1" customWidth="1"/>
    <col min="553" max="553" width="21.140625" style="537" customWidth="1"/>
    <col min="554" max="768" width="9.140625" style="537"/>
    <col min="769" max="769" width="13.140625" style="537" customWidth="1"/>
    <col min="770" max="770" width="69.42578125" style="537" bestFit="1" customWidth="1"/>
    <col min="771" max="771" width="14.28515625" style="537" bestFit="1" customWidth="1"/>
    <col min="772" max="772" width="11" style="537" bestFit="1" customWidth="1"/>
    <col min="773" max="773" width="11.5703125" style="537" bestFit="1" customWidth="1"/>
    <col min="774" max="774" width="23.42578125" style="537" customWidth="1"/>
    <col min="775" max="775" width="11.42578125" style="537" bestFit="1" customWidth="1"/>
    <col min="776" max="776" width="21.85546875" style="537" customWidth="1"/>
    <col min="777" max="777" width="11" style="537" bestFit="1" customWidth="1"/>
    <col min="778" max="778" width="14.28515625" style="537" bestFit="1" customWidth="1"/>
    <col min="779" max="779" width="11.42578125" style="537" bestFit="1" customWidth="1"/>
    <col min="780" max="780" width="12.28515625" style="537" bestFit="1" customWidth="1"/>
    <col min="781" max="781" width="11" style="537" bestFit="1" customWidth="1"/>
    <col min="782" max="782" width="10.140625" style="537" bestFit="1" customWidth="1"/>
    <col min="783" max="783" width="12.28515625" style="537" bestFit="1" customWidth="1"/>
    <col min="784" max="784" width="11" style="537" bestFit="1" customWidth="1"/>
    <col min="785" max="785" width="14.42578125" style="537" bestFit="1" customWidth="1"/>
    <col min="786" max="786" width="11.42578125" style="537" bestFit="1" customWidth="1"/>
    <col min="787" max="787" width="9.140625" style="537"/>
    <col min="788" max="788" width="15.5703125" style="537" bestFit="1" customWidth="1"/>
    <col min="789" max="789" width="10.7109375" style="537" bestFit="1" customWidth="1"/>
    <col min="790" max="790" width="9.140625" style="537"/>
    <col min="791" max="791" width="14.28515625" style="537" bestFit="1" customWidth="1"/>
    <col min="792" max="792" width="11" style="537" bestFit="1" customWidth="1"/>
    <col min="793" max="793" width="11.5703125" style="537" bestFit="1" customWidth="1"/>
    <col min="794" max="794" width="17.85546875" style="537" customWidth="1"/>
    <col min="795" max="795" width="11.42578125" style="537" bestFit="1" customWidth="1"/>
    <col min="796" max="796" width="18.140625" style="537" customWidth="1"/>
    <col min="797" max="797" width="11" style="537" bestFit="1" customWidth="1"/>
    <col min="798" max="798" width="14.28515625" style="537" bestFit="1" customWidth="1"/>
    <col min="799" max="799" width="11.42578125" style="537" bestFit="1" customWidth="1"/>
    <col min="800" max="800" width="12.28515625" style="537" bestFit="1" customWidth="1"/>
    <col min="801" max="801" width="11" style="537" bestFit="1" customWidth="1"/>
    <col min="802" max="803" width="14.28515625" style="537" bestFit="1" customWidth="1"/>
    <col min="804" max="804" width="11" style="537" bestFit="1" customWidth="1"/>
    <col min="805" max="805" width="14.42578125" style="537" bestFit="1" customWidth="1"/>
    <col min="806" max="806" width="9.140625" style="537"/>
    <col min="807" max="807" width="14.28515625" style="537" bestFit="1" customWidth="1"/>
    <col min="808" max="808" width="12.85546875" style="537" bestFit="1" customWidth="1"/>
    <col min="809" max="809" width="21.140625" style="537" customWidth="1"/>
    <col min="810" max="1024" width="9.140625" style="537"/>
    <col min="1025" max="1025" width="13.140625" style="537" customWidth="1"/>
    <col min="1026" max="1026" width="69.42578125" style="537" bestFit="1" customWidth="1"/>
    <col min="1027" max="1027" width="14.28515625" style="537" bestFit="1" customWidth="1"/>
    <col min="1028" max="1028" width="11" style="537" bestFit="1" customWidth="1"/>
    <col min="1029" max="1029" width="11.5703125" style="537" bestFit="1" customWidth="1"/>
    <col min="1030" max="1030" width="23.42578125" style="537" customWidth="1"/>
    <col min="1031" max="1031" width="11.42578125" style="537" bestFit="1" customWidth="1"/>
    <col min="1032" max="1032" width="21.85546875" style="537" customWidth="1"/>
    <col min="1033" max="1033" width="11" style="537" bestFit="1" customWidth="1"/>
    <col min="1034" max="1034" width="14.28515625" style="537" bestFit="1" customWidth="1"/>
    <col min="1035" max="1035" width="11.42578125" style="537" bestFit="1" customWidth="1"/>
    <col min="1036" max="1036" width="12.28515625" style="537" bestFit="1" customWidth="1"/>
    <col min="1037" max="1037" width="11" style="537" bestFit="1" customWidth="1"/>
    <col min="1038" max="1038" width="10.140625" style="537" bestFit="1" customWidth="1"/>
    <col min="1039" max="1039" width="12.28515625" style="537" bestFit="1" customWidth="1"/>
    <col min="1040" max="1040" width="11" style="537" bestFit="1" customWidth="1"/>
    <col min="1041" max="1041" width="14.42578125" style="537" bestFit="1" customWidth="1"/>
    <col min="1042" max="1042" width="11.42578125" style="537" bestFit="1" customWidth="1"/>
    <col min="1043" max="1043" width="9.140625" style="537"/>
    <col min="1044" max="1044" width="15.5703125" style="537" bestFit="1" customWidth="1"/>
    <col min="1045" max="1045" width="10.7109375" style="537" bestFit="1" customWidth="1"/>
    <col min="1046" max="1046" width="9.140625" style="537"/>
    <col min="1047" max="1047" width="14.28515625" style="537" bestFit="1" customWidth="1"/>
    <col min="1048" max="1048" width="11" style="537" bestFit="1" customWidth="1"/>
    <col min="1049" max="1049" width="11.5703125" style="537" bestFit="1" customWidth="1"/>
    <col min="1050" max="1050" width="17.85546875" style="537" customWidth="1"/>
    <col min="1051" max="1051" width="11.42578125" style="537" bestFit="1" customWidth="1"/>
    <col min="1052" max="1052" width="18.140625" style="537" customWidth="1"/>
    <col min="1053" max="1053" width="11" style="537" bestFit="1" customWidth="1"/>
    <col min="1054" max="1054" width="14.28515625" style="537" bestFit="1" customWidth="1"/>
    <col min="1055" max="1055" width="11.42578125" style="537" bestFit="1" customWidth="1"/>
    <col min="1056" max="1056" width="12.28515625" style="537" bestFit="1" customWidth="1"/>
    <col min="1057" max="1057" width="11" style="537" bestFit="1" customWidth="1"/>
    <col min="1058" max="1059" width="14.28515625" style="537" bestFit="1" customWidth="1"/>
    <col min="1060" max="1060" width="11" style="537" bestFit="1" customWidth="1"/>
    <col min="1061" max="1061" width="14.42578125" style="537" bestFit="1" customWidth="1"/>
    <col min="1062" max="1062" width="9.140625" style="537"/>
    <col min="1063" max="1063" width="14.28515625" style="537" bestFit="1" customWidth="1"/>
    <col min="1064" max="1064" width="12.85546875" style="537" bestFit="1" customWidth="1"/>
    <col min="1065" max="1065" width="21.140625" style="537" customWidth="1"/>
    <col min="1066" max="1280" width="9.140625" style="537"/>
    <col min="1281" max="1281" width="13.140625" style="537" customWidth="1"/>
    <col min="1282" max="1282" width="69.42578125" style="537" bestFit="1" customWidth="1"/>
    <col min="1283" max="1283" width="14.28515625" style="537" bestFit="1" customWidth="1"/>
    <col min="1284" max="1284" width="11" style="537" bestFit="1" customWidth="1"/>
    <col min="1285" max="1285" width="11.5703125" style="537" bestFit="1" customWidth="1"/>
    <col min="1286" max="1286" width="23.42578125" style="537" customWidth="1"/>
    <col min="1287" max="1287" width="11.42578125" style="537" bestFit="1" customWidth="1"/>
    <col min="1288" max="1288" width="21.85546875" style="537" customWidth="1"/>
    <col min="1289" max="1289" width="11" style="537" bestFit="1" customWidth="1"/>
    <col min="1290" max="1290" width="14.28515625" style="537" bestFit="1" customWidth="1"/>
    <col min="1291" max="1291" width="11.42578125" style="537" bestFit="1" customWidth="1"/>
    <col min="1292" max="1292" width="12.28515625" style="537" bestFit="1" customWidth="1"/>
    <col min="1293" max="1293" width="11" style="537" bestFit="1" customWidth="1"/>
    <col min="1294" max="1294" width="10.140625" style="537" bestFit="1" customWidth="1"/>
    <col min="1295" max="1295" width="12.28515625" style="537" bestFit="1" customWidth="1"/>
    <col min="1296" max="1296" width="11" style="537" bestFit="1" customWidth="1"/>
    <col min="1297" max="1297" width="14.42578125" style="537" bestFit="1" customWidth="1"/>
    <col min="1298" max="1298" width="11.42578125" style="537" bestFit="1" customWidth="1"/>
    <col min="1299" max="1299" width="9.140625" style="537"/>
    <col min="1300" max="1300" width="15.5703125" style="537" bestFit="1" customWidth="1"/>
    <col min="1301" max="1301" width="10.7109375" style="537" bestFit="1" customWidth="1"/>
    <col min="1302" max="1302" width="9.140625" style="537"/>
    <col min="1303" max="1303" width="14.28515625" style="537" bestFit="1" customWidth="1"/>
    <col min="1304" max="1304" width="11" style="537" bestFit="1" customWidth="1"/>
    <col min="1305" max="1305" width="11.5703125" style="537" bestFit="1" customWidth="1"/>
    <col min="1306" max="1306" width="17.85546875" style="537" customWidth="1"/>
    <col min="1307" max="1307" width="11.42578125" style="537" bestFit="1" customWidth="1"/>
    <col min="1308" max="1308" width="18.140625" style="537" customWidth="1"/>
    <col min="1309" max="1309" width="11" style="537" bestFit="1" customWidth="1"/>
    <col min="1310" max="1310" width="14.28515625" style="537" bestFit="1" customWidth="1"/>
    <col min="1311" max="1311" width="11.42578125" style="537" bestFit="1" customWidth="1"/>
    <col min="1312" max="1312" width="12.28515625" style="537" bestFit="1" customWidth="1"/>
    <col min="1313" max="1313" width="11" style="537" bestFit="1" customWidth="1"/>
    <col min="1314" max="1315" width="14.28515625" style="537" bestFit="1" customWidth="1"/>
    <col min="1316" max="1316" width="11" style="537" bestFit="1" customWidth="1"/>
    <col min="1317" max="1317" width="14.42578125" style="537" bestFit="1" customWidth="1"/>
    <col min="1318" max="1318" width="9.140625" style="537"/>
    <col min="1319" max="1319" width="14.28515625" style="537" bestFit="1" customWidth="1"/>
    <col min="1320" max="1320" width="12.85546875" style="537" bestFit="1" customWidth="1"/>
    <col min="1321" max="1321" width="21.140625" style="537" customWidth="1"/>
    <col min="1322" max="1536" width="9.140625" style="537"/>
    <col min="1537" max="1537" width="13.140625" style="537" customWidth="1"/>
    <col min="1538" max="1538" width="69.42578125" style="537" bestFit="1" customWidth="1"/>
    <col min="1539" max="1539" width="14.28515625" style="537" bestFit="1" customWidth="1"/>
    <col min="1540" max="1540" width="11" style="537" bestFit="1" customWidth="1"/>
    <col min="1541" max="1541" width="11.5703125" style="537" bestFit="1" customWidth="1"/>
    <col min="1542" max="1542" width="23.42578125" style="537" customWidth="1"/>
    <col min="1543" max="1543" width="11.42578125" style="537" bestFit="1" customWidth="1"/>
    <col min="1544" max="1544" width="21.85546875" style="537" customWidth="1"/>
    <col min="1545" max="1545" width="11" style="537" bestFit="1" customWidth="1"/>
    <col min="1546" max="1546" width="14.28515625" style="537" bestFit="1" customWidth="1"/>
    <col min="1547" max="1547" width="11.42578125" style="537" bestFit="1" customWidth="1"/>
    <col min="1548" max="1548" width="12.28515625" style="537" bestFit="1" customWidth="1"/>
    <col min="1549" max="1549" width="11" style="537" bestFit="1" customWidth="1"/>
    <col min="1550" max="1550" width="10.140625" style="537" bestFit="1" customWidth="1"/>
    <col min="1551" max="1551" width="12.28515625" style="537" bestFit="1" customWidth="1"/>
    <col min="1552" max="1552" width="11" style="537" bestFit="1" customWidth="1"/>
    <col min="1553" max="1553" width="14.42578125" style="537" bestFit="1" customWidth="1"/>
    <col min="1554" max="1554" width="11.42578125" style="537" bestFit="1" customWidth="1"/>
    <col min="1555" max="1555" width="9.140625" style="537"/>
    <col min="1556" max="1556" width="15.5703125" style="537" bestFit="1" customWidth="1"/>
    <col min="1557" max="1557" width="10.7109375" style="537" bestFit="1" customWidth="1"/>
    <col min="1558" max="1558" width="9.140625" style="537"/>
    <col min="1559" max="1559" width="14.28515625" style="537" bestFit="1" customWidth="1"/>
    <col min="1560" max="1560" width="11" style="537" bestFit="1" customWidth="1"/>
    <col min="1561" max="1561" width="11.5703125" style="537" bestFit="1" customWidth="1"/>
    <col min="1562" max="1562" width="17.85546875" style="537" customWidth="1"/>
    <col min="1563" max="1563" width="11.42578125" style="537" bestFit="1" customWidth="1"/>
    <col min="1564" max="1564" width="18.140625" style="537" customWidth="1"/>
    <col min="1565" max="1565" width="11" style="537" bestFit="1" customWidth="1"/>
    <col min="1566" max="1566" width="14.28515625" style="537" bestFit="1" customWidth="1"/>
    <col min="1567" max="1567" width="11.42578125" style="537" bestFit="1" customWidth="1"/>
    <col min="1568" max="1568" width="12.28515625" style="537" bestFit="1" customWidth="1"/>
    <col min="1569" max="1569" width="11" style="537" bestFit="1" customWidth="1"/>
    <col min="1570" max="1571" width="14.28515625" style="537" bestFit="1" customWidth="1"/>
    <col min="1572" max="1572" width="11" style="537" bestFit="1" customWidth="1"/>
    <col min="1573" max="1573" width="14.42578125" style="537" bestFit="1" customWidth="1"/>
    <col min="1574" max="1574" width="9.140625" style="537"/>
    <col min="1575" max="1575" width="14.28515625" style="537" bestFit="1" customWidth="1"/>
    <col min="1576" max="1576" width="12.85546875" style="537" bestFit="1" customWidth="1"/>
    <col min="1577" max="1577" width="21.140625" style="537" customWidth="1"/>
    <col min="1578" max="1792" width="9.140625" style="537"/>
    <col min="1793" max="1793" width="13.140625" style="537" customWidth="1"/>
    <col min="1794" max="1794" width="69.42578125" style="537" bestFit="1" customWidth="1"/>
    <col min="1795" max="1795" width="14.28515625" style="537" bestFit="1" customWidth="1"/>
    <col min="1796" max="1796" width="11" style="537" bestFit="1" customWidth="1"/>
    <col min="1797" max="1797" width="11.5703125" style="537" bestFit="1" customWidth="1"/>
    <col min="1798" max="1798" width="23.42578125" style="537" customWidth="1"/>
    <col min="1799" max="1799" width="11.42578125" style="537" bestFit="1" customWidth="1"/>
    <col min="1800" max="1800" width="21.85546875" style="537" customWidth="1"/>
    <col min="1801" max="1801" width="11" style="537" bestFit="1" customWidth="1"/>
    <col min="1802" max="1802" width="14.28515625" style="537" bestFit="1" customWidth="1"/>
    <col min="1803" max="1803" width="11.42578125" style="537" bestFit="1" customWidth="1"/>
    <col min="1804" max="1804" width="12.28515625" style="537" bestFit="1" customWidth="1"/>
    <col min="1805" max="1805" width="11" style="537" bestFit="1" customWidth="1"/>
    <col min="1806" max="1806" width="10.140625" style="537" bestFit="1" customWidth="1"/>
    <col min="1807" max="1807" width="12.28515625" style="537" bestFit="1" customWidth="1"/>
    <col min="1808" max="1808" width="11" style="537" bestFit="1" customWidth="1"/>
    <col min="1809" max="1809" width="14.42578125" style="537" bestFit="1" customWidth="1"/>
    <col min="1810" max="1810" width="11.42578125" style="537" bestFit="1" customWidth="1"/>
    <col min="1811" max="1811" width="9.140625" style="537"/>
    <col min="1812" max="1812" width="15.5703125" style="537" bestFit="1" customWidth="1"/>
    <col min="1813" max="1813" width="10.7109375" style="537" bestFit="1" customWidth="1"/>
    <col min="1814" max="1814" width="9.140625" style="537"/>
    <col min="1815" max="1815" width="14.28515625" style="537" bestFit="1" customWidth="1"/>
    <col min="1816" max="1816" width="11" style="537" bestFit="1" customWidth="1"/>
    <col min="1817" max="1817" width="11.5703125" style="537" bestFit="1" customWidth="1"/>
    <col min="1818" max="1818" width="17.85546875" style="537" customWidth="1"/>
    <col min="1819" max="1819" width="11.42578125" style="537" bestFit="1" customWidth="1"/>
    <col min="1820" max="1820" width="18.140625" style="537" customWidth="1"/>
    <col min="1821" max="1821" width="11" style="537" bestFit="1" customWidth="1"/>
    <col min="1822" max="1822" width="14.28515625" style="537" bestFit="1" customWidth="1"/>
    <col min="1823" max="1823" width="11.42578125" style="537" bestFit="1" customWidth="1"/>
    <col min="1824" max="1824" width="12.28515625" style="537" bestFit="1" customWidth="1"/>
    <col min="1825" max="1825" width="11" style="537" bestFit="1" customWidth="1"/>
    <col min="1826" max="1827" width="14.28515625" style="537" bestFit="1" customWidth="1"/>
    <col min="1828" max="1828" width="11" style="537" bestFit="1" customWidth="1"/>
    <col min="1829" max="1829" width="14.42578125" style="537" bestFit="1" customWidth="1"/>
    <col min="1830" max="1830" width="9.140625" style="537"/>
    <col min="1831" max="1831" width="14.28515625" style="537" bestFit="1" customWidth="1"/>
    <col min="1832" max="1832" width="12.85546875" style="537" bestFit="1" customWidth="1"/>
    <col min="1833" max="1833" width="21.140625" style="537" customWidth="1"/>
    <col min="1834" max="2048" width="9.140625" style="537"/>
    <col min="2049" max="2049" width="13.140625" style="537" customWidth="1"/>
    <col min="2050" max="2050" width="69.42578125" style="537" bestFit="1" customWidth="1"/>
    <col min="2051" max="2051" width="14.28515625" style="537" bestFit="1" customWidth="1"/>
    <col min="2052" max="2052" width="11" style="537" bestFit="1" customWidth="1"/>
    <col min="2053" max="2053" width="11.5703125" style="537" bestFit="1" customWidth="1"/>
    <col min="2054" max="2054" width="23.42578125" style="537" customWidth="1"/>
    <col min="2055" max="2055" width="11.42578125" style="537" bestFit="1" customWidth="1"/>
    <col min="2056" max="2056" width="21.85546875" style="537" customWidth="1"/>
    <col min="2057" max="2057" width="11" style="537" bestFit="1" customWidth="1"/>
    <col min="2058" max="2058" width="14.28515625" style="537" bestFit="1" customWidth="1"/>
    <col min="2059" max="2059" width="11.42578125" style="537" bestFit="1" customWidth="1"/>
    <col min="2060" max="2060" width="12.28515625" style="537" bestFit="1" customWidth="1"/>
    <col min="2061" max="2061" width="11" style="537" bestFit="1" customWidth="1"/>
    <col min="2062" max="2062" width="10.140625" style="537" bestFit="1" customWidth="1"/>
    <col min="2063" max="2063" width="12.28515625" style="537" bestFit="1" customWidth="1"/>
    <col min="2064" max="2064" width="11" style="537" bestFit="1" customWidth="1"/>
    <col min="2065" max="2065" width="14.42578125" style="537" bestFit="1" customWidth="1"/>
    <col min="2066" max="2066" width="11.42578125" style="537" bestFit="1" customWidth="1"/>
    <col min="2067" max="2067" width="9.140625" style="537"/>
    <col min="2068" max="2068" width="15.5703125" style="537" bestFit="1" customWidth="1"/>
    <col min="2069" max="2069" width="10.7109375" style="537" bestFit="1" customWidth="1"/>
    <col min="2070" max="2070" width="9.140625" style="537"/>
    <col min="2071" max="2071" width="14.28515625" style="537" bestFit="1" customWidth="1"/>
    <col min="2072" max="2072" width="11" style="537" bestFit="1" customWidth="1"/>
    <col min="2073" max="2073" width="11.5703125" style="537" bestFit="1" customWidth="1"/>
    <col min="2074" max="2074" width="17.85546875" style="537" customWidth="1"/>
    <col min="2075" max="2075" width="11.42578125" style="537" bestFit="1" customWidth="1"/>
    <col min="2076" max="2076" width="18.140625" style="537" customWidth="1"/>
    <col min="2077" max="2077" width="11" style="537" bestFit="1" customWidth="1"/>
    <col min="2078" max="2078" width="14.28515625" style="537" bestFit="1" customWidth="1"/>
    <col min="2079" max="2079" width="11.42578125" style="537" bestFit="1" customWidth="1"/>
    <col min="2080" max="2080" width="12.28515625" style="537" bestFit="1" customWidth="1"/>
    <col min="2081" max="2081" width="11" style="537" bestFit="1" customWidth="1"/>
    <col min="2082" max="2083" width="14.28515625" style="537" bestFit="1" customWidth="1"/>
    <col min="2084" max="2084" width="11" style="537" bestFit="1" customWidth="1"/>
    <col min="2085" max="2085" width="14.42578125" style="537" bestFit="1" customWidth="1"/>
    <col min="2086" max="2086" width="9.140625" style="537"/>
    <col min="2087" max="2087" width="14.28515625" style="537" bestFit="1" customWidth="1"/>
    <col min="2088" max="2088" width="12.85546875" style="537" bestFit="1" customWidth="1"/>
    <col min="2089" max="2089" width="21.140625" style="537" customWidth="1"/>
    <col min="2090" max="2304" width="9.140625" style="537"/>
    <col min="2305" max="2305" width="13.140625" style="537" customWidth="1"/>
    <col min="2306" max="2306" width="69.42578125" style="537" bestFit="1" customWidth="1"/>
    <col min="2307" max="2307" width="14.28515625" style="537" bestFit="1" customWidth="1"/>
    <col min="2308" max="2308" width="11" style="537" bestFit="1" customWidth="1"/>
    <col min="2309" max="2309" width="11.5703125" style="537" bestFit="1" customWidth="1"/>
    <col min="2310" max="2310" width="23.42578125" style="537" customWidth="1"/>
    <col min="2311" max="2311" width="11.42578125" style="537" bestFit="1" customWidth="1"/>
    <col min="2312" max="2312" width="21.85546875" style="537" customWidth="1"/>
    <col min="2313" max="2313" width="11" style="537" bestFit="1" customWidth="1"/>
    <col min="2314" max="2314" width="14.28515625" style="537" bestFit="1" customWidth="1"/>
    <col min="2315" max="2315" width="11.42578125" style="537" bestFit="1" customWidth="1"/>
    <col min="2316" max="2316" width="12.28515625" style="537" bestFit="1" customWidth="1"/>
    <col min="2317" max="2317" width="11" style="537" bestFit="1" customWidth="1"/>
    <col min="2318" max="2318" width="10.140625" style="537" bestFit="1" customWidth="1"/>
    <col min="2319" max="2319" width="12.28515625" style="537" bestFit="1" customWidth="1"/>
    <col min="2320" max="2320" width="11" style="537" bestFit="1" customWidth="1"/>
    <col min="2321" max="2321" width="14.42578125" style="537" bestFit="1" customWidth="1"/>
    <col min="2322" max="2322" width="11.42578125" style="537" bestFit="1" customWidth="1"/>
    <col min="2323" max="2323" width="9.140625" style="537"/>
    <col min="2324" max="2324" width="15.5703125" style="537" bestFit="1" customWidth="1"/>
    <col min="2325" max="2325" width="10.7109375" style="537" bestFit="1" customWidth="1"/>
    <col min="2326" max="2326" width="9.140625" style="537"/>
    <col min="2327" max="2327" width="14.28515625" style="537" bestFit="1" customWidth="1"/>
    <col min="2328" max="2328" width="11" style="537" bestFit="1" customWidth="1"/>
    <col min="2329" max="2329" width="11.5703125" style="537" bestFit="1" customWidth="1"/>
    <col min="2330" max="2330" width="17.85546875" style="537" customWidth="1"/>
    <col min="2331" max="2331" width="11.42578125" style="537" bestFit="1" customWidth="1"/>
    <col min="2332" max="2332" width="18.140625" style="537" customWidth="1"/>
    <col min="2333" max="2333" width="11" style="537" bestFit="1" customWidth="1"/>
    <col min="2334" max="2334" width="14.28515625" style="537" bestFit="1" customWidth="1"/>
    <col min="2335" max="2335" width="11.42578125" style="537" bestFit="1" customWidth="1"/>
    <col min="2336" max="2336" width="12.28515625" style="537" bestFit="1" customWidth="1"/>
    <col min="2337" max="2337" width="11" style="537" bestFit="1" customWidth="1"/>
    <col min="2338" max="2339" width="14.28515625" style="537" bestFit="1" customWidth="1"/>
    <col min="2340" max="2340" width="11" style="537" bestFit="1" customWidth="1"/>
    <col min="2341" max="2341" width="14.42578125" style="537" bestFit="1" customWidth="1"/>
    <col min="2342" max="2342" width="9.140625" style="537"/>
    <col min="2343" max="2343" width="14.28515625" style="537" bestFit="1" customWidth="1"/>
    <col min="2344" max="2344" width="12.85546875" style="537" bestFit="1" customWidth="1"/>
    <col min="2345" max="2345" width="21.140625" style="537" customWidth="1"/>
    <col min="2346" max="2560" width="9.140625" style="537"/>
    <col min="2561" max="2561" width="13.140625" style="537" customWidth="1"/>
    <col min="2562" max="2562" width="69.42578125" style="537" bestFit="1" customWidth="1"/>
    <col min="2563" max="2563" width="14.28515625" style="537" bestFit="1" customWidth="1"/>
    <col min="2564" max="2564" width="11" style="537" bestFit="1" customWidth="1"/>
    <col min="2565" max="2565" width="11.5703125" style="537" bestFit="1" customWidth="1"/>
    <col min="2566" max="2566" width="23.42578125" style="537" customWidth="1"/>
    <col min="2567" max="2567" width="11.42578125" style="537" bestFit="1" customWidth="1"/>
    <col min="2568" max="2568" width="21.85546875" style="537" customWidth="1"/>
    <col min="2569" max="2569" width="11" style="537" bestFit="1" customWidth="1"/>
    <col min="2570" max="2570" width="14.28515625" style="537" bestFit="1" customWidth="1"/>
    <col min="2571" max="2571" width="11.42578125" style="537" bestFit="1" customWidth="1"/>
    <col min="2572" max="2572" width="12.28515625" style="537" bestFit="1" customWidth="1"/>
    <col min="2573" max="2573" width="11" style="537" bestFit="1" customWidth="1"/>
    <col min="2574" max="2574" width="10.140625" style="537" bestFit="1" customWidth="1"/>
    <col min="2575" max="2575" width="12.28515625" style="537" bestFit="1" customWidth="1"/>
    <col min="2576" max="2576" width="11" style="537" bestFit="1" customWidth="1"/>
    <col min="2577" max="2577" width="14.42578125" style="537" bestFit="1" customWidth="1"/>
    <col min="2578" max="2578" width="11.42578125" style="537" bestFit="1" customWidth="1"/>
    <col min="2579" max="2579" width="9.140625" style="537"/>
    <col min="2580" max="2580" width="15.5703125" style="537" bestFit="1" customWidth="1"/>
    <col min="2581" max="2581" width="10.7109375" style="537" bestFit="1" customWidth="1"/>
    <col min="2582" max="2582" width="9.140625" style="537"/>
    <col min="2583" max="2583" width="14.28515625" style="537" bestFit="1" customWidth="1"/>
    <col min="2584" max="2584" width="11" style="537" bestFit="1" customWidth="1"/>
    <col min="2585" max="2585" width="11.5703125" style="537" bestFit="1" customWidth="1"/>
    <col min="2586" max="2586" width="17.85546875" style="537" customWidth="1"/>
    <col min="2587" max="2587" width="11.42578125" style="537" bestFit="1" customWidth="1"/>
    <col min="2588" max="2588" width="18.140625" style="537" customWidth="1"/>
    <col min="2589" max="2589" width="11" style="537" bestFit="1" customWidth="1"/>
    <col min="2590" max="2590" width="14.28515625" style="537" bestFit="1" customWidth="1"/>
    <col min="2591" max="2591" width="11.42578125" style="537" bestFit="1" customWidth="1"/>
    <col min="2592" max="2592" width="12.28515625" style="537" bestFit="1" customWidth="1"/>
    <col min="2593" max="2593" width="11" style="537" bestFit="1" customWidth="1"/>
    <col min="2594" max="2595" width="14.28515625" style="537" bestFit="1" customWidth="1"/>
    <col min="2596" max="2596" width="11" style="537" bestFit="1" customWidth="1"/>
    <col min="2597" max="2597" width="14.42578125" style="537" bestFit="1" customWidth="1"/>
    <col min="2598" max="2598" width="9.140625" style="537"/>
    <col min="2599" max="2599" width="14.28515625" style="537" bestFit="1" customWidth="1"/>
    <col min="2600" max="2600" width="12.85546875" style="537" bestFit="1" customWidth="1"/>
    <col min="2601" max="2601" width="21.140625" style="537" customWidth="1"/>
    <col min="2602" max="2816" width="9.140625" style="537"/>
    <col min="2817" max="2817" width="13.140625" style="537" customWidth="1"/>
    <col min="2818" max="2818" width="69.42578125" style="537" bestFit="1" customWidth="1"/>
    <col min="2819" max="2819" width="14.28515625" style="537" bestFit="1" customWidth="1"/>
    <col min="2820" max="2820" width="11" style="537" bestFit="1" customWidth="1"/>
    <col min="2821" max="2821" width="11.5703125" style="537" bestFit="1" customWidth="1"/>
    <col min="2822" max="2822" width="23.42578125" style="537" customWidth="1"/>
    <col min="2823" max="2823" width="11.42578125" style="537" bestFit="1" customWidth="1"/>
    <col min="2824" max="2824" width="21.85546875" style="537" customWidth="1"/>
    <col min="2825" max="2825" width="11" style="537" bestFit="1" customWidth="1"/>
    <col min="2826" max="2826" width="14.28515625" style="537" bestFit="1" customWidth="1"/>
    <col min="2827" max="2827" width="11.42578125" style="537" bestFit="1" customWidth="1"/>
    <col min="2828" max="2828" width="12.28515625" style="537" bestFit="1" customWidth="1"/>
    <col min="2829" max="2829" width="11" style="537" bestFit="1" customWidth="1"/>
    <col min="2830" max="2830" width="10.140625" style="537" bestFit="1" customWidth="1"/>
    <col min="2831" max="2831" width="12.28515625" style="537" bestFit="1" customWidth="1"/>
    <col min="2832" max="2832" width="11" style="537" bestFit="1" customWidth="1"/>
    <col min="2833" max="2833" width="14.42578125" style="537" bestFit="1" customWidth="1"/>
    <col min="2834" max="2834" width="11.42578125" style="537" bestFit="1" customWidth="1"/>
    <col min="2835" max="2835" width="9.140625" style="537"/>
    <col min="2836" max="2836" width="15.5703125" style="537" bestFit="1" customWidth="1"/>
    <col min="2837" max="2837" width="10.7109375" style="537" bestFit="1" customWidth="1"/>
    <col min="2838" max="2838" width="9.140625" style="537"/>
    <col min="2839" max="2839" width="14.28515625" style="537" bestFit="1" customWidth="1"/>
    <col min="2840" max="2840" width="11" style="537" bestFit="1" customWidth="1"/>
    <col min="2841" max="2841" width="11.5703125" style="537" bestFit="1" customWidth="1"/>
    <col min="2842" max="2842" width="17.85546875" style="537" customWidth="1"/>
    <col min="2843" max="2843" width="11.42578125" style="537" bestFit="1" customWidth="1"/>
    <col min="2844" max="2844" width="18.140625" style="537" customWidth="1"/>
    <col min="2845" max="2845" width="11" style="537" bestFit="1" customWidth="1"/>
    <col min="2846" max="2846" width="14.28515625" style="537" bestFit="1" customWidth="1"/>
    <col min="2847" max="2847" width="11.42578125" style="537" bestFit="1" customWidth="1"/>
    <col min="2848" max="2848" width="12.28515625" style="537" bestFit="1" customWidth="1"/>
    <col min="2849" max="2849" width="11" style="537" bestFit="1" customWidth="1"/>
    <col min="2850" max="2851" width="14.28515625" style="537" bestFit="1" customWidth="1"/>
    <col min="2852" max="2852" width="11" style="537" bestFit="1" customWidth="1"/>
    <col min="2853" max="2853" width="14.42578125" style="537" bestFit="1" customWidth="1"/>
    <col min="2854" max="2854" width="9.140625" style="537"/>
    <col min="2855" max="2855" width="14.28515625" style="537" bestFit="1" customWidth="1"/>
    <col min="2856" max="2856" width="12.85546875" style="537" bestFit="1" customWidth="1"/>
    <col min="2857" max="2857" width="21.140625" style="537" customWidth="1"/>
    <col min="2858" max="3072" width="9.140625" style="537"/>
    <col min="3073" max="3073" width="13.140625" style="537" customWidth="1"/>
    <col min="3074" max="3074" width="69.42578125" style="537" bestFit="1" customWidth="1"/>
    <col min="3075" max="3075" width="14.28515625" style="537" bestFit="1" customWidth="1"/>
    <col min="3076" max="3076" width="11" style="537" bestFit="1" customWidth="1"/>
    <col min="3077" max="3077" width="11.5703125" style="537" bestFit="1" customWidth="1"/>
    <col min="3078" max="3078" width="23.42578125" style="537" customWidth="1"/>
    <col min="3079" max="3079" width="11.42578125" style="537" bestFit="1" customWidth="1"/>
    <col min="3080" max="3080" width="21.85546875" style="537" customWidth="1"/>
    <col min="3081" max="3081" width="11" style="537" bestFit="1" customWidth="1"/>
    <col min="3082" max="3082" width="14.28515625" style="537" bestFit="1" customWidth="1"/>
    <col min="3083" max="3083" width="11.42578125" style="537" bestFit="1" customWidth="1"/>
    <col min="3084" max="3084" width="12.28515625" style="537" bestFit="1" customWidth="1"/>
    <col min="3085" max="3085" width="11" style="537" bestFit="1" customWidth="1"/>
    <col min="3086" max="3086" width="10.140625" style="537" bestFit="1" customWidth="1"/>
    <col min="3087" max="3087" width="12.28515625" style="537" bestFit="1" customWidth="1"/>
    <col min="3088" max="3088" width="11" style="537" bestFit="1" customWidth="1"/>
    <col min="3089" max="3089" width="14.42578125" style="537" bestFit="1" customWidth="1"/>
    <col min="3090" max="3090" width="11.42578125" style="537" bestFit="1" customWidth="1"/>
    <col min="3091" max="3091" width="9.140625" style="537"/>
    <col min="3092" max="3092" width="15.5703125" style="537" bestFit="1" customWidth="1"/>
    <col min="3093" max="3093" width="10.7109375" style="537" bestFit="1" customWidth="1"/>
    <col min="3094" max="3094" width="9.140625" style="537"/>
    <col min="3095" max="3095" width="14.28515625" style="537" bestFit="1" customWidth="1"/>
    <col min="3096" max="3096" width="11" style="537" bestFit="1" customWidth="1"/>
    <col min="3097" max="3097" width="11.5703125" style="537" bestFit="1" customWidth="1"/>
    <col min="3098" max="3098" width="17.85546875" style="537" customWidth="1"/>
    <col min="3099" max="3099" width="11.42578125" style="537" bestFit="1" customWidth="1"/>
    <col min="3100" max="3100" width="18.140625" style="537" customWidth="1"/>
    <col min="3101" max="3101" width="11" style="537" bestFit="1" customWidth="1"/>
    <col min="3102" max="3102" width="14.28515625" style="537" bestFit="1" customWidth="1"/>
    <col min="3103" max="3103" width="11.42578125" style="537" bestFit="1" customWidth="1"/>
    <col min="3104" max="3104" width="12.28515625" style="537" bestFit="1" customWidth="1"/>
    <col min="3105" max="3105" width="11" style="537" bestFit="1" customWidth="1"/>
    <col min="3106" max="3107" width="14.28515625" style="537" bestFit="1" customWidth="1"/>
    <col min="3108" max="3108" width="11" style="537" bestFit="1" customWidth="1"/>
    <col min="3109" max="3109" width="14.42578125" style="537" bestFit="1" customWidth="1"/>
    <col min="3110" max="3110" width="9.140625" style="537"/>
    <col min="3111" max="3111" width="14.28515625" style="537" bestFit="1" customWidth="1"/>
    <col min="3112" max="3112" width="12.85546875" style="537" bestFit="1" customWidth="1"/>
    <col min="3113" max="3113" width="21.140625" style="537" customWidth="1"/>
    <col min="3114" max="3328" width="9.140625" style="537"/>
    <col min="3329" max="3329" width="13.140625" style="537" customWidth="1"/>
    <col min="3330" max="3330" width="69.42578125" style="537" bestFit="1" customWidth="1"/>
    <col min="3331" max="3331" width="14.28515625" style="537" bestFit="1" customWidth="1"/>
    <col min="3332" max="3332" width="11" style="537" bestFit="1" customWidth="1"/>
    <col min="3333" max="3333" width="11.5703125" style="537" bestFit="1" customWidth="1"/>
    <col min="3334" max="3334" width="23.42578125" style="537" customWidth="1"/>
    <col min="3335" max="3335" width="11.42578125" style="537" bestFit="1" customWidth="1"/>
    <col min="3336" max="3336" width="21.85546875" style="537" customWidth="1"/>
    <col min="3337" max="3337" width="11" style="537" bestFit="1" customWidth="1"/>
    <col min="3338" max="3338" width="14.28515625" style="537" bestFit="1" customWidth="1"/>
    <col min="3339" max="3339" width="11.42578125" style="537" bestFit="1" customWidth="1"/>
    <col min="3340" max="3340" width="12.28515625" style="537" bestFit="1" customWidth="1"/>
    <col min="3341" max="3341" width="11" style="537" bestFit="1" customWidth="1"/>
    <col min="3342" max="3342" width="10.140625" style="537" bestFit="1" customWidth="1"/>
    <col min="3343" max="3343" width="12.28515625" style="537" bestFit="1" customWidth="1"/>
    <col min="3344" max="3344" width="11" style="537" bestFit="1" customWidth="1"/>
    <col min="3345" max="3345" width="14.42578125" style="537" bestFit="1" customWidth="1"/>
    <col min="3346" max="3346" width="11.42578125" style="537" bestFit="1" customWidth="1"/>
    <col min="3347" max="3347" width="9.140625" style="537"/>
    <col min="3348" max="3348" width="15.5703125" style="537" bestFit="1" customWidth="1"/>
    <col min="3349" max="3349" width="10.7109375" style="537" bestFit="1" customWidth="1"/>
    <col min="3350" max="3350" width="9.140625" style="537"/>
    <col min="3351" max="3351" width="14.28515625" style="537" bestFit="1" customWidth="1"/>
    <col min="3352" max="3352" width="11" style="537" bestFit="1" customWidth="1"/>
    <col min="3353" max="3353" width="11.5703125" style="537" bestFit="1" customWidth="1"/>
    <col min="3354" max="3354" width="17.85546875" style="537" customWidth="1"/>
    <col min="3355" max="3355" width="11.42578125" style="537" bestFit="1" customWidth="1"/>
    <col min="3356" max="3356" width="18.140625" style="537" customWidth="1"/>
    <col min="3357" max="3357" width="11" style="537" bestFit="1" customWidth="1"/>
    <col min="3358" max="3358" width="14.28515625" style="537" bestFit="1" customWidth="1"/>
    <col min="3359" max="3359" width="11.42578125" style="537" bestFit="1" customWidth="1"/>
    <col min="3360" max="3360" width="12.28515625" style="537" bestFit="1" customWidth="1"/>
    <col min="3361" max="3361" width="11" style="537" bestFit="1" customWidth="1"/>
    <col min="3362" max="3363" width="14.28515625" style="537" bestFit="1" customWidth="1"/>
    <col min="3364" max="3364" width="11" style="537" bestFit="1" customWidth="1"/>
    <col min="3365" max="3365" width="14.42578125" style="537" bestFit="1" customWidth="1"/>
    <col min="3366" max="3366" width="9.140625" style="537"/>
    <col min="3367" max="3367" width="14.28515625" style="537" bestFit="1" customWidth="1"/>
    <col min="3368" max="3368" width="12.85546875" style="537" bestFit="1" customWidth="1"/>
    <col min="3369" max="3369" width="21.140625" style="537" customWidth="1"/>
    <col min="3370" max="3584" width="9.140625" style="537"/>
    <col min="3585" max="3585" width="13.140625" style="537" customWidth="1"/>
    <col min="3586" max="3586" width="69.42578125" style="537" bestFit="1" customWidth="1"/>
    <col min="3587" max="3587" width="14.28515625" style="537" bestFit="1" customWidth="1"/>
    <col min="3588" max="3588" width="11" style="537" bestFit="1" customWidth="1"/>
    <col min="3589" max="3589" width="11.5703125" style="537" bestFit="1" customWidth="1"/>
    <col min="3590" max="3590" width="23.42578125" style="537" customWidth="1"/>
    <col min="3591" max="3591" width="11.42578125" style="537" bestFit="1" customWidth="1"/>
    <col min="3592" max="3592" width="21.85546875" style="537" customWidth="1"/>
    <col min="3593" max="3593" width="11" style="537" bestFit="1" customWidth="1"/>
    <col min="3594" max="3594" width="14.28515625" style="537" bestFit="1" customWidth="1"/>
    <col min="3595" max="3595" width="11.42578125" style="537" bestFit="1" customWidth="1"/>
    <col min="3596" max="3596" width="12.28515625" style="537" bestFit="1" customWidth="1"/>
    <col min="3597" max="3597" width="11" style="537" bestFit="1" customWidth="1"/>
    <col min="3598" max="3598" width="10.140625" style="537" bestFit="1" customWidth="1"/>
    <col min="3599" max="3599" width="12.28515625" style="537" bestFit="1" customWidth="1"/>
    <col min="3600" max="3600" width="11" style="537" bestFit="1" customWidth="1"/>
    <col min="3601" max="3601" width="14.42578125" style="537" bestFit="1" customWidth="1"/>
    <col min="3602" max="3602" width="11.42578125" style="537" bestFit="1" customWidth="1"/>
    <col min="3603" max="3603" width="9.140625" style="537"/>
    <col min="3604" max="3604" width="15.5703125" style="537" bestFit="1" customWidth="1"/>
    <col min="3605" max="3605" width="10.7109375" style="537" bestFit="1" customWidth="1"/>
    <col min="3606" max="3606" width="9.140625" style="537"/>
    <col min="3607" max="3607" width="14.28515625" style="537" bestFit="1" customWidth="1"/>
    <col min="3608" max="3608" width="11" style="537" bestFit="1" customWidth="1"/>
    <col min="3609" max="3609" width="11.5703125" style="537" bestFit="1" customWidth="1"/>
    <col min="3610" max="3610" width="17.85546875" style="537" customWidth="1"/>
    <col min="3611" max="3611" width="11.42578125" style="537" bestFit="1" customWidth="1"/>
    <col min="3612" max="3612" width="18.140625" style="537" customWidth="1"/>
    <col min="3613" max="3613" width="11" style="537" bestFit="1" customWidth="1"/>
    <col min="3614" max="3614" width="14.28515625" style="537" bestFit="1" customWidth="1"/>
    <col min="3615" max="3615" width="11.42578125" style="537" bestFit="1" customWidth="1"/>
    <col min="3616" max="3616" width="12.28515625" style="537" bestFit="1" customWidth="1"/>
    <col min="3617" max="3617" width="11" style="537" bestFit="1" customWidth="1"/>
    <col min="3618" max="3619" width="14.28515625" style="537" bestFit="1" customWidth="1"/>
    <col min="3620" max="3620" width="11" style="537" bestFit="1" customWidth="1"/>
    <col min="3621" max="3621" width="14.42578125" style="537" bestFit="1" customWidth="1"/>
    <col min="3622" max="3622" width="9.140625" style="537"/>
    <col min="3623" max="3623" width="14.28515625" style="537" bestFit="1" customWidth="1"/>
    <col min="3624" max="3624" width="12.85546875" style="537" bestFit="1" customWidth="1"/>
    <col min="3625" max="3625" width="21.140625" style="537" customWidth="1"/>
    <col min="3626" max="3840" width="9.140625" style="537"/>
    <col min="3841" max="3841" width="13.140625" style="537" customWidth="1"/>
    <col min="3842" max="3842" width="69.42578125" style="537" bestFit="1" customWidth="1"/>
    <col min="3843" max="3843" width="14.28515625" style="537" bestFit="1" customWidth="1"/>
    <col min="3844" max="3844" width="11" style="537" bestFit="1" customWidth="1"/>
    <col min="3845" max="3845" width="11.5703125" style="537" bestFit="1" customWidth="1"/>
    <col min="3846" max="3846" width="23.42578125" style="537" customWidth="1"/>
    <col min="3847" max="3847" width="11.42578125" style="537" bestFit="1" customWidth="1"/>
    <col min="3848" max="3848" width="21.85546875" style="537" customWidth="1"/>
    <col min="3849" max="3849" width="11" style="537" bestFit="1" customWidth="1"/>
    <col min="3850" max="3850" width="14.28515625" style="537" bestFit="1" customWidth="1"/>
    <col min="3851" max="3851" width="11.42578125" style="537" bestFit="1" customWidth="1"/>
    <col min="3852" max="3852" width="12.28515625" style="537" bestFit="1" customWidth="1"/>
    <col min="3853" max="3853" width="11" style="537" bestFit="1" customWidth="1"/>
    <col min="3854" max="3854" width="10.140625" style="537" bestFit="1" customWidth="1"/>
    <col min="3855" max="3855" width="12.28515625" style="537" bestFit="1" customWidth="1"/>
    <col min="3856" max="3856" width="11" style="537" bestFit="1" customWidth="1"/>
    <col min="3857" max="3857" width="14.42578125" style="537" bestFit="1" customWidth="1"/>
    <col min="3858" max="3858" width="11.42578125" style="537" bestFit="1" customWidth="1"/>
    <col min="3859" max="3859" width="9.140625" style="537"/>
    <col min="3860" max="3860" width="15.5703125" style="537" bestFit="1" customWidth="1"/>
    <col min="3861" max="3861" width="10.7109375" style="537" bestFit="1" customWidth="1"/>
    <col min="3862" max="3862" width="9.140625" style="537"/>
    <col min="3863" max="3863" width="14.28515625" style="537" bestFit="1" customWidth="1"/>
    <col min="3864" max="3864" width="11" style="537" bestFit="1" customWidth="1"/>
    <col min="3865" max="3865" width="11.5703125" style="537" bestFit="1" customWidth="1"/>
    <col min="3866" max="3866" width="17.85546875" style="537" customWidth="1"/>
    <col min="3867" max="3867" width="11.42578125" style="537" bestFit="1" customWidth="1"/>
    <col min="3868" max="3868" width="18.140625" style="537" customWidth="1"/>
    <col min="3869" max="3869" width="11" style="537" bestFit="1" customWidth="1"/>
    <col min="3870" max="3870" width="14.28515625" style="537" bestFit="1" customWidth="1"/>
    <col min="3871" max="3871" width="11.42578125" style="537" bestFit="1" customWidth="1"/>
    <col min="3872" max="3872" width="12.28515625" style="537" bestFit="1" customWidth="1"/>
    <col min="3873" max="3873" width="11" style="537" bestFit="1" customWidth="1"/>
    <col min="3874" max="3875" width="14.28515625" style="537" bestFit="1" customWidth="1"/>
    <col min="3876" max="3876" width="11" style="537" bestFit="1" customWidth="1"/>
    <col min="3877" max="3877" width="14.42578125" style="537" bestFit="1" customWidth="1"/>
    <col min="3878" max="3878" width="9.140625" style="537"/>
    <col min="3879" max="3879" width="14.28515625" style="537" bestFit="1" customWidth="1"/>
    <col min="3880" max="3880" width="12.85546875" style="537" bestFit="1" customWidth="1"/>
    <col min="3881" max="3881" width="21.140625" style="537" customWidth="1"/>
    <col min="3882" max="4096" width="9.140625" style="537"/>
    <col min="4097" max="4097" width="13.140625" style="537" customWidth="1"/>
    <col min="4098" max="4098" width="69.42578125" style="537" bestFit="1" customWidth="1"/>
    <col min="4099" max="4099" width="14.28515625" style="537" bestFit="1" customWidth="1"/>
    <col min="4100" max="4100" width="11" style="537" bestFit="1" customWidth="1"/>
    <col min="4101" max="4101" width="11.5703125" style="537" bestFit="1" customWidth="1"/>
    <col min="4102" max="4102" width="23.42578125" style="537" customWidth="1"/>
    <col min="4103" max="4103" width="11.42578125" style="537" bestFit="1" customWidth="1"/>
    <col min="4104" max="4104" width="21.85546875" style="537" customWidth="1"/>
    <col min="4105" max="4105" width="11" style="537" bestFit="1" customWidth="1"/>
    <col min="4106" max="4106" width="14.28515625" style="537" bestFit="1" customWidth="1"/>
    <col min="4107" max="4107" width="11.42578125" style="537" bestFit="1" customWidth="1"/>
    <col min="4108" max="4108" width="12.28515625" style="537" bestFit="1" customWidth="1"/>
    <col min="4109" max="4109" width="11" style="537" bestFit="1" customWidth="1"/>
    <col min="4110" max="4110" width="10.140625" style="537" bestFit="1" customWidth="1"/>
    <col min="4111" max="4111" width="12.28515625" style="537" bestFit="1" customWidth="1"/>
    <col min="4112" max="4112" width="11" style="537" bestFit="1" customWidth="1"/>
    <col min="4113" max="4113" width="14.42578125" style="537" bestFit="1" customWidth="1"/>
    <col min="4114" max="4114" width="11.42578125" style="537" bestFit="1" customWidth="1"/>
    <col min="4115" max="4115" width="9.140625" style="537"/>
    <col min="4116" max="4116" width="15.5703125" style="537" bestFit="1" customWidth="1"/>
    <col min="4117" max="4117" width="10.7109375" style="537" bestFit="1" customWidth="1"/>
    <col min="4118" max="4118" width="9.140625" style="537"/>
    <col min="4119" max="4119" width="14.28515625" style="537" bestFit="1" customWidth="1"/>
    <col min="4120" max="4120" width="11" style="537" bestFit="1" customWidth="1"/>
    <col min="4121" max="4121" width="11.5703125" style="537" bestFit="1" customWidth="1"/>
    <col min="4122" max="4122" width="17.85546875" style="537" customWidth="1"/>
    <col min="4123" max="4123" width="11.42578125" style="537" bestFit="1" customWidth="1"/>
    <col min="4124" max="4124" width="18.140625" style="537" customWidth="1"/>
    <col min="4125" max="4125" width="11" style="537" bestFit="1" customWidth="1"/>
    <col min="4126" max="4126" width="14.28515625" style="537" bestFit="1" customWidth="1"/>
    <col min="4127" max="4127" width="11.42578125" style="537" bestFit="1" customWidth="1"/>
    <col min="4128" max="4128" width="12.28515625" style="537" bestFit="1" customWidth="1"/>
    <col min="4129" max="4129" width="11" style="537" bestFit="1" customWidth="1"/>
    <col min="4130" max="4131" width="14.28515625" style="537" bestFit="1" customWidth="1"/>
    <col min="4132" max="4132" width="11" style="537" bestFit="1" customWidth="1"/>
    <col min="4133" max="4133" width="14.42578125" style="537" bestFit="1" customWidth="1"/>
    <col min="4134" max="4134" width="9.140625" style="537"/>
    <col min="4135" max="4135" width="14.28515625" style="537" bestFit="1" customWidth="1"/>
    <col min="4136" max="4136" width="12.85546875" style="537" bestFit="1" customWidth="1"/>
    <col min="4137" max="4137" width="21.140625" style="537" customWidth="1"/>
    <col min="4138" max="4352" width="9.140625" style="537"/>
    <col min="4353" max="4353" width="13.140625" style="537" customWidth="1"/>
    <col min="4354" max="4354" width="69.42578125" style="537" bestFit="1" customWidth="1"/>
    <col min="4355" max="4355" width="14.28515625" style="537" bestFit="1" customWidth="1"/>
    <col min="4356" max="4356" width="11" style="537" bestFit="1" customWidth="1"/>
    <col min="4357" max="4357" width="11.5703125" style="537" bestFit="1" customWidth="1"/>
    <col min="4358" max="4358" width="23.42578125" style="537" customWidth="1"/>
    <col min="4359" max="4359" width="11.42578125" style="537" bestFit="1" customWidth="1"/>
    <col min="4360" max="4360" width="21.85546875" style="537" customWidth="1"/>
    <col min="4361" max="4361" width="11" style="537" bestFit="1" customWidth="1"/>
    <col min="4362" max="4362" width="14.28515625" style="537" bestFit="1" customWidth="1"/>
    <col min="4363" max="4363" width="11.42578125" style="537" bestFit="1" customWidth="1"/>
    <col min="4364" max="4364" width="12.28515625" style="537" bestFit="1" customWidth="1"/>
    <col min="4365" max="4365" width="11" style="537" bestFit="1" customWidth="1"/>
    <col min="4366" max="4366" width="10.140625" style="537" bestFit="1" customWidth="1"/>
    <col min="4367" max="4367" width="12.28515625" style="537" bestFit="1" customWidth="1"/>
    <col min="4368" max="4368" width="11" style="537" bestFit="1" customWidth="1"/>
    <col min="4369" max="4369" width="14.42578125" style="537" bestFit="1" customWidth="1"/>
    <col min="4370" max="4370" width="11.42578125" style="537" bestFit="1" customWidth="1"/>
    <col min="4371" max="4371" width="9.140625" style="537"/>
    <col min="4372" max="4372" width="15.5703125" style="537" bestFit="1" customWidth="1"/>
    <col min="4373" max="4373" width="10.7109375" style="537" bestFit="1" customWidth="1"/>
    <col min="4374" max="4374" width="9.140625" style="537"/>
    <col min="4375" max="4375" width="14.28515625" style="537" bestFit="1" customWidth="1"/>
    <col min="4376" max="4376" width="11" style="537" bestFit="1" customWidth="1"/>
    <col min="4377" max="4377" width="11.5703125" style="537" bestFit="1" customWidth="1"/>
    <col min="4378" max="4378" width="17.85546875" style="537" customWidth="1"/>
    <col min="4379" max="4379" width="11.42578125" style="537" bestFit="1" customWidth="1"/>
    <col min="4380" max="4380" width="18.140625" style="537" customWidth="1"/>
    <col min="4381" max="4381" width="11" style="537" bestFit="1" customWidth="1"/>
    <col min="4382" max="4382" width="14.28515625" style="537" bestFit="1" customWidth="1"/>
    <col min="4383" max="4383" width="11.42578125" style="537" bestFit="1" customWidth="1"/>
    <col min="4384" max="4384" width="12.28515625" style="537" bestFit="1" customWidth="1"/>
    <col min="4385" max="4385" width="11" style="537" bestFit="1" customWidth="1"/>
    <col min="4386" max="4387" width="14.28515625" style="537" bestFit="1" customWidth="1"/>
    <col min="4388" max="4388" width="11" style="537" bestFit="1" customWidth="1"/>
    <col min="4389" max="4389" width="14.42578125" style="537" bestFit="1" customWidth="1"/>
    <col min="4390" max="4390" width="9.140625" style="537"/>
    <col min="4391" max="4391" width="14.28515625" style="537" bestFit="1" customWidth="1"/>
    <col min="4392" max="4392" width="12.85546875" style="537" bestFit="1" customWidth="1"/>
    <col min="4393" max="4393" width="21.140625" style="537" customWidth="1"/>
    <col min="4394" max="4608" width="9.140625" style="537"/>
    <col min="4609" max="4609" width="13.140625" style="537" customWidth="1"/>
    <col min="4610" max="4610" width="69.42578125" style="537" bestFit="1" customWidth="1"/>
    <col min="4611" max="4611" width="14.28515625" style="537" bestFit="1" customWidth="1"/>
    <col min="4612" max="4612" width="11" style="537" bestFit="1" customWidth="1"/>
    <col min="4613" max="4613" width="11.5703125" style="537" bestFit="1" customWidth="1"/>
    <col min="4614" max="4614" width="23.42578125" style="537" customWidth="1"/>
    <col min="4615" max="4615" width="11.42578125" style="537" bestFit="1" customWidth="1"/>
    <col min="4616" max="4616" width="21.85546875" style="537" customWidth="1"/>
    <col min="4617" max="4617" width="11" style="537" bestFit="1" customWidth="1"/>
    <col min="4618" max="4618" width="14.28515625" style="537" bestFit="1" customWidth="1"/>
    <col min="4619" max="4619" width="11.42578125" style="537" bestFit="1" customWidth="1"/>
    <col min="4620" max="4620" width="12.28515625" style="537" bestFit="1" customWidth="1"/>
    <col min="4621" max="4621" width="11" style="537" bestFit="1" customWidth="1"/>
    <col min="4622" max="4622" width="10.140625" style="537" bestFit="1" customWidth="1"/>
    <col min="4623" max="4623" width="12.28515625" style="537" bestFit="1" customWidth="1"/>
    <col min="4624" max="4624" width="11" style="537" bestFit="1" customWidth="1"/>
    <col min="4625" max="4625" width="14.42578125" style="537" bestFit="1" customWidth="1"/>
    <col min="4626" max="4626" width="11.42578125" style="537" bestFit="1" customWidth="1"/>
    <col min="4627" max="4627" width="9.140625" style="537"/>
    <col min="4628" max="4628" width="15.5703125" style="537" bestFit="1" customWidth="1"/>
    <col min="4629" max="4629" width="10.7109375" style="537" bestFit="1" customWidth="1"/>
    <col min="4630" max="4630" width="9.140625" style="537"/>
    <col min="4631" max="4631" width="14.28515625" style="537" bestFit="1" customWidth="1"/>
    <col min="4632" max="4632" width="11" style="537" bestFit="1" customWidth="1"/>
    <col min="4633" max="4633" width="11.5703125" style="537" bestFit="1" customWidth="1"/>
    <col min="4634" max="4634" width="17.85546875" style="537" customWidth="1"/>
    <col min="4635" max="4635" width="11.42578125" style="537" bestFit="1" customWidth="1"/>
    <col min="4636" max="4636" width="18.140625" style="537" customWidth="1"/>
    <col min="4637" max="4637" width="11" style="537" bestFit="1" customWidth="1"/>
    <col min="4638" max="4638" width="14.28515625" style="537" bestFit="1" customWidth="1"/>
    <col min="4639" max="4639" width="11.42578125" style="537" bestFit="1" customWidth="1"/>
    <col min="4640" max="4640" width="12.28515625" style="537" bestFit="1" customWidth="1"/>
    <col min="4641" max="4641" width="11" style="537" bestFit="1" customWidth="1"/>
    <col min="4642" max="4643" width="14.28515625" style="537" bestFit="1" customWidth="1"/>
    <col min="4644" max="4644" width="11" style="537" bestFit="1" customWidth="1"/>
    <col min="4645" max="4645" width="14.42578125" style="537" bestFit="1" customWidth="1"/>
    <col min="4646" max="4646" width="9.140625" style="537"/>
    <col min="4647" max="4647" width="14.28515625" style="537" bestFit="1" customWidth="1"/>
    <col min="4648" max="4648" width="12.85546875" style="537" bestFit="1" customWidth="1"/>
    <col min="4649" max="4649" width="21.140625" style="537" customWidth="1"/>
    <col min="4650" max="4864" width="9.140625" style="537"/>
    <col min="4865" max="4865" width="13.140625" style="537" customWidth="1"/>
    <col min="4866" max="4866" width="69.42578125" style="537" bestFit="1" customWidth="1"/>
    <col min="4867" max="4867" width="14.28515625" style="537" bestFit="1" customWidth="1"/>
    <col min="4868" max="4868" width="11" style="537" bestFit="1" customWidth="1"/>
    <col min="4869" max="4869" width="11.5703125" style="537" bestFit="1" customWidth="1"/>
    <col min="4870" max="4870" width="23.42578125" style="537" customWidth="1"/>
    <col min="4871" max="4871" width="11.42578125" style="537" bestFit="1" customWidth="1"/>
    <col min="4872" max="4872" width="21.85546875" style="537" customWidth="1"/>
    <col min="4873" max="4873" width="11" style="537" bestFit="1" customWidth="1"/>
    <col min="4874" max="4874" width="14.28515625" style="537" bestFit="1" customWidth="1"/>
    <col min="4875" max="4875" width="11.42578125" style="537" bestFit="1" customWidth="1"/>
    <col min="4876" max="4876" width="12.28515625" style="537" bestFit="1" customWidth="1"/>
    <col min="4877" max="4877" width="11" style="537" bestFit="1" customWidth="1"/>
    <col min="4878" max="4878" width="10.140625" style="537" bestFit="1" customWidth="1"/>
    <col min="4879" max="4879" width="12.28515625" style="537" bestFit="1" customWidth="1"/>
    <col min="4880" max="4880" width="11" style="537" bestFit="1" customWidth="1"/>
    <col min="4881" max="4881" width="14.42578125" style="537" bestFit="1" customWidth="1"/>
    <col min="4882" max="4882" width="11.42578125" style="537" bestFit="1" customWidth="1"/>
    <col min="4883" max="4883" width="9.140625" style="537"/>
    <col min="4884" max="4884" width="15.5703125" style="537" bestFit="1" customWidth="1"/>
    <col min="4885" max="4885" width="10.7109375" style="537" bestFit="1" customWidth="1"/>
    <col min="4886" max="4886" width="9.140625" style="537"/>
    <col min="4887" max="4887" width="14.28515625" style="537" bestFit="1" customWidth="1"/>
    <col min="4888" max="4888" width="11" style="537" bestFit="1" customWidth="1"/>
    <col min="4889" max="4889" width="11.5703125" style="537" bestFit="1" customWidth="1"/>
    <col min="4890" max="4890" width="17.85546875" style="537" customWidth="1"/>
    <col min="4891" max="4891" width="11.42578125" style="537" bestFit="1" customWidth="1"/>
    <col min="4892" max="4892" width="18.140625" style="537" customWidth="1"/>
    <col min="4893" max="4893" width="11" style="537" bestFit="1" customWidth="1"/>
    <col min="4894" max="4894" width="14.28515625" style="537" bestFit="1" customWidth="1"/>
    <col min="4895" max="4895" width="11.42578125" style="537" bestFit="1" customWidth="1"/>
    <col min="4896" max="4896" width="12.28515625" style="537" bestFit="1" customWidth="1"/>
    <col min="4897" max="4897" width="11" style="537" bestFit="1" customWidth="1"/>
    <col min="4898" max="4899" width="14.28515625" style="537" bestFit="1" customWidth="1"/>
    <col min="4900" max="4900" width="11" style="537" bestFit="1" customWidth="1"/>
    <col min="4901" max="4901" width="14.42578125" style="537" bestFit="1" customWidth="1"/>
    <col min="4902" max="4902" width="9.140625" style="537"/>
    <col min="4903" max="4903" width="14.28515625" style="537" bestFit="1" customWidth="1"/>
    <col min="4904" max="4904" width="12.85546875" style="537" bestFit="1" customWidth="1"/>
    <col min="4905" max="4905" width="21.140625" style="537" customWidth="1"/>
    <col min="4906" max="5120" width="9.140625" style="537"/>
    <col min="5121" max="5121" width="13.140625" style="537" customWidth="1"/>
    <col min="5122" max="5122" width="69.42578125" style="537" bestFit="1" customWidth="1"/>
    <col min="5123" max="5123" width="14.28515625" style="537" bestFit="1" customWidth="1"/>
    <col min="5124" max="5124" width="11" style="537" bestFit="1" customWidth="1"/>
    <col min="5125" max="5125" width="11.5703125" style="537" bestFit="1" customWidth="1"/>
    <col min="5126" max="5126" width="23.42578125" style="537" customWidth="1"/>
    <col min="5127" max="5127" width="11.42578125" style="537" bestFit="1" customWidth="1"/>
    <col min="5128" max="5128" width="21.85546875" style="537" customWidth="1"/>
    <col min="5129" max="5129" width="11" style="537" bestFit="1" customWidth="1"/>
    <col min="5130" max="5130" width="14.28515625" style="537" bestFit="1" customWidth="1"/>
    <col min="5131" max="5131" width="11.42578125" style="537" bestFit="1" customWidth="1"/>
    <col min="5132" max="5132" width="12.28515625" style="537" bestFit="1" customWidth="1"/>
    <col min="5133" max="5133" width="11" style="537" bestFit="1" customWidth="1"/>
    <col min="5134" max="5134" width="10.140625" style="537" bestFit="1" customWidth="1"/>
    <col min="5135" max="5135" width="12.28515625" style="537" bestFit="1" customWidth="1"/>
    <col min="5136" max="5136" width="11" style="537" bestFit="1" customWidth="1"/>
    <col min="5137" max="5137" width="14.42578125" style="537" bestFit="1" customWidth="1"/>
    <col min="5138" max="5138" width="11.42578125" style="537" bestFit="1" customWidth="1"/>
    <col min="5139" max="5139" width="9.140625" style="537"/>
    <col min="5140" max="5140" width="15.5703125" style="537" bestFit="1" customWidth="1"/>
    <col min="5141" max="5141" width="10.7109375" style="537" bestFit="1" customWidth="1"/>
    <col min="5142" max="5142" width="9.140625" style="537"/>
    <col min="5143" max="5143" width="14.28515625" style="537" bestFit="1" customWidth="1"/>
    <col min="5144" max="5144" width="11" style="537" bestFit="1" customWidth="1"/>
    <col min="5145" max="5145" width="11.5703125" style="537" bestFit="1" customWidth="1"/>
    <col min="5146" max="5146" width="17.85546875" style="537" customWidth="1"/>
    <col min="5147" max="5147" width="11.42578125" style="537" bestFit="1" customWidth="1"/>
    <col min="5148" max="5148" width="18.140625" style="537" customWidth="1"/>
    <col min="5149" max="5149" width="11" style="537" bestFit="1" customWidth="1"/>
    <col min="5150" max="5150" width="14.28515625" style="537" bestFit="1" customWidth="1"/>
    <col min="5151" max="5151" width="11.42578125" style="537" bestFit="1" customWidth="1"/>
    <col min="5152" max="5152" width="12.28515625" style="537" bestFit="1" customWidth="1"/>
    <col min="5153" max="5153" width="11" style="537" bestFit="1" customWidth="1"/>
    <col min="5154" max="5155" width="14.28515625" style="537" bestFit="1" customWidth="1"/>
    <col min="5156" max="5156" width="11" style="537" bestFit="1" customWidth="1"/>
    <col min="5157" max="5157" width="14.42578125" style="537" bestFit="1" customWidth="1"/>
    <col min="5158" max="5158" width="9.140625" style="537"/>
    <col min="5159" max="5159" width="14.28515625" style="537" bestFit="1" customWidth="1"/>
    <col min="5160" max="5160" width="12.85546875" style="537" bestFit="1" customWidth="1"/>
    <col min="5161" max="5161" width="21.140625" style="537" customWidth="1"/>
    <col min="5162" max="5376" width="9.140625" style="537"/>
    <col min="5377" max="5377" width="13.140625" style="537" customWidth="1"/>
    <col min="5378" max="5378" width="69.42578125" style="537" bestFit="1" customWidth="1"/>
    <col min="5379" max="5379" width="14.28515625" style="537" bestFit="1" customWidth="1"/>
    <col min="5380" max="5380" width="11" style="537" bestFit="1" customWidth="1"/>
    <col min="5381" max="5381" width="11.5703125" style="537" bestFit="1" customWidth="1"/>
    <col min="5382" max="5382" width="23.42578125" style="537" customWidth="1"/>
    <col min="5383" max="5383" width="11.42578125" style="537" bestFit="1" customWidth="1"/>
    <col min="5384" max="5384" width="21.85546875" style="537" customWidth="1"/>
    <col min="5385" max="5385" width="11" style="537" bestFit="1" customWidth="1"/>
    <col min="5386" max="5386" width="14.28515625" style="537" bestFit="1" customWidth="1"/>
    <col min="5387" max="5387" width="11.42578125" style="537" bestFit="1" customWidth="1"/>
    <col min="5388" max="5388" width="12.28515625" style="537" bestFit="1" customWidth="1"/>
    <col min="5389" max="5389" width="11" style="537" bestFit="1" customWidth="1"/>
    <col min="5390" max="5390" width="10.140625" style="537" bestFit="1" customWidth="1"/>
    <col min="5391" max="5391" width="12.28515625" style="537" bestFit="1" customWidth="1"/>
    <col min="5392" max="5392" width="11" style="537" bestFit="1" customWidth="1"/>
    <col min="5393" max="5393" width="14.42578125" style="537" bestFit="1" customWidth="1"/>
    <col min="5394" max="5394" width="11.42578125" style="537" bestFit="1" customWidth="1"/>
    <col min="5395" max="5395" width="9.140625" style="537"/>
    <col min="5396" max="5396" width="15.5703125" style="537" bestFit="1" customWidth="1"/>
    <col min="5397" max="5397" width="10.7109375" style="537" bestFit="1" customWidth="1"/>
    <col min="5398" max="5398" width="9.140625" style="537"/>
    <col min="5399" max="5399" width="14.28515625" style="537" bestFit="1" customWidth="1"/>
    <col min="5400" max="5400" width="11" style="537" bestFit="1" customWidth="1"/>
    <col min="5401" max="5401" width="11.5703125" style="537" bestFit="1" customWidth="1"/>
    <col min="5402" max="5402" width="17.85546875" style="537" customWidth="1"/>
    <col min="5403" max="5403" width="11.42578125" style="537" bestFit="1" customWidth="1"/>
    <col min="5404" max="5404" width="18.140625" style="537" customWidth="1"/>
    <col min="5405" max="5405" width="11" style="537" bestFit="1" customWidth="1"/>
    <col min="5406" max="5406" width="14.28515625" style="537" bestFit="1" customWidth="1"/>
    <col min="5407" max="5407" width="11.42578125" style="537" bestFit="1" customWidth="1"/>
    <col min="5408" max="5408" width="12.28515625" style="537" bestFit="1" customWidth="1"/>
    <col min="5409" max="5409" width="11" style="537" bestFit="1" customWidth="1"/>
    <col min="5410" max="5411" width="14.28515625" style="537" bestFit="1" customWidth="1"/>
    <col min="5412" max="5412" width="11" style="537" bestFit="1" customWidth="1"/>
    <col min="5413" max="5413" width="14.42578125" style="537" bestFit="1" customWidth="1"/>
    <col min="5414" max="5414" width="9.140625" style="537"/>
    <col min="5415" max="5415" width="14.28515625" style="537" bestFit="1" customWidth="1"/>
    <col min="5416" max="5416" width="12.85546875" style="537" bestFit="1" customWidth="1"/>
    <col min="5417" max="5417" width="21.140625" style="537" customWidth="1"/>
    <col min="5418" max="5632" width="9.140625" style="537"/>
    <col min="5633" max="5633" width="13.140625" style="537" customWidth="1"/>
    <col min="5634" max="5634" width="69.42578125" style="537" bestFit="1" customWidth="1"/>
    <col min="5635" max="5635" width="14.28515625" style="537" bestFit="1" customWidth="1"/>
    <col min="5636" max="5636" width="11" style="537" bestFit="1" customWidth="1"/>
    <col min="5637" max="5637" width="11.5703125" style="537" bestFit="1" customWidth="1"/>
    <col min="5638" max="5638" width="23.42578125" style="537" customWidth="1"/>
    <col min="5639" max="5639" width="11.42578125" style="537" bestFit="1" customWidth="1"/>
    <col min="5640" max="5640" width="21.85546875" style="537" customWidth="1"/>
    <col min="5641" max="5641" width="11" style="537" bestFit="1" customWidth="1"/>
    <col min="5642" max="5642" width="14.28515625" style="537" bestFit="1" customWidth="1"/>
    <col min="5643" max="5643" width="11.42578125" style="537" bestFit="1" customWidth="1"/>
    <col min="5644" max="5644" width="12.28515625" style="537" bestFit="1" customWidth="1"/>
    <col min="5645" max="5645" width="11" style="537" bestFit="1" customWidth="1"/>
    <col min="5646" max="5646" width="10.140625" style="537" bestFit="1" customWidth="1"/>
    <col min="5647" max="5647" width="12.28515625" style="537" bestFit="1" customWidth="1"/>
    <col min="5648" max="5648" width="11" style="537" bestFit="1" customWidth="1"/>
    <col min="5649" max="5649" width="14.42578125" style="537" bestFit="1" customWidth="1"/>
    <col min="5650" max="5650" width="11.42578125" style="537" bestFit="1" customWidth="1"/>
    <col min="5651" max="5651" width="9.140625" style="537"/>
    <col min="5652" max="5652" width="15.5703125" style="537" bestFit="1" customWidth="1"/>
    <col min="5653" max="5653" width="10.7109375" style="537" bestFit="1" customWidth="1"/>
    <col min="5654" max="5654" width="9.140625" style="537"/>
    <col min="5655" max="5655" width="14.28515625" style="537" bestFit="1" customWidth="1"/>
    <col min="5656" max="5656" width="11" style="537" bestFit="1" customWidth="1"/>
    <col min="5657" max="5657" width="11.5703125" style="537" bestFit="1" customWidth="1"/>
    <col min="5658" max="5658" width="17.85546875" style="537" customWidth="1"/>
    <col min="5659" max="5659" width="11.42578125" style="537" bestFit="1" customWidth="1"/>
    <col min="5660" max="5660" width="18.140625" style="537" customWidth="1"/>
    <col min="5661" max="5661" width="11" style="537" bestFit="1" customWidth="1"/>
    <col min="5662" max="5662" width="14.28515625" style="537" bestFit="1" customWidth="1"/>
    <col min="5663" max="5663" width="11.42578125" style="537" bestFit="1" customWidth="1"/>
    <col min="5664" max="5664" width="12.28515625" style="537" bestFit="1" customWidth="1"/>
    <col min="5665" max="5665" width="11" style="537" bestFit="1" customWidth="1"/>
    <col min="5666" max="5667" width="14.28515625" style="537" bestFit="1" customWidth="1"/>
    <col min="5668" max="5668" width="11" style="537" bestFit="1" customWidth="1"/>
    <col min="5669" max="5669" width="14.42578125" style="537" bestFit="1" customWidth="1"/>
    <col min="5670" max="5670" width="9.140625" style="537"/>
    <col min="5671" max="5671" width="14.28515625" style="537" bestFit="1" customWidth="1"/>
    <col min="5672" max="5672" width="12.85546875" style="537" bestFit="1" customWidth="1"/>
    <col min="5673" max="5673" width="21.140625" style="537" customWidth="1"/>
    <col min="5674" max="5888" width="9.140625" style="537"/>
    <col min="5889" max="5889" width="13.140625" style="537" customWidth="1"/>
    <col min="5890" max="5890" width="69.42578125" style="537" bestFit="1" customWidth="1"/>
    <col min="5891" max="5891" width="14.28515625" style="537" bestFit="1" customWidth="1"/>
    <col min="5892" max="5892" width="11" style="537" bestFit="1" customWidth="1"/>
    <col min="5893" max="5893" width="11.5703125" style="537" bestFit="1" customWidth="1"/>
    <col min="5894" max="5894" width="23.42578125" style="537" customWidth="1"/>
    <col min="5895" max="5895" width="11.42578125" style="537" bestFit="1" customWidth="1"/>
    <col min="5896" max="5896" width="21.85546875" style="537" customWidth="1"/>
    <col min="5897" max="5897" width="11" style="537" bestFit="1" customWidth="1"/>
    <col min="5898" max="5898" width="14.28515625" style="537" bestFit="1" customWidth="1"/>
    <col min="5899" max="5899" width="11.42578125" style="537" bestFit="1" customWidth="1"/>
    <col min="5900" max="5900" width="12.28515625" style="537" bestFit="1" customWidth="1"/>
    <col min="5901" max="5901" width="11" style="537" bestFit="1" customWidth="1"/>
    <col min="5902" max="5902" width="10.140625" style="537" bestFit="1" customWidth="1"/>
    <col min="5903" max="5903" width="12.28515625" style="537" bestFit="1" customWidth="1"/>
    <col min="5904" max="5904" width="11" style="537" bestFit="1" customWidth="1"/>
    <col min="5905" max="5905" width="14.42578125" style="537" bestFit="1" customWidth="1"/>
    <col min="5906" max="5906" width="11.42578125" style="537" bestFit="1" customWidth="1"/>
    <col min="5907" max="5907" width="9.140625" style="537"/>
    <col min="5908" max="5908" width="15.5703125" style="537" bestFit="1" customWidth="1"/>
    <col min="5909" max="5909" width="10.7109375" style="537" bestFit="1" customWidth="1"/>
    <col min="5910" max="5910" width="9.140625" style="537"/>
    <col min="5911" max="5911" width="14.28515625" style="537" bestFit="1" customWidth="1"/>
    <col min="5912" max="5912" width="11" style="537" bestFit="1" customWidth="1"/>
    <col min="5913" max="5913" width="11.5703125" style="537" bestFit="1" customWidth="1"/>
    <col min="5914" max="5914" width="17.85546875" style="537" customWidth="1"/>
    <col min="5915" max="5915" width="11.42578125" style="537" bestFit="1" customWidth="1"/>
    <col min="5916" max="5916" width="18.140625" style="537" customWidth="1"/>
    <col min="5917" max="5917" width="11" style="537" bestFit="1" customWidth="1"/>
    <col min="5918" max="5918" width="14.28515625" style="537" bestFit="1" customWidth="1"/>
    <col min="5919" max="5919" width="11.42578125" style="537" bestFit="1" customWidth="1"/>
    <col min="5920" max="5920" width="12.28515625" style="537" bestFit="1" customWidth="1"/>
    <col min="5921" max="5921" width="11" style="537" bestFit="1" customWidth="1"/>
    <col min="5922" max="5923" width="14.28515625" style="537" bestFit="1" customWidth="1"/>
    <col min="5924" max="5924" width="11" style="537" bestFit="1" customWidth="1"/>
    <col min="5925" max="5925" width="14.42578125" style="537" bestFit="1" customWidth="1"/>
    <col min="5926" max="5926" width="9.140625" style="537"/>
    <col min="5927" max="5927" width="14.28515625" style="537" bestFit="1" customWidth="1"/>
    <col min="5928" max="5928" width="12.85546875" style="537" bestFit="1" customWidth="1"/>
    <col min="5929" max="5929" width="21.140625" style="537" customWidth="1"/>
    <col min="5930" max="6144" width="9.140625" style="537"/>
    <col min="6145" max="6145" width="13.140625" style="537" customWidth="1"/>
    <col min="6146" max="6146" width="69.42578125" style="537" bestFit="1" customWidth="1"/>
    <col min="6147" max="6147" width="14.28515625" style="537" bestFit="1" customWidth="1"/>
    <col min="6148" max="6148" width="11" style="537" bestFit="1" customWidth="1"/>
    <col min="6149" max="6149" width="11.5703125" style="537" bestFit="1" customWidth="1"/>
    <col min="6150" max="6150" width="23.42578125" style="537" customWidth="1"/>
    <col min="6151" max="6151" width="11.42578125" style="537" bestFit="1" customWidth="1"/>
    <col min="6152" max="6152" width="21.85546875" style="537" customWidth="1"/>
    <col min="6153" max="6153" width="11" style="537" bestFit="1" customWidth="1"/>
    <col min="6154" max="6154" width="14.28515625" style="537" bestFit="1" customWidth="1"/>
    <col min="6155" max="6155" width="11.42578125" style="537" bestFit="1" customWidth="1"/>
    <col min="6156" max="6156" width="12.28515625" style="537" bestFit="1" customWidth="1"/>
    <col min="6157" max="6157" width="11" style="537" bestFit="1" customWidth="1"/>
    <col min="6158" max="6158" width="10.140625" style="537" bestFit="1" customWidth="1"/>
    <col min="6159" max="6159" width="12.28515625" style="537" bestFit="1" customWidth="1"/>
    <col min="6160" max="6160" width="11" style="537" bestFit="1" customWidth="1"/>
    <col min="6161" max="6161" width="14.42578125" style="537" bestFit="1" customWidth="1"/>
    <col min="6162" max="6162" width="11.42578125" style="537" bestFit="1" customWidth="1"/>
    <col min="6163" max="6163" width="9.140625" style="537"/>
    <col min="6164" max="6164" width="15.5703125" style="537" bestFit="1" customWidth="1"/>
    <col min="6165" max="6165" width="10.7109375" style="537" bestFit="1" customWidth="1"/>
    <col min="6166" max="6166" width="9.140625" style="537"/>
    <col min="6167" max="6167" width="14.28515625" style="537" bestFit="1" customWidth="1"/>
    <col min="6168" max="6168" width="11" style="537" bestFit="1" customWidth="1"/>
    <col min="6169" max="6169" width="11.5703125" style="537" bestFit="1" customWidth="1"/>
    <col min="6170" max="6170" width="17.85546875" style="537" customWidth="1"/>
    <col min="6171" max="6171" width="11.42578125" style="537" bestFit="1" customWidth="1"/>
    <col min="6172" max="6172" width="18.140625" style="537" customWidth="1"/>
    <col min="6173" max="6173" width="11" style="537" bestFit="1" customWidth="1"/>
    <col min="6174" max="6174" width="14.28515625" style="537" bestFit="1" customWidth="1"/>
    <col min="6175" max="6175" width="11.42578125" style="537" bestFit="1" customWidth="1"/>
    <col min="6176" max="6176" width="12.28515625" style="537" bestFit="1" customWidth="1"/>
    <col min="6177" max="6177" width="11" style="537" bestFit="1" customWidth="1"/>
    <col min="6178" max="6179" width="14.28515625" style="537" bestFit="1" customWidth="1"/>
    <col min="6180" max="6180" width="11" style="537" bestFit="1" customWidth="1"/>
    <col min="6181" max="6181" width="14.42578125" style="537" bestFit="1" customWidth="1"/>
    <col min="6182" max="6182" width="9.140625" style="537"/>
    <col min="6183" max="6183" width="14.28515625" style="537" bestFit="1" customWidth="1"/>
    <col min="6184" max="6184" width="12.85546875" style="537" bestFit="1" customWidth="1"/>
    <col min="6185" max="6185" width="21.140625" style="537" customWidth="1"/>
    <col min="6186" max="6400" width="9.140625" style="537"/>
    <col min="6401" max="6401" width="13.140625" style="537" customWidth="1"/>
    <col min="6402" max="6402" width="69.42578125" style="537" bestFit="1" customWidth="1"/>
    <col min="6403" max="6403" width="14.28515625" style="537" bestFit="1" customWidth="1"/>
    <col min="6404" max="6404" width="11" style="537" bestFit="1" customWidth="1"/>
    <col min="6405" max="6405" width="11.5703125" style="537" bestFit="1" customWidth="1"/>
    <col min="6406" max="6406" width="23.42578125" style="537" customWidth="1"/>
    <col min="6407" max="6407" width="11.42578125" style="537" bestFit="1" customWidth="1"/>
    <col min="6408" max="6408" width="21.85546875" style="537" customWidth="1"/>
    <col min="6409" max="6409" width="11" style="537" bestFit="1" customWidth="1"/>
    <col min="6410" max="6410" width="14.28515625" style="537" bestFit="1" customWidth="1"/>
    <col min="6411" max="6411" width="11.42578125" style="537" bestFit="1" customWidth="1"/>
    <col min="6412" max="6412" width="12.28515625" style="537" bestFit="1" customWidth="1"/>
    <col min="6413" max="6413" width="11" style="537" bestFit="1" customWidth="1"/>
    <col min="6414" max="6414" width="10.140625" style="537" bestFit="1" customWidth="1"/>
    <col min="6415" max="6415" width="12.28515625" style="537" bestFit="1" customWidth="1"/>
    <col min="6416" max="6416" width="11" style="537" bestFit="1" customWidth="1"/>
    <col min="6417" max="6417" width="14.42578125" style="537" bestFit="1" customWidth="1"/>
    <col min="6418" max="6418" width="11.42578125" style="537" bestFit="1" customWidth="1"/>
    <col min="6419" max="6419" width="9.140625" style="537"/>
    <col min="6420" max="6420" width="15.5703125" style="537" bestFit="1" customWidth="1"/>
    <col min="6421" max="6421" width="10.7109375" style="537" bestFit="1" customWidth="1"/>
    <col min="6422" max="6422" width="9.140625" style="537"/>
    <col min="6423" max="6423" width="14.28515625" style="537" bestFit="1" customWidth="1"/>
    <col min="6424" max="6424" width="11" style="537" bestFit="1" customWidth="1"/>
    <col min="6425" max="6425" width="11.5703125" style="537" bestFit="1" customWidth="1"/>
    <col min="6426" max="6426" width="17.85546875" style="537" customWidth="1"/>
    <col min="6427" max="6427" width="11.42578125" style="537" bestFit="1" customWidth="1"/>
    <col min="6428" max="6428" width="18.140625" style="537" customWidth="1"/>
    <col min="6429" max="6429" width="11" style="537" bestFit="1" customWidth="1"/>
    <col min="6430" max="6430" width="14.28515625" style="537" bestFit="1" customWidth="1"/>
    <col min="6431" max="6431" width="11.42578125" style="537" bestFit="1" customWidth="1"/>
    <col min="6432" max="6432" width="12.28515625" style="537" bestFit="1" customWidth="1"/>
    <col min="6433" max="6433" width="11" style="537" bestFit="1" customWidth="1"/>
    <col min="6434" max="6435" width="14.28515625" style="537" bestFit="1" customWidth="1"/>
    <col min="6436" max="6436" width="11" style="537" bestFit="1" customWidth="1"/>
    <col min="6437" max="6437" width="14.42578125" style="537" bestFit="1" customWidth="1"/>
    <col min="6438" max="6438" width="9.140625" style="537"/>
    <col min="6439" max="6439" width="14.28515625" style="537" bestFit="1" customWidth="1"/>
    <col min="6440" max="6440" width="12.85546875" style="537" bestFit="1" customWidth="1"/>
    <col min="6441" max="6441" width="21.140625" style="537" customWidth="1"/>
    <col min="6442" max="6656" width="9.140625" style="537"/>
    <col min="6657" max="6657" width="13.140625" style="537" customWidth="1"/>
    <col min="6658" max="6658" width="69.42578125" style="537" bestFit="1" customWidth="1"/>
    <col min="6659" max="6659" width="14.28515625" style="537" bestFit="1" customWidth="1"/>
    <col min="6660" max="6660" width="11" style="537" bestFit="1" customWidth="1"/>
    <col min="6661" max="6661" width="11.5703125" style="537" bestFit="1" customWidth="1"/>
    <col min="6662" max="6662" width="23.42578125" style="537" customWidth="1"/>
    <col min="6663" max="6663" width="11.42578125" style="537" bestFit="1" customWidth="1"/>
    <col min="6664" max="6664" width="21.85546875" style="537" customWidth="1"/>
    <col min="6665" max="6665" width="11" style="537" bestFit="1" customWidth="1"/>
    <col min="6666" max="6666" width="14.28515625" style="537" bestFit="1" customWidth="1"/>
    <col min="6667" max="6667" width="11.42578125" style="537" bestFit="1" customWidth="1"/>
    <col min="6668" max="6668" width="12.28515625" style="537" bestFit="1" customWidth="1"/>
    <col min="6669" max="6669" width="11" style="537" bestFit="1" customWidth="1"/>
    <col min="6670" max="6670" width="10.140625" style="537" bestFit="1" customWidth="1"/>
    <col min="6671" max="6671" width="12.28515625" style="537" bestFit="1" customWidth="1"/>
    <col min="6672" max="6672" width="11" style="537" bestFit="1" customWidth="1"/>
    <col min="6673" max="6673" width="14.42578125" style="537" bestFit="1" customWidth="1"/>
    <col min="6674" max="6674" width="11.42578125" style="537" bestFit="1" customWidth="1"/>
    <col min="6675" max="6675" width="9.140625" style="537"/>
    <col min="6676" max="6676" width="15.5703125" style="537" bestFit="1" customWidth="1"/>
    <col min="6677" max="6677" width="10.7109375" style="537" bestFit="1" customWidth="1"/>
    <col min="6678" max="6678" width="9.140625" style="537"/>
    <col min="6679" max="6679" width="14.28515625" style="537" bestFit="1" customWidth="1"/>
    <col min="6680" max="6680" width="11" style="537" bestFit="1" customWidth="1"/>
    <col min="6681" max="6681" width="11.5703125" style="537" bestFit="1" customWidth="1"/>
    <col min="6682" max="6682" width="17.85546875" style="537" customWidth="1"/>
    <col min="6683" max="6683" width="11.42578125" style="537" bestFit="1" customWidth="1"/>
    <col min="6684" max="6684" width="18.140625" style="537" customWidth="1"/>
    <col min="6685" max="6685" width="11" style="537" bestFit="1" customWidth="1"/>
    <col min="6686" max="6686" width="14.28515625" style="537" bestFit="1" customWidth="1"/>
    <col min="6687" max="6687" width="11.42578125" style="537" bestFit="1" customWidth="1"/>
    <col min="6688" max="6688" width="12.28515625" style="537" bestFit="1" customWidth="1"/>
    <col min="6689" max="6689" width="11" style="537" bestFit="1" customWidth="1"/>
    <col min="6690" max="6691" width="14.28515625" style="537" bestFit="1" customWidth="1"/>
    <col min="6692" max="6692" width="11" style="537" bestFit="1" customWidth="1"/>
    <col min="6693" max="6693" width="14.42578125" style="537" bestFit="1" customWidth="1"/>
    <col min="6694" max="6694" width="9.140625" style="537"/>
    <col min="6695" max="6695" width="14.28515625" style="537" bestFit="1" customWidth="1"/>
    <col min="6696" max="6696" width="12.85546875" style="537" bestFit="1" customWidth="1"/>
    <col min="6697" max="6697" width="21.140625" style="537" customWidth="1"/>
    <col min="6698" max="6912" width="9.140625" style="537"/>
    <col min="6913" max="6913" width="13.140625" style="537" customWidth="1"/>
    <col min="6914" max="6914" width="69.42578125" style="537" bestFit="1" customWidth="1"/>
    <col min="6915" max="6915" width="14.28515625" style="537" bestFit="1" customWidth="1"/>
    <col min="6916" max="6916" width="11" style="537" bestFit="1" customWidth="1"/>
    <col min="6917" max="6917" width="11.5703125" style="537" bestFit="1" customWidth="1"/>
    <col min="6918" max="6918" width="23.42578125" style="537" customWidth="1"/>
    <col min="6919" max="6919" width="11.42578125" style="537" bestFit="1" customWidth="1"/>
    <col min="6920" max="6920" width="21.85546875" style="537" customWidth="1"/>
    <col min="6921" max="6921" width="11" style="537" bestFit="1" customWidth="1"/>
    <col min="6922" max="6922" width="14.28515625" style="537" bestFit="1" customWidth="1"/>
    <col min="6923" max="6923" width="11.42578125" style="537" bestFit="1" customWidth="1"/>
    <col min="6924" max="6924" width="12.28515625" style="537" bestFit="1" customWidth="1"/>
    <col min="6925" max="6925" width="11" style="537" bestFit="1" customWidth="1"/>
    <col min="6926" max="6926" width="10.140625" style="537" bestFit="1" customWidth="1"/>
    <col min="6927" max="6927" width="12.28515625" style="537" bestFit="1" customWidth="1"/>
    <col min="6928" max="6928" width="11" style="537" bestFit="1" customWidth="1"/>
    <col min="6929" max="6929" width="14.42578125" style="537" bestFit="1" customWidth="1"/>
    <col min="6930" max="6930" width="11.42578125" style="537" bestFit="1" customWidth="1"/>
    <col min="6931" max="6931" width="9.140625" style="537"/>
    <col min="6932" max="6932" width="15.5703125" style="537" bestFit="1" customWidth="1"/>
    <col min="6933" max="6933" width="10.7109375" style="537" bestFit="1" customWidth="1"/>
    <col min="6934" max="6934" width="9.140625" style="537"/>
    <col min="6935" max="6935" width="14.28515625" style="537" bestFit="1" customWidth="1"/>
    <col min="6936" max="6936" width="11" style="537" bestFit="1" customWidth="1"/>
    <col min="6937" max="6937" width="11.5703125" style="537" bestFit="1" customWidth="1"/>
    <col min="6938" max="6938" width="17.85546875" style="537" customWidth="1"/>
    <col min="6939" max="6939" width="11.42578125" style="537" bestFit="1" customWidth="1"/>
    <col min="6940" max="6940" width="18.140625" style="537" customWidth="1"/>
    <col min="6941" max="6941" width="11" style="537" bestFit="1" customWidth="1"/>
    <col min="6942" max="6942" width="14.28515625" style="537" bestFit="1" customWidth="1"/>
    <col min="6943" max="6943" width="11.42578125" style="537" bestFit="1" customWidth="1"/>
    <col min="6944" max="6944" width="12.28515625" style="537" bestFit="1" customWidth="1"/>
    <col min="6945" max="6945" width="11" style="537" bestFit="1" customWidth="1"/>
    <col min="6946" max="6947" width="14.28515625" style="537" bestFit="1" customWidth="1"/>
    <col min="6948" max="6948" width="11" style="537" bestFit="1" customWidth="1"/>
    <col min="6949" max="6949" width="14.42578125" style="537" bestFit="1" customWidth="1"/>
    <col min="6950" max="6950" width="9.140625" style="537"/>
    <col min="6951" max="6951" width="14.28515625" style="537" bestFit="1" customWidth="1"/>
    <col min="6952" max="6952" width="12.85546875" style="537" bestFit="1" customWidth="1"/>
    <col min="6953" max="6953" width="21.140625" style="537" customWidth="1"/>
    <col min="6954" max="7168" width="9.140625" style="537"/>
    <col min="7169" max="7169" width="13.140625" style="537" customWidth="1"/>
    <col min="7170" max="7170" width="69.42578125" style="537" bestFit="1" customWidth="1"/>
    <col min="7171" max="7171" width="14.28515625" style="537" bestFit="1" customWidth="1"/>
    <col min="7172" max="7172" width="11" style="537" bestFit="1" customWidth="1"/>
    <col min="7173" max="7173" width="11.5703125" style="537" bestFit="1" customWidth="1"/>
    <col min="7174" max="7174" width="23.42578125" style="537" customWidth="1"/>
    <col min="7175" max="7175" width="11.42578125" style="537" bestFit="1" customWidth="1"/>
    <col min="7176" max="7176" width="21.85546875" style="537" customWidth="1"/>
    <col min="7177" max="7177" width="11" style="537" bestFit="1" customWidth="1"/>
    <col min="7178" max="7178" width="14.28515625" style="537" bestFit="1" customWidth="1"/>
    <col min="7179" max="7179" width="11.42578125" style="537" bestFit="1" customWidth="1"/>
    <col min="7180" max="7180" width="12.28515625" style="537" bestFit="1" customWidth="1"/>
    <col min="7181" max="7181" width="11" style="537" bestFit="1" customWidth="1"/>
    <col min="7182" max="7182" width="10.140625" style="537" bestFit="1" customWidth="1"/>
    <col min="7183" max="7183" width="12.28515625" style="537" bestFit="1" customWidth="1"/>
    <col min="7184" max="7184" width="11" style="537" bestFit="1" customWidth="1"/>
    <col min="7185" max="7185" width="14.42578125" style="537" bestFit="1" customWidth="1"/>
    <col min="7186" max="7186" width="11.42578125" style="537" bestFit="1" customWidth="1"/>
    <col min="7187" max="7187" width="9.140625" style="537"/>
    <col min="7188" max="7188" width="15.5703125" style="537" bestFit="1" customWidth="1"/>
    <col min="7189" max="7189" width="10.7109375" style="537" bestFit="1" customWidth="1"/>
    <col min="7190" max="7190" width="9.140625" style="537"/>
    <col min="7191" max="7191" width="14.28515625" style="537" bestFit="1" customWidth="1"/>
    <col min="7192" max="7192" width="11" style="537" bestFit="1" customWidth="1"/>
    <col min="7193" max="7193" width="11.5703125" style="537" bestFit="1" customWidth="1"/>
    <col min="7194" max="7194" width="17.85546875" style="537" customWidth="1"/>
    <col min="7195" max="7195" width="11.42578125" style="537" bestFit="1" customWidth="1"/>
    <col min="7196" max="7196" width="18.140625" style="537" customWidth="1"/>
    <col min="7197" max="7197" width="11" style="537" bestFit="1" customWidth="1"/>
    <col min="7198" max="7198" width="14.28515625" style="537" bestFit="1" customWidth="1"/>
    <col min="7199" max="7199" width="11.42578125" style="537" bestFit="1" customWidth="1"/>
    <col min="7200" max="7200" width="12.28515625" style="537" bestFit="1" customWidth="1"/>
    <col min="7201" max="7201" width="11" style="537" bestFit="1" customWidth="1"/>
    <col min="7202" max="7203" width="14.28515625" style="537" bestFit="1" customWidth="1"/>
    <col min="7204" max="7204" width="11" style="537" bestFit="1" customWidth="1"/>
    <col min="7205" max="7205" width="14.42578125" style="537" bestFit="1" customWidth="1"/>
    <col min="7206" max="7206" width="9.140625" style="537"/>
    <col min="7207" max="7207" width="14.28515625" style="537" bestFit="1" customWidth="1"/>
    <col min="7208" max="7208" width="12.85546875" style="537" bestFit="1" customWidth="1"/>
    <col min="7209" max="7209" width="21.140625" style="537" customWidth="1"/>
    <col min="7210" max="7424" width="9.140625" style="537"/>
    <col min="7425" max="7425" width="13.140625" style="537" customWidth="1"/>
    <col min="7426" max="7426" width="69.42578125" style="537" bestFit="1" customWidth="1"/>
    <col min="7427" max="7427" width="14.28515625" style="537" bestFit="1" customWidth="1"/>
    <col min="7428" max="7428" width="11" style="537" bestFit="1" customWidth="1"/>
    <col min="7429" max="7429" width="11.5703125" style="537" bestFit="1" customWidth="1"/>
    <col min="7430" max="7430" width="23.42578125" style="537" customWidth="1"/>
    <col min="7431" max="7431" width="11.42578125" style="537" bestFit="1" customWidth="1"/>
    <col min="7432" max="7432" width="21.85546875" style="537" customWidth="1"/>
    <col min="7433" max="7433" width="11" style="537" bestFit="1" customWidth="1"/>
    <col min="7434" max="7434" width="14.28515625" style="537" bestFit="1" customWidth="1"/>
    <col min="7435" max="7435" width="11.42578125" style="537" bestFit="1" customWidth="1"/>
    <col min="7436" max="7436" width="12.28515625" style="537" bestFit="1" customWidth="1"/>
    <col min="7437" max="7437" width="11" style="537" bestFit="1" customWidth="1"/>
    <col min="7438" max="7438" width="10.140625" style="537" bestFit="1" customWidth="1"/>
    <col min="7439" max="7439" width="12.28515625" style="537" bestFit="1" customWidth="1"/>
    <col min="7440" max="7440" width="11" style="537" bestFit="1" customWidth="1"/>
    <col min="7441" max="7441" width="14.42578125" style="537" bestFit="1" customWidth="1"/>
    <col min="7442" max="7442" width="11.42578125" style="537" bestFit="1" customWidth="1"/>
    <col min="7443" max="7443" width="9.140625" style="537"/>
    <col min="7444" max="7444" width="15.5703125" style="537" bestFit="1" customWidth="1"/>
    <col min="7445" max="7445" width="10.7109375" style="537" bestFit="1" customWidth="1"/>
    <col min="7446" max="7446" width="9.140625" style="537"/>
    <col min="7447" max="7447" width="14.28515625" style="537" bestFit="1" customWidth="1"/>
    <col min="7448" max="7448" width="11" style="537" bestFit="1" customWidth="1"/>
    <col min="7449" max="7449" width="11.5703125" style="537" bestFit="1" customWidth="1"/>
    <col min="7450" max="7450" width="17.85546875" style="537" customWidth="1"/>
    <col min="7451" max="7451" width="11.42578125" style="537" bestFit="1" customWidth="1"/>
    <col min="7452" max="7452" width="18.140625" style="537" customWidth="1"/>
    <col min="7453" max="7453" width="11" style="537" bestFit="1" customWidth="1"/>
    <col min="7454" max="7454" width="14.28515625" style="537" bestFit="1" customWidth="1"/>
    <col min="7455" max="7455" width="11.42578125" style="537" bestFit="1" customWidth="1"/>
    <col min="7456" max="7456" width="12.28515625" style="537" bestFit="1" customWidth="1"/>
    <col min="7457" max="7457" width="11" style="537" bestFit="1" customWidth="1"/>
    <col min="7458" max="7459" width="14.28515625" style="537" bestFit="1" customWidth="1"/>
    <col min="7460" max="7460" width="11" style="537" bestFit="1" customWidth="1"/>
    <col min="7461" max="7461" width="14.42578125" style="537" bestFit="1" customWidth="1"/>
    <col min="7462" max="7462" width="9.140625" style="537"/>
    <col min="7463" max="7463" width="14.28515625" style="537" bestFit="1" customWidth="1"/>
    <col min="7464" max="7464" width="12.85546875" style="537" bestFit="1" customWidth="1"/>
    <col min="7465" max="7465" width="21.140625" style="537" customWidth="1"/>
    <col min="7466" max="7680" width="9.140625" style="537"/>
    <col min="7681" max="7681" width="13.140625" style="537" customWidth="1"/>
    <col min="7682" max="7682" width="69.42578125" style="537" bestFit="1" customWidth="1"/>
    <col min="7683" max="7683" width="14.28515625" style="537" bestFit="1" customWidth="1"/>
    <col min="7684" max="7684" width="11" style="537" bestFit="1" customWidth="1"/>
    <col min="7685" max="7685" width="11.5703125" style="537" bestFit="1" customWidth="1"/>
    <col min="7686" max="7686" width="23.42578125" style="537" customWidth="1"/>
    <col min="7687" max="7687" width="11.42578125" style="537" bestFit="1" customWidth="1"/>
    <col min="7688" max="7688" width="21.85546875" style="537" customWidth="1"/>
    <col min="7689" max="7689" width="11" style="537" bestFit="1" customWidth="1"/>
    <col min="7690" max="7690" width="14.28515625" style="537" bestFit="1" customWidth="1"/>
    <col min="7691" max="7691" width="11.42578125" style="537" bestFit="1" customWidth="1"/>
    <col min="7692" max="7692" width="12.28515625" style="537" bestFit="1" customWidth="1"/>
    <col min="7693" max="7693" width="11" style="537" bestFit="1" customWidth="1"/>
    <col min="7694" max="7694" width="10.140625" style="537" bestFit="1" customWidth="1"/>
    <col min="7695" max="7695" width="12.28515625" style="537" bestFit="1" customWidth="1"/>
    <col min="7696" max="7696" width="11" style="537" bestFit="1" customWidth="1"/>
    <col min="7697" max="7697" width="14.42578125" style="537" bestFit="1" customWidth="1"/>
    <col min="7698" max="7698" width="11.42578125" style="537" bestFit="1" customWidth="1"/>
    <col min="7699" max="7699" width="9.140625" style="537"/>
    <col min="7700" max="7700" width="15.5703125" style="537" bestFit="1" customWidth="1"/>
    <col min="7701" max="7701" width="10.7109375" style="537" bestFit="1" customWidth="1"/>
    <col min="7702" max="7702" width="9.140625" style="537"/>
    <col min="7703" max="7703" width="14.28515625" style="537" bestFit="1" customWidth="1"/>
    <col min="7704" max="7704" width="11" style="537" bestFit="1" customWidth="1"/>
    <col min="7705" max="7705" width="11.5703125" style="537" bestFit="1" customWidth="1"/>
    <col min="7706" max="7706" width="17.85546875" style="537" customWidth="1"/>
    <col min="7707" max="7707" width="11.42578125" style="537" bestFit="1" customWidth="1"/>
    <col min="7708" max="7708" width="18.140625" style="537" customWidth="1"/>
    <col min="7709" max="7709" width="11" style="537" bestFit="1" customWidth="1"/>
    <col min="7710" max="7710" width="14.28515625" style="537" bestFit="1" customWidth="1"/>
    <col min="7711" max="7711" width="11.42578125" style="537" bestFit="1" customWidth="1"/>
    <col min="7712" max="7712" width="12.28515625" style="537" bestFit="1" customWidth="1"/>
    <col min="7713" max="7713" width="11" style="537" bestFit="1" customWidth="1"/>
    <col min="7714" max="7715" width="14.28515625" style="537" bestFit="1" customWidth="1"/>
    <col min="7716" max="7716" width="11" style="537" bestFit="1" customWidth="1"/>
    <col min="7717" max="7717" width="14.42578125" style="537" bestFit="1" customWidth="1"/>
    <col min="7718" max="7718" width="9.140625" style="537"/>
    <col min="7719" max="7719" width="14.28515625" style="537" bestFit="1" customWidth="1"/>
    <col min="7720" max="7720" width="12.85546875" style="537" bestFit="1" customWidth="1"/>
    <col min="7721" max="7721" width="21.140625" style="537" customWidth="1"/>
    <col min="7722" max="7936" width="9.140625" style="537"/>
    <col min="7937" max="7937" width="13.140625" style="537" customWidth="1"/>
    <col min="7938" max="7938" width="69.42578125" style="537" bestFit="1" customWidth="1"/>
    <col min="7939" max="7939" width="14.28515625" style="537" bestFit="1" customWidth="1"/>
    <col min="7940" max="7940" width="11" style="537" bestFit="1" customWidth="1"/>
    <col min="7941" max="7941" width="11.5703125" style="537" bestFit="1" customWidth="1"/>
    <col min="7942" max="7942" width="23.42578125" style="537" customWidth="1"/>
    <col min="7943" max="7943" width="11.42578125" style="537" bestFit="1" customWidth="1"/>
    <col min="7944" max="7944" width="21.85546875" style="537" customWidth="1"/>
    <col min="7945" max="7945" width="11" style="537" bestFit="1" customWidth="1"/>
    <col min="7946" max="7946" width="14.28515625" style="537" bestFit="1" customWidth="1"/>
    <col min="7947" max="7947" width="11.42578125" style="537" bestFit="1" customWidth="1"/>
    <col min="7948" max="7948" width="12.28515625" style="537" bestFit="1" customWidth="1"/>
    <col min="7949" max="7949" width="11" style="537" bestFit="1" customWidth="1"/>
    <col min="7950" max="7950" width="10.140625" style="537" bestFit="1" customWidth="1"/>
    <col min="7951" max="7951" width="12.28515625" style="537" bestFit="1" customWidth="1"/>
    <col min="7952" max="7952" width="11" style="537" bestFit="1" customWidth="1"/>
    <col min="7953" max="7953" width="14.42578125" style="537" bestFit="1" customWidth="1"/>
    <col min="7954" max="7954" width="11.42578125" style="537" bestFit="1" customWidth="1"/>
    <col min="7955" max="7955" width="9.140625" style="537"/>
    <col min="7956" max="7956" width="15.5703125" style="537" bestFit="1" customWidth="1"/>
    <col min="7957" max="7957" width="10.7109375" style="537" bestFit="1" customWidth="1"/>
    <col min="7958" max="7958" width="9.140625" style="537"/>
    <col min="7959" max="7959" width="14.28515625" style="537" bestFit="1" customWidth="1"/>
    <col min="7960" max="7960" width="11" style="537" bestFit="1" customWidth="1"/>
    <col min="7961" max="7961" width="11.5703125" style="537" bestFit="1" customWidth="1"/>
    <col min="7962" max="7962" width="17.85546875" style="537" customWidth="1"/>
    <col min="7963" max="7963" width="11.42578125" style="537" bestFit="1" customWidth="1"/>
    <col min="7964" max="7964" width="18.140625" style="537" customWidth="1"/>
    <col min="7965" max="7965" width="11" style="537" bestFit="1" customWidth="1"/>
    <col min="7966" max="7966" width="14.28515625" style="537" bestFit="1" customWidth="1"/>
    <col min="7967" max="7967" width="11.42578125" style="537" bestFit="1" customWidth="1"/>
    <col min="7968" max="7968" width="12.28515625" style="537" bestFit="1" customWidth="1"/>
    <col min="7969" max="7969" width="11" style="537" bestFit="1" customWidth="1"/>
    <col min="7970" max="7971" width="14.28515625" style="537" bestFit="1" customWidth="1"/>
    <col min="7972" max="7972" width="11" style="537" bestFit="1" customWidth="1"/>
    <col min="7973" max="7973" width="14.42578125" style="537" bestFit="1" customWidth="1"/>
    <col min="7974" max="7974" width="9.140625" style="537"/>
    <col min="7975" max="7975" width="14.28515625" style="537" bestFit="1" customWidth="1"/>
    <col min="7976" max="7976" width="12.85546875" style="537" bestFit="1" customWidth="1"/>
    <col min="7977" max="7977" width="21.140625" style="537" customWidth="1"/>
    <col min="7978" max="8192" width="9.140625" style="537"/>
    <col min="8193" max="8193" width="13.140625" style="537" customWidth="1"/>
    <col min="8194" max="8194" width="69.42578125" style="537" bestFit="1" customWidth="1"/>
    <col min="8195" max="8195" width="14.28515625" style="537" bestFit="1" customWidth="1"/>
    <col min="8196" max="8196" width="11" style="537" bestFit="1" customWidth="1"/>
    <col min="8197" max="8197" width="11.5703125" style="537" bestFit="1" customWidth="1"/>
    <col min="8198" max="8198" width="23.42578125" style="537" customWidth="1"/>
    <col min="8199" max="8199" width="11.42578125" style="537" bestFit="1" customWidth="1"/>
    <col min="8200" max="8200" width="21.85546875" style="537" customWidth="1"/>
    <col min="8201" max="8201" width="11" style="537" bestFit="1" customWidth="1"/>
    <col min="8202" max="8202" width="14.28515625" style="537" bestFit="1" customWidth="1"/>
    <col min="8203" max="8203" width="11.42578125" style="537" bestFit="1" customWidth="1"/>
    <col min="8204" max="8204" width="12.28515625" style="537" bestFit="1" customWidth="1"/>
    <col min="8205" max="8205" width="11" style="537" bestFit="1" customWidth="1"/>
    <col min="8206" max="8206" width="10.140625" style="537" bestFit="1" customWidth="1"/>
    <col min="8207" max="8207" width="12.28515625" style="537" bestFit="1" customWidth="1"/>
    <col min="8208" max="8208" width="11" style="537" bestFit="1" customWidth="1"/>
    <col min="8209" max="8209" width="14.42578125" style="537" bestFit="1" customWidth="1"/>
    <col min="8210" max="8210" width="11.42578125" style="537" bestFit="1" customWidth="1"/>
    <col min="8211" max="8211" width="9.140625" style="537"/>
    <col min="8212" max="8212" width="15.5703125" style="537" bestFit="1" customWidth="1"/>
    <col min="8213" max="8213" width="10.7109375" style="537" bestFit="1" customWidth="1"/>
    <col min="8214" max="8214" width="9.140625" style="537"/>
    <col min="8215" max="8215" width="14.28515625" style="537" bestFit="1" customWidth="1"/>
    <col min="8216" max="8216" width="11" style="537" bestFit="1" customWidth="1"/>
    <col min="8217" max="8217" width="11.5703125" style="537" bestFit="1" customWidth="1"/>
    <col min="8218" max="8218" width="17.85546875" style="537" customWidth="1"/>
    <col min="8219" max="8219" width="11.42578125" style="537" bestFit="1" customWidth="1"/>
    <col min="8220" max="8220" width="18.140625" style="537" customWidth="1"/>
    <col min="8221" max="8221" width="11" style="537" bestFit="1" customWidth="1"/>
    <col min="8222" max="8222" width="14.28515625" style="537" bestFit="1" customWidth="1"/>
    <col min="8223" max="8223" width="11.42578125" style="537" bestFit="1" customWidth="1"/>
    <col min="8224" max="8224" width="12.28515625" style="537" bestFit="1" customWidth="1"/>
    <col min="8225" max="8225" width="11" style="537" bestFit="1" customWidth="1"/>
    <col min="8226" max="8227" width="14.28515625" style="537" bestFit="1" customWidth="1"/>
    <col min="8228" max="8228" width="11" style="537" bestFit="1" customWidth="1"/>
    <col min="8229" max="8229" width="14.42578125" style="537" bestFit="1" customWidth="1"/>
    <col min="8230" max="8230" width="9.140625" style="537"/>
    <col min="8231" max="8231" width="14.28515625" style="537" bestFit="1" customWidth="1"/>
    <col min="8232" max="8232" width="12.85546875" style="537" bestFit="1" customWidth="1"/>
    <col min="8233" max="8233" width="21.140625" style="537" customWidth="1"/>
    <col min="8234" max="8448" width="9.140625" style="537"/>
    <col min="8449" max="8449" width="13.140625" style="537" customWidth="1"/>
    <col min="8450" max="8450" width="69.42578125" style="537" bestFit="1" customWidth="1"/>
    <col min="8451" max="8451" width="14.28515625" style="537" bestFit="1" customWidth="1"/>
    <col min="8452" max="8452" width="11" style="537" bestFit="1" customWidth="1"/>
    <col min="8453" max="8453" width="11.5703125" style="537" bestFit="1" customWidth="1"/>
    <col min="8454" max="8454" width="23.42578125" style="537" customWidth="1"/>
    <col min="8455" max="8455" width="11.42578125" style="537" bestFit="1" customWidth="1"/>
    <col min="8456" max="8456" width="21.85546875" style="537" customWidth="1"/>
    <col min="8457" max="8457" width="11" style="537" bestFit="1" customWidth="1"/>
    <col min="8458" max="8458" width="14.28515625" style="537" bestFit="1" customWidth="1"/>
    <col min="8459" max="8459" width="11.42578125" style="537" bestFit="1" customWidth="1"/>
    <col min="8460" max="8460" width="12.28515625" style="537" bestFit="1" customWidth="1"/>
    <col min="8461" max="8461" width="11" style="537" bestFit="1" customWidth="1"/>
    <col min="8462" max="8462" width="10.140625" style="537" bestFit="1" customWidth="1"/>
    <col min="8463" max="8463" width="12.28515625" style="537" bestFit="1" customWidth="1"/>
    <col min="8464" max="8464" width="11" style="537" bestFit="1" customWidth="1"/>
    <col min="8465" max="8465" width="14.42578125" style="537" bestFit="1" customWidth="1"/>
    <col min="8466" max="8466" width="11.42578125" style="537" bestFit="1" customWidth="1"/>
    <col min="8467" max="8467" width="9.140625" style="537"/>
    <col min="8468" max="8468" width="15.5703125" style="537" bestFit="1" customWidth="1"/>
    <col min="8469" max="8469" width="10.7109375" style="537" bestFit="1" customWidth="1"/>
    <col min="8470" max="8470" width="9.140625" style="537"/>
    <col min="8471" max="8471" width="14.28515625" style="537" bestFit="1" customWidth="1"/>
    <col min="8472" max="8472" width="11" style="537" bestFit="1" customWidth="1"/>
    <col min="8473" max="8473" width="11.5703125" style="537" bestFit="1" customWidth="1"/>
    <col min="8474" max="8474" width="17.85546875" style="537" customWidth="1"/>
    <col min="8475" max="8475" width="11.42578125" style="537" bestFit="1" customWidth="1"/>
    <col min="8476" max="8476" width="18.140625" style="537" customWidth="1"/>
    <col min="8477" max="8477" width="11" style="537" bestFit="1" customWidth="1"/>
    <col min="8478" max="8478" width="14.28515625" style="537" bestFit="1" customWidth="1"/>
    <col min="8479" max="8479" width="11.42578125" style="537" bestFit="1" customWidth="1"/>
    <col min="8480" max="8480" width="12.28515625" style="537" bestFit="1" customWidth="1"/>
    <col min="8481" max="8481" width="11" style="537" bestFit="1" customWidth="1"/>
    <col min="8482" max="8483" width="14.28515625" style="537" bestFit="1" customWidth="1"/>
    <col min="8484" max="8484" width="11" style="537" bestFit="1" customWidth="1"/>
    <col min="8485" max="8485" width="14.42578125" style="537" bestFit="1" customWidth="1"/>
    <col min="8486" max="8486" width="9.140625" style="537"/>
    <col min="8487" max="8487" width="14.28515625" style="537" bestFit="1" customWidth="1"/>
    <col min="8488" max="8488" width="12.85546875" style="537" bestFit="1" customWidth="1"/>
    <col min="8489" max="8489" width="21.140625" style="537" customWidth="1"/>
    <col min="8490" max="8704" width="9.140625" style="537"/>
    <col min="8705" max="8705" width="13.140625" style="537" customWidth="1"/>
    <col min="8706" max="8706" width="69.42578125" style="537" bestFit="1" customWidth="1"/>
    <col min="8707" max="8707" width="14.28515625" style="537" bestFit="1" customWidth="1"/>
    <col min="8708" max="8708" width="11" style="537" bestFit="1" customWidth="1"/>
    <col min="8709" max="8709" width="11.5703125" style="537" bestFit="1" customWidth="1"/>
    <col min="8710" max="8710" width="23.42578125" style="537" customWidth="1"/>
    <col min="8711" max="8711" width="11.42578125" style="537" bestFit="1" customWidth="1"/>
    <col min="8712" max="8712" width="21.85546875" style="537" customWidth="1"/>
    <col min="8713" max="8713" width="11" style="537" bestFit="1" customWidth="1"/>
    <col min="8714" max="8714" width="14.28515625" style="537" bestFit="1" customWidth="1"/>
    <col min="8715" max="8715" width="11.42578125" style="537" bestFit="1" customWidth="1"/>
    <col min="8716" max="8716" width="12.28515625" style="537" bestFit="1" customWidth="1"/>
    <col min="8717" max="8717" width="11" style="537" bestFit="1" customWidth="1"/>
    <col min="8718" max="8718" width="10.140625" style="537" bestFit="1" customWidth="1"/>
    <col min="8719" max="8719" width="12.28515625" style="537" bestFit="1" customWidth="1"/>
    <col min="8720" max="8720" width="11" style="537" bestFit="1" customWidth="1"/>
    <col min="8721" max="8721" width="14.42578125" style="537" bestFit="1" customWidth="1"/>
    <col min="8722" max="8722" width="11.42578125" style="537" bestFit="1" customWidth="1"/>
    <col min="8723" max="8723" width="9.140625" style="537"/>
    <col min="8724" max="8724" width="15.5703125" style="537" bestFit="1" customWidth="1"/>
    <col min="8725" max="8725" width="10.7109375" style="537" bestFit="1" customWidth="1"/>
    <col min="8726" max="8726" width="9.140625" style="537"/>
    <col min="8727" max="8727" width="14.28515625" style="537" bestFit="1" customWidth="1"/>
    <col min="8728" max="8728" width="11" style="537" bestFit="1" customWidth="1"/>
    <col min="8729" max="8729" width="11.5703125" style="537" bestFit="1" customWidth="1"/>
    <col min="8730" max="8730" width="17.85546875" style="537" customWidth="1"/>
    <col min="8731" max="8731" width="11.42578125" style="537" bestFit="1" customWidth="1"/>
    <col min="8732" max="8732" width="18.140625" style="537" customWidth="1"/>
    <col min="8733" max="8733" width="11" style="537" bestFit="1" customWidth="1"/>
    <col min="8734" max="8734" width="14.28515625" style="537" bestFit="1" customWidth="1"/>
    <col min="8735" max="8735" width="11.42578125" style="537" bestFit="1" customWidth="1"/>
    <col min="8736" max="8736" width="12.28515625" style="537" bestFit="1" customWidth="1"/>
    <col min="8737" max="8737" width="11" style="537" bestFit="1" customWidth="1"/>
    <col min="8738" max="8739" width="14.28515625" style="537" bestFit="1" customWidth="1"/>
    <col min="8740" max="8740" width="11" style="537" bestFit="1" customWidth="1"/>
    <col min="8741" max="8741" width="14.42578125" style="537" bestFit="1" customWidth="1"/>
    <col min="8742" max="8742" width="9.140625" style="537"/>
    <col min="8743" max="8743" width="14.28515625" style="537" bestFit="1" customWidth="1"/>
    <col min="8744" max="8744" width="12.85546875" style="537" bestFit="1" customWidth="1"/>
    <col min="8745" max="8745" width="21.140625" style="537" customWidth="1"/>
    <col min="8746" max="8960" width="9.140625" style="537"/>
    <col min="8961" max="8961" width="13.140625" style="537" customWidth="1"/>
    <col min="8962" max="8962" width="69.42578125" style="537" bestFit="1" customWidth="1"/>
    <col min="8963" max="8963" width="14.28515625" style="537" bestFit="1" customWidth="1"/>
    <col min="8964" max="8964" width="11" style="537" bestFit="1" customWidth="1"/>
    <col min="8965" max="8965" width="11.5703125" style="537" bestFit="1" customWidth="1"/>
    <col min="8966" max="8966" width="23.42578125" style="537" customWidth="1"/>
    <col min="8967" max="8967" width="11.42578125" style="537" bestFit="1" customWidth="1"/>
    <col min="8968" max="8968" width="21.85546875" style="537" customWidth="1"/>
    <col min="8969" max="8969" width="11" style="537" bestFit="1" customWidth="1"/>
    <col min="8970" max="8970" width="14.28515625" style="537" bestFit="1" customWidth="1"/>
    <col min="8971" max="8971" width="11.42578125" style="537" bestFit="1" customWidth="1"/>
    <col min="8972" max="8972" width="12.28515625" style="537" bestFit="1" customWidth="1"/>
    <col min="8973" max="8973" width="11" style="537" bestFit="1" customWidth="1"/>
    <col min="8974" max="8974" width="10.140625" style="537" bestFit="1" customWidth="1"/>
    <col min="8975" max="8975" width="12.28515625" style="537" bestFit="1" customWidth="1"/>
    <col min="8976" max="8976" width="11" style="537" bestFit="1" customWidth="1"/>
    <col min="8977" max="8977" width="14.42578125" style="537" bestFit="1" customWidth="1"/>
    <col min="8978" max="8978" width="11.42578125" style="537" bestFit="1" customWidth="1"/>
    <col min="8979" max="8979" width="9.140625" style="537"/>
    <col min="8980" max="8980" width="15.5703125" style="537" bestFit="1" customWidth="1"/>
    <col min="8981" max="8981" width="10.7109375" style="537" bestFit="1" customWidth="1"/>
    <col min="8982" max="8982" width="9.140625" style="537"/>
    <col min="8983" max="8983" width="14.28515625" style="537" bestFit="1" customWidth="1"/>
    <col min="8984" max="8984" width="11" style="537" bestFit="1" customWidth="1"/>
    <col min="8985" max="8985" width="11.5703125" style="537" bestFit="1" customWidth="1"/>
    <col min="8986" max="8986" width="17.85546875" style="537" customWidth="1"/>
    <col min="8987" max="8987" width="11.42578125" style="537" bestFit="1" customWidth="1"/>
    <col min="8988" max="8988" width="18.140625" style="537" customWidth="1"/>
    <col min="8989" max="8989" width="11" style="537" bestFit="1" customWidth="1"/>
    <col min="8990" max="8990" width="14.28515625" style="537" bestFit="1" customWidth="1"/>
    <col min="8991" max="8991" width="11.42578125" style="537" bestFit="1" customWidth="1"/>
    <col min="8992" max="8992" width="12.28515625" style="537" bestFit="1" customWidth="1"/>
    <col min="8993" max="8993" width="11" style="537" bestFit="1" customWidth="1"/>
    <col min="8994" max="8995" width="14.28515625" style="537" bestFit="1" customWidth="1"/>
    <col min="8996" max="8996" width="11" style="537" bestFit="1" customWidth="1"/>
    <col min="8997" max="8997" width="14.42578125" style="537" bestFit="1" customWidth="1"/>
    <col min="8998" max="8998" width="9.140625" style="537"/>
    <col min="8999" max="8999" width="14.28515625" style="537" bestFit="1" customWidth="1"/>
    <col min="9000" max="9000" width="12.85546875" style="537" bestFit="1" customWidth="1"/>
    <col min="9001" max="9001" width="21.140625" style="537" customWidth="1"/>
    <col min="9002" max="9216" width="9.140625" style="537"/>
    <col min="9217" max="9217" width="13.140625" style="537" customWidth="1"/>
    <col min="9218" max="9218" width="69.42578125" style="537" bestFit="1" customWidth="1"/>
    <col min="9219" max="9219" width="14.28515625" style="537" bestFit="1" customWidth="1"/>
    <col min="9220" max="9220" width="11" style="537" bestFit="1" customWidth="1"/>
    <col min="9221" max="9221" width="11.5703125" style="537" bestFit="1" customWidth="1"/>
    <col min="9222" max="9222" width="23.42578125" style="537" customWidth="1"/>
    <col min="9223" max="9223" width="11.42578125" style="537" bestFit="1" customWidth="1"/>
    <col min="9224" max="9224" width="21.85546875" style="537" customWidth="1"/>
    <col min="9225" max="9225" width="11" style="537" bestFit="1" customWidth="1"/>
    <col min="9226" max="9226" width="14.28515625" style="537" bestFit="1" customWidth="1"/>
    <col min="9227" max="9227" width="11.42578125" style="537" bestFit="1" customWidth="1"/>
    <col min="9228" max="9228" width="12.28515625" style="537" bestFit="1" customWidth="1"/>
    <col min="9229" max="9229" width="11" style="537" bestFit="1" customWidth="1"/>
    <col min="9230" max="9230" width="10.140625" style="537" bestFit="1" customWidth="1"/>
    <col min="9231" max="9231" width="12.28515625" style="537" bestFit="1" customWidth="1"/>
    <col min="9232" max="9232" width="11" style="537" bestFit="1" customWidth="1"/>
    <col min="9233" max="9233" width="14.42578125" style="537" bestFit="1" customWidth="1"/>
    <col min="9234" max="9234" width="11.42578125" style="537" bestFit="1" customWidth="1"/>
    <col min="9235" max="9235" width="9.140625" style="537"/>
    <col min="9236" max="9236" width="15.5703125" style="537" bestFit="1" customWidth="1"/>
    <col min="9237" max="9237" width="10.7109375" style="537" bestFit="1" customWidth="1"/>
    <col min="9238" max="9238" width="9.140625" style="537"/>
    <col min="9239" max="9239" width="14.28515625" style="537" bestFit="1" customWidth="1"/>
    <col min="9240" max="9240" width="11" style="537" bestFit="1" customWidth="1"/>
    <col min="9241" max="9241" width="11.5703125" style="537" bestFit="1" customWidth="1"/>
    <col min="9242" max="9242" width="17.85546875" style="537" customWidth="1"/>
    <col min="9243" max="9243" width="11.42578125" style="537" bestFit="1" customWidth="1"/>
    <col min="9244" max="9244" width="18.140625" style="537" customWidth="1"/>
    <col min="9245" max="9245" width="11" style="537" bestFit="1" customWidth="1"/>
    <col min="9246" max="9246" width="14.28515625" style="537" bestFit="1" customWidth="1"/>
    <col min="9247" max="9247" width="11.42578125" style="537" bestFit="1" customWidth="1"/>
    <col min="9248" max="9248" width="12.28515625" style="537" bestFit="1" customWidth="1"/>
    <col min="9249" max="9249" width="11" style="537" bestFit="1" customWidth="1"/>
    <col min="9250" max="9251" width="14.28515625" style="537" bestFit="1" customWidth="1"/>
    <col min="9252" max="9252" width="11" style="537" bestFit="1" customWidth="1"/>
    <col min="9253" max="9253" width="14.42578125" style="537" bestFit="1" customWidth="1"/>
    <col min="9254" max="9254" width="9.140625" style="537"/>
    <col min="9255" max="9255" width="14.28515625" style="537" bestFit="1" customWidth="1"/>
    <col min="9256" max="9256" width="12.85546875" style="537" bestFit="1" customWidth="1"/>
    <col min="9257" max="9257" width="21.140625" style="537" customWidth="1"/>
    <col min="9258" max="9472" width="9.140625" style="537"/>
    <col min="9473" max="9473" width="13.140625" style="537" customWidth="1"/>
    <col min="9474" max="9474" width="69.42578125" style="537" bestFit="1" customWidth="1"/>
    <col min="9475" max="9475" width="14.28515625" style="537" bestFit="1" customWidth="1"/>
    <col min="9476" max="9476" width="11" style="537" bestFit="1" customWidth="1"/>
    <col min="9477" max="9477" width="11.5703125" style="537" bestFit="1" customWidth="1"/>
    <col min="9478" max="9478" width="23.42578125" style="537" customWidth="1"/>
    <col min="9479" max="9479" width="11.42578125" style="537" bestFit="1" customWidth="1"/>
    <col min="9480" max="9480" width="21.85546875" style="537" customWidth="1"/>
    <col min="9481" max="9481" width="11" style="537" bestFit="1" customWidth="1"/>
    <col min="9482" max="9482" width="14.28515625" style="537" bestFit="1" customWidth="1"/>
    <col min="9483" max="9483" width="11.42578125" style="537" bestFit="1" customWidth="1"/>
    <col min="9484" max="9484" width="12.28515625" style="537" bestFit="1" customWidth="1"/>
    <col min="9485" max="9485" width="11" style="537" bestFit="1" customWidth="1"/>
    <col min="9486" max="9486" width="10.140625" style="537" bestFit="1" customWidth="1"/>
    <col min="9487" max="9487" width="12.28515625" style="537" bestFit="1" customWidth="1"/>
    <col min="9488" max="9488" width="11" style="537" bestFit="1" customWidth="1"/>
    <col min="9489" max="9489" width="14.42578125" style="537" bestFit="1" customWidth="1"/>
    <col min="9490" max="9490" width="11.42578125" style="537" bestFit="1" customWidth="1"/>
    <col min="9491" max="9491" width="9.140625" style="537"/>
    <col min="9492" max="9492" width="15.5703125" style="537" bestFit="1" customWidth="1"/>
    <col min="9493" max="9493" width="10.7109375" style="537" bestFit="1" customWidth="1"/>
    <col min="9494" max="9494" width="9.140625" style="537"/>
    <col min="9495" max="9495" width="14.28515625" style="537" bestFit="1" customWidth="1"/>
    <col min="9496" max="9496" width="11" style="537" bestFit="1" customWidth="1"/>
    <col min="9497" max="9497" width="11.5703125" style="537" bestFit="1" customWidth="1"/>
    <col min="9498" max="9498" width="17.85546875" style="537" customWidth="1"/>
    <col min="9499" max="9499" width="11.42578125" style="537" bestFit="1" customWidth="1"/>
    <col min="9500" max="9500" width="18.140625" style="537" customWidth="1"/>
    <col min="9501" max="9501" width="11" style="537" bestFit="1" customWidth="1"/>
    <col min="9502" max="9502" width="14.28515625" style="537" bestFit="1" customWidth="1"/>
    <col min="9503" max="9503" width="11.42578125" style="537" bestFit="1" customWidth="1"/>
    <col min="9504" max="9504" width="12.28515625" style="537" bestFit="1" customWidth="1"/>
    <col min="9505" max="9505" width="11" style="537" bestFit="1" customWidth="1"/>
    <col min="9506" max="9507" width="14.28515625" style="537" bestFit="1" customWidth="1"/>
    <col min="9508" max="9508" width="11" style="537" bestFit="1" customWidth="1"/>
    <col min="9509" max="9509" width="14.42578125" style="537" bestFit="1" customWidth="1"/>
    <col min="9510" max="9510" width="9.140625" style="537"/>
    <col min="9511" max="9511" width="14.28515625" style="537" bestFit="1" customWidth="1"/>
    <col min="9512" max="9512" width="12.85546875" style="537" bestFit="1" customWidth="1"/>
    <col min="9513" max="9513" width="21.140625" style="537" customWidth="1"/>
    <col min="9514" max="9728" width="9.140625" style="537"/>
    <col min="9729" max="9729" width="13.140625" style="537" customWidth="1"/>
    <col min="9730" max="9730" width="69.42578125" style="537" bestFit="1" customWidth="1"/>
    <col min="9731" max="9731" width="14.28515625" style="537" bestFit="1" customWidth="1"/>
    <col min="9732" max="9732" width="11" style="537" bestFit="1" customWidth="1"/>
    <col min="9733" max="9733" width="11.5703125" style="537" bestFit="1" customWidth="1"/>
    <col min="9734" max="9734" width="23.42578125" style="537" customWidth="1"/>
    <col min="9735" max="9735" width="11.42578125" style="537" bestFit="1" customWidth="1"/>
    <col min="9736" max="9736" width="21.85546875" style="537" customWidth="1"/>
    <col min="9737" max="9737" width="11" style="537" bestFit="1" customWidth="1"/>
    <col min="9738" max="9738" width="14.28515625" style="537" bestFit="1" customWidth="1"/>
    <col min="9739" max="9739" width="11.42578125" style="537" bestFit="1" customWidth="1"/>
    <col min="9740" max="9740" width="12.28515625" style="537" bestFit="1" customWidth="1"/>
    <col min="9741" max="9741" width="11" style="537" bestFit="1" customWidth="1"/>
    <col min="9742" max="9742" width="10.140625" style="537" bestFit="1" customWidth="1"/>
    <col min="9743" max="9743" width="12.28515625" style="537" bestFit="1" customWidth="1"/>
    <col min="9744" max="9744" width="11" style="537" bestFit="1" customWidth="1"/>
    <col min="9745" max="9745" width="14.42578125" style="537" bestFit="1" customWidth="1"/>
    <col min="9746" max="9746" width="11.42578125" style="537" bestFit="1" customWidth="1"/>
    <col min="9747" max="9747" width="9.140625" style="537"/>
    <col min="9748" max="9748" width="15.5703125" style="537" bestFit="1" customWidth="1"/>
    <col min="9749" max="9749" width="10.7109375" style="537" bestFit="1" customWidth="1"/>
    <col min="9750" max="9750" width="9.140625" style="537"/>
    <col min="9751" max="9751" width="14.28515625" style="537" bestFit="1" customWidth="1"/>
    <col min="9752" max="9752" width="11" style="537" bestFit="1" customWidth="1"/>
    <col min="9753" max="9753" width="11.5703125" style="537" bestFit="1" customWidth="1"/>
    <col min="9754" max="9754" width="17.85546875" style="537" customWidth="1"/>
    <col min="9755" max="9755" width="11.42578125" style="537" bestFit="1" customWidth="1"/>
    <col min="9756" max="9756" width="18.140625" style="537" customWidth="1"/>
    <col min="9757" max="9757" width="11" style="537" bestFit="1" customWidth="1"/>
    <col min="9758" max="9758" width="14.28515625" style="537" bestFit="1" customWidth="1"/>
    <col min="9759" max="9759" width="11.42578125" style="537" bestFit="1" customWidth="1"/>
    <col min="9760" max="9760" width="12.28515625" style="537" bestFit="1" customWidth="1"/>
    <col min="9761" max="9761" width="11" style="537" bestFit="1" customWidth="1"/>
    <col min="9762" max="9763" width="14.28515625" style="537" bestFit="1" customWidth="1"/>
    <col min="9764" max="9764" width="11" style="537" bestFit="1" customWidth="1"/>
    <col min="9765" max="9765" width="14.42578125" style="537" bestFit="1" customWidth="1"/>
    <col min="9766" max="9766" width="9.140625" style="537"/>
    <col min="9767" max="9767" width="14.28515625" style="537" bestFit="1" customWidth="1"/>
    <col min="9768" max="9768" width="12.85546875" style="537" bestFit="1" customWidth="1"/>
    <col min="9769" max="9769" width="21.140625" style="537" customWidth="1"/>
    <col min="9770" max="9984" width="9.140625" style="537"/>
    <col min="9985" max="9985" width="13.140625" style="537" customWidth="1"/>
    <col min="9986" max="9986" width="69.42578125" style="537" bestFit="1" customWidth="1"/>
    <col min="9987" max="9987" width="14.28515625" style="537" bestFit="1" customWidth="1"/>
    <col min="9988" max="9988" width="11" style="537" bestFit="1" customWidth="1"/>
    <col min="9989" max="9989" width="11.5703125" style="537" bestFit="1" customWidth="1"/>
    <col min="9990" max="9990" width="23.42578125" style="537" customWidth="1"/>
    <col min="9991" max="9991" width="11.42578125" style="537" bestFit="1" customWidth="1"/>
    <col min="9992" max="9992" width="21.85546875" style="537" customWidth="1"/>
    <col min="9993" max="9993" width="11" style="537" bestFit="1" customWidth="1"/>
    <col min="9994" max="9994" width="14.28515625" style="537" bestFit="1" customWidth="1"/>
    <col min="9995" max="9995" width="11.42578125" style="537" bestFit="1" customWidth="1"/>
    <col min="9996" max="9996" width="12.28515625" style="537" bestFit="1" customWidth="1"/>
    <col min="9997" max="9997" width="11" style="537" bestFit="1" customWidth="1"/>
    <col min="9998" max="9998" width="10.140625" style="537" bestFit="1" customWidth="1"/>
    <col min="9999" max="9999" width="12.28515625" style="537" bestFit="1" customWidth="1"/>
    <col min="10000" max="10000" width="11" style="537" bestFit="1" customWidth="1"/>
    <col min="10001" max="10001" width="14.42578125" style="537" bestFit="1" customWidth="1"/>
    <col min="10002" max="10002" width="11.42578125" style="537" bestFit="1" customWidth="1"/>
    <col min="10003" max="10003" width="9.140625" style="537"/>
    <col min="10004" max="10004" width="15.5703125" style="537" bestFit="1" customWidth="1"/>
    <col min="10005" max="10005" width="10.7109375" style="537" bestFit="1" customWidth="1"/>
    <col min="10006" max="10006" width="9.140625" style="537"/>
    <col min="10007" max="10007" width="14.28515625" style="537" bestFit="1" customWidth="1"/>
    <col min="10008" max="10008" width="11" style="537" bestFit="1" customWidth="1"/>
    <col min="10009" max="10009" width="11.5703125" style="537" bestFit="1" customWidth="1"/>
    <col min="10010" max="10010" width="17.85546875" style="537" customWidth="1"/>
    <col min="10011" max="10011" width="11.42578125" style="537" bestFit="1" customWidth="1"/>
    <col min="10012" max="10012" width="18.140625" style="537" customWidth="1"/>
    <col min="10013" max="10013" width="11" style="537" bestFit="1" customWidth="1"/>
    <col min="10014" max="10014" width="14.28515625" style="537" bestFit="1" customWidth="1"/>
    <col min="10015" max="10015" width="11.42578125" style="537" bestFit="1" customWidth="1"/>
    <col min="10016" max="10016" width="12.28515625" style="537" bestFit="1" customWidth="1"/>
    <col min="10017" max="10017" width="11" style="537" bestFit="1" customWidth="1"/>
    <col min="10018" max="10019" width="14.28515625" style="537" bestFit="1" customWidth="1"/>
    <col min="10020" max="10020" width="11" style="537" bestFit="1" customWidth="1"/>
    <col min="10021" max="10021" width="14.42578125" style="537" bestFit="1" customWidth="1"/>
    <col min="10022" max="10022" width="9.140625" style="537"/>
    <col min="10023" max="10023" width="14.28515625" style="537" bestFit="1" customWidth="1"/>
    <col min="10024" max="10024" width="12.85546875" style="537" bestFit="1" customWidth="1"/>
    <col min="10025" max="10025" width="21.140625" style="537" customWidth="1"/>
    <col min="10026" max="10240" width="9.140625" style="537"/>
    <col min="10241" max="10241" width="13.140625" style="537" customWidth="1"/>
    <col min="10242" max="10242" width="69.42578125" style="537" bestFit="1" customWidth="1"/>
    <col min="10243" max="10243" width="14.28515625" style="537" bestFit="1" customWidth="1"/>
    <col min="10244" max="10244" width="11" style="537" bestFit="1" customWidth="1"/>
    <col min="10245" max="10245" width="11.5703125" style="537" bestFit="1" customWidth="1"/>
    <col min="10246" max="10246" width="23.42578125" style="537" customWidth="1"/>
    <col min="10247" max="10247" width="11.42578125" style="537" bestFit="1" customWidth="1"/>
    <col min="10248" max="10248" width="21.85546875" style="537" customWidth="1"/>
    <col min="10249" max="10249" width="11" style="537" bestFit="1" customWidth="1"/>
    <col min="10250" max="10250" width="14.28515625" style="537" bestFit="1" customWidth="1"/>
    <col min="10251" max="10251" width="11.42578125" style="537" bestFit="1" customWidth="1"/>
    <col min="10252" max="10252" width="12.28515625" style="537" bestFit="1" customWidth="1"/>
    <col min="10253" max="10253" width="11" style="537" bestFit="1" customWidth="1"/>
    <col min="10254" max="10254" width="10.140625" style="537" bestFit="1" customWidth="1"/>
    <col min="10255" max="10255" width="12.28515625" style="537" bestFit="1" customWidth="1"/>
    <col min="10256" max="10256" width="11" style="537" bestFit="1" customWidth="1"/>
    <col min="10257" max="10257" width="14.42578125" style="537" bestFit="1" customWidth="1"/>
    <col min="10258" max="10258" width="11.42578125" style="537" bestFit="1" customWidth="1"/>
    <col min="10259" max="10259" width="9.140625" style="537"/>
    <col min="10260" max="10260" width="15.5703125" style="537" bestFit="1" customWidth="1"/>
    <col min="10261" max="10261" width="10.7109375" style="537" bestFit="1" customWidth="1"/>
    <col min="10262" max="10262" width="9.140625" style="537"/>
    <col min="10263" max="10263" width="14.28515625" style="537" bestFit="1" customWidth="1"/>
    <col min="10264" max="10264" width="11" style="537" bestFit="1" customWidth="1"/>
    <col min="10265" max="10265" width="11.5703125" style="537" bestFit="1" customWidth="1"/>
    <col min="10266" max="10266" width="17.85546875" style="537" customWidth="1"/>
    <col min="10267" max="10267" width="11.42578125" style="537" bestFit="1" customWidth="1"/>
    <col min="10268" max="10268" width="18.140625" style="537" customWidth="1"/>
    <col min="10269" max="10269" width="11" style="537" bestFit="1" customWidth="1"/>
    <col min="10270" max="10270" width="14.28515625" style="537" bestFit="1" customWidth="1"/>
    <col min="10271" max="10271" width="11.42578125" style="537" bestFit="1" customWidth="1"/>
    <col min="10272" max="10272" width="12.28515625" style="537" bestFit="1" customWidth="1"/>
    <col min="10273" max="10273" width="11" style="537" bestFit="1" customWidth="1"/>
    <col min="10274" max="10275" width="14.28515625" style="537" bestFit="1" customWidth="1"/>
    <col min="10276" max="10276" width="11" style="537" bestFit="1" customWidth="1"/>
    <col min="10277" max="10277" width="14.42578125" style="537" bestFit="1" customWidth="1"/>
    <col min="10278" max="10278" width="9.140625" style="537"/>
    <col min="10279" max="10279" width="14.28515625" style="537" bestFit="1" customWidth="1"/>
    <col min="10280" max="10280" width="12.85546875" style="537" bestFit="1" customWidth="1"/>
    <col min="10281" max="10281" width="21.140625" style="537" customWidth="1"/>
    <col min="10282" max="10496" width="9.140625" style="537"/>
    <col min="10497" max="10497" width="13.140625" style="537" customWidth="1"/>
    <col min="10498" max="10498" width="69.42578125" style="537" bestFit="1" customWidth="1"/>
    <col min="10499" max="10499" width="14.28515625" style="537" bestFit="1" customWidth="1"/>
    <col min="10500" max="10500" width="11" style="537" bestFit="1" customWidth="1"/>
    <col min="10501" max="10501" width="11.5703125" style="537" bestFit="1" customWidth="1"/>
    <col min="10502" max="10502" width="23.42578125" style="537" customWidth="1"/>
    <col min="10503" max="10503" width="11.42578125" style="537" bestFit="1" customWidth="1"/>
    <col min="10504" max="10504" width="21.85546875" style="537" customWidth="1"/>
    <col min="10505" max="10505" width="11" style="537" bestFit="1" customWidth="1"/>
    <col min="10506" max="10506" width="14.28515625" style="537" bestFit="1" customWidth="1"/>
    <col min="10507" max="10507" width="11.42578125" style="537" bestFit="1" customWidth="1"/>
    <col min="10508" max="10508" width="12.28515625" style="537" bestFit="1" customWidth="1"/>
    <col min="10509" max="10509" width="11" style="537" bestFit="1" customWidth="1"/>
    <col min="10510" max="10510" width="10.140625" style="537" bestFit="1" customWidth="1"/>
    <col min="10511" max="10511" width="12.28515625" style="537" bestFit="1" customWidth="1"/>
    <col min="10512" max="10512" width="11" style="537" bestFit="1" customWidth="1"/>
    <col min="10513" max="10513" width="14.42578125" style="537" bestFit="1" customWidth="1"/>
    <col min="10514" max="10514" width="11.42578125" style="537" bestFit="1" customWidth="1"/>
    <col min="10515" max="10515" width="9.140625" style="537"/>
    <col min="10516" max="10516" width="15.5703125" style="537" bestFit="1" customWidth="1"/>
    <col min="10517" max="10517" width="10.7109375" style="537" bestFit="1" customWidth="1"/>
    <col min="10518" max="10518" width="9.140625" style="537"/>
    <col min="10519" max="10519" width="14.28515625" style="537" bestFit="1" customWidth="1"/>
    <col min="10520" max="10520" width="11" style="537" bestFit="1" customWidth="1"/>
    <col min="10521" max="10521" width="11.5703125" style="537" bestFit="1" customWidth="1"/>
    <col min="10522" max="10522" width="17.85546875" style="537" customWidth="1"/>
    <col min="10523" max="10523" width="11.42578125" style="537" bestFit="1" customWidth="1"/>
    <col min="10524" max="10524" width="18.140625" style="537" customWidth="1"/>
    <col min="10525" max="10525" width="11" style="537" bestFit="1" customWidth="1"/>
    <col min="10526" max="10526" width="14.28515625" style="537" bestFit="1" customWidth="1"/>
    <col min="10527" max="10527" width="11.42578125" style="537" bestFit="1" customWidth="1"/>
    <col min="10528" max="10528" width="12.28515625" style="537" bestFit="1" customWidth="1"/>
    <col min="10529" max="10529" width="11" style="537" bestFit="1" customWidth="1"/>
    <col min="10530" max="10531" width="14.28515625" style="537" bestFit="1" customWidth="1"/>
    <col min="10532" max="10532" width="11" style="537" bestFit="1" customWidth="1"/>
    <col min="10533" max="10533" width="14.42578125" style="537" bestFit="1" customWidth="1"/>
    <col min="10534" max="10534" width="9.140625" style="537"/>
    <col min="10535" max="10535" width="14.28515625" style="537" bestFit="1" customWidth="1"/>
    <col min="10536" max="10536" width="12.85546875" style="537" bestFit="1" customWidth="1"/>
    <col min="10537" max="10537" width="21.140625" style="537" customWidth="1"/>
    <col min="10538" max="10752" width="9.140625" style="537"/>
    <col min="10753" max="10753" width="13.140625" style="537" customWidth="1"/>
    <col min="10754" max="10754" width="69.42578125" style="537" bestFit="1" customWidth="1"/>
    <col min="10755" max="10755" width="14.28515625" style="537" bestFit="1" customWidth="1"/>
    <col min="10756" max="10756" width="11" style="537" bestFit="1" customWidth="1"/>
    <col min="10757" max="10757" width="11.5703125" style="537" bestFit="1" customWidth="1"/>
    <col min="10758" max="10758" width="23.42578125" style="537" customWidth="1"/>
    <col min="10759" max="10759" width="11.42578125" style="537" bestFit="1" customWidth="1"/>
    <col min="10760" max="10760" width="21.85546875" style="537" customWidth="1"/>
    <col min="10761" max="10761" width="11" style="537" bestFit="1" customWidth="1"/>
    <col min="10762" max="10762" width="14.28515625" style="537" bestFit="1" customWidth="1"/>
    <col min="10763" max="10763" width="11.42578125" style="537" bestFit="1" customWidth="1"/>
    <col min="10764" max="10764" width="12.28515625" style="537" bestFit="1" customWidth="1"/>
    <col min="10765" max="10765" width="11" style="537" bestFit="1" customWidth="1"/>
    <col min="10766" max="10766" width="10.140625" style="537" bestFit="1" customWidth="1"/>
    <col min="10767" max="10767" width="12.28515625" style="537" bestFit="1" customWidth="1"/>
    <col min="10768" max="10768" width="11" style="537" bestFit="1" customWidth="1"/>
    <col min="10769" max="10769" width="14.42578125" style="537" bestFit="1" customWidth="1"/>
    <col min="10770" max="10770" width="11.42578125" style="537" bestFit="1" customWidth="1"/>
    <col min="10771" max="10771" width="9.140625" style="537"/>
    <col min="10772" max="10772" width="15.5703125" style="537" bestFit="1" customWidth="1"/>
    <col min="10773" max="10773" width="10.7109375" style="537" bestFit="1" customWidth="1"/>
    <col min="10774" max="10774" width="9.140625" style="537"/>
    <col min="10775" max="10775" width="14.28515625" style="537" bestFit="1" customWidth="1"/>
    <col min="10776" max="10776" width="11" style="537" bestFit="1" customWidth="1"/>
    <col min="10777" max="10777" width="11.5703125" style="537" bestFit="1" customWidth="1"/>
    <col min="10778" max="10778" width="17.85546875" style="537" customWidth="1"/>
    <col min="10779" max="10779" width="11.42578125" style="537" bestFit="1" customWidth="1"/>
    <col min="10780" max="10780" width="18.140625" style="537" customWidth="1"/>
    <col min="10781" max="10781" width="11" style="537" bestFit="1" customWidth="1"/>
    <col min="10782" max="10782" width="14.28515625" style="537" bestFit="1" customWidth="1"/>
    <col min="10783" max="10783" width="11.42578125" style="537" bestFit="1" customWidth="1"/>
    <col min="10784" max="10784" width="12.28515625" style="537" bestFit="1" customWidth="1"/>
    <col min="10785" max="10785" width="11" style="537" bestFit="1" customWidth="1"/>
    <col min="10786" max="10787" width="14.28515625" style="537" bestFit="1" customWidth="1"/>
    <col min="10788" max="10788" width="11" style="537" bestFit="1" customWidth="1"/>
    <col min="10789" max="10789" width="14.42578125" style="537" bestFit="1" customWidth="1"/>
    <col min="10790" max="10790" width="9.140625" style="537"/>
    <col min="10791" max="10791" width="14.28515625" style="537" bestFit="1" customWidth="1"/>
    <col min="10792" max="10792" width="12.85546875" style="537" bestFit="1" customWidth="1"/>
    <col min="10793" max="10793" width="21.140625" style="537" customWidth="1"/>
    <col min="10794" max="11008" width="9.140625" style="537"/>
    <col min="11009" max="11009" width="13.140625" style="537" customWidth="1"/>
    <col min="11010" max="11010" width="69.42578125" style="537" bestFit="1" customWidth="1"/>
    <col min="11011" max="11011" width="14.28515625" style="537" bestFit="1" customWidth="1"/>
    <col min="11012" max="11012" width="11" style="537" bestFit="1" customWidth="1"/>
    <col min="11013" max="11013" width="11.5703125" style="537" bestFit="1" customWidth="1"/>
    <col min="11014" max="11014" width="23.42578125" style="537" customWidth="1"/>
    <col min="11015" max="11015" width="11.42578125" style="537" bestFit="1" customWidth="1"/>
    <col min="11016" max="11016" width="21.85546875" style="537" customWidth="1"/>
    <col min="11017" max="11017" width="11" style="537" bestFit="1" customWidth="1"/>
    <col min="11018" max="11018" width="14.28515625" style="537" bestFit="1" customWidth="1"/>
    <col min="11019" max="11019" width="11.42578125" style="537" bestFit="1" customWidth="1"/>
    <col min="11020" max="11020" width="12.28515625" style="537" bestFit="1" customWidth="1"/>
    <col min="11021" max="11021" width="11" style="537" bestFit="1" customWidth="1"/>
    <col min="11022" max="11022" width="10.140625" style="537" bestFit="1" customWidth="1"/>
    <col min="11023" max="11023" width="12.28515625" style="537" bestFit="1" customWidth="1"/>
    <col min="11024" max="11024" width="11" style="537" bestFit="1" customWidth="1"/>
    <col min="11025" max="11025" width="14.42578125" style="537" bestFit="1" customWidth="1"/>
    <col min="11026" max="11026" width="11.42578125" style="537" bestFit="1" customWidth="1"/>
    <col min="11027" max="11027" width="9.140625" style="537"/>
    <col min="11028" max="11028" width="15.5703125" style="537" bestFit="1" customWidth="1"/>
    <col min="11029" max="11029" width="10.7109375" style="537" bestFit="1" customWidth="1"/>
    <col min="11030" max="11030" width="9.140625" style="537"/>
    <col min="11031" max="11031" width="14.28515625" style="537" bestFit="1" customWidth="1"/>
    <col min="11032" max="11032" width="11" style="537" bestFit="1" customWidth="1"/>
    <col min="11033" max="11033" width="11.5703125" style="537" bestFit="1" customWidth="1"/>
    <col min="11034" max="11034" width="17.85546875" style="537" customWidth="1"/>
    <col min="11035" max="11035" width="11.42578125" style="537" bestFit="1" customWidth="1"/>
    <col min="11036" max="11036" width="18.140625" style="537" customWidth="1"/>
    <col min="11037" max="11037" width="11" style="537" bestFit="1" customWidth="1"/>
    <col min="11038" max="11038" width="14.28515625" style="537" bestFit="1" customWidth="1"/>
    <col min="11039" max="11039" width="11.42578125" style="537" bestFit="1" customWidth="1"/>
    <col min="11040" max="11040" width="12.28515625" style="537" bestFit="1" customWidth="1"/>
    <col min="11041" max="11041" width="11" style="537" bestFit="1" customWidth="1"/>
    <col min="11042" max="11043" width="14.28515625" style="537" bestFit="1" customWidth="1"/>
    <col min="11044" max="11044" width="11" style="537" bestFit="1" customWidth="1"/>
    <col min="11045" max="11045" width="14.42578125" style="537" bestFit="1" customWidth="1"/>
    <col min="11046" max="11046" width="9.140625" style="537"/>
    <col min="11047" max="11047" width="14.28515625" style="537" bestFit="1" customWidth="1"/>
    <col min="11048" max="11048" width="12.85546875" style="537" bestFit="1" customWidth="1"/>
    <col min="11049" max="11049" width="21.140625" style="537" customWidth="1"/>
    <col min="11050" max="11264" width="9.140625" style="537"/>
    <col min="11265" max="11265" width="13.140625" style="537" customWidth="1"/>
    <col min="11266" max="11266" width="69.42578125" style="537" bestFit="1" customWidth="1"/>
    <col min="11267" max="11267" width="14.28515625" style="537" bestFit="1" customWidth="1"/>
    <col min="11268" max="11268" width="11" style="537" bestFit="1" customWidth="1"/>
    <col min="11269" max="11269" width="11.5703125" style="537" bestFit="1" customWidth="1"/>
    <col min="11270" max="11270" width="23.42578125" style="537" customWidth="1"/>
    <col min="11271" max="11271" width="11.42578125" style="537" bestFit="1" customWidth="1"/>
    <col min="11272" max="11272" width="21.85546875" style="537" customWidth="1"/>
    <col min="11273" max="11273" width="11" style="537" bestFit="1" customWidth="1"/>
    <col min="11274" max="11274" width="14.28515625" style="537" bestFit="1" customWidth="1"/>
    <col min="11275" max="11275" width="11.42578125" style="537" bestFit="1" customWidth="1"/>
    <col min="11276" max="11276" width="12.28515625" style="537" bestFit="1" customWidth="1"/>
    <col min="11277" max="11277" width="11" style="537" bestFit="1" customWidth="1"/>
    <col min="11278" max="11278" width="10.140625" style="537" bestFit="1" customWidth="1"/>
    <col min="11279" max="11279" width="12.28515625" style="537" bestFit="1" customWidth="1"/>
    <col min="11280" max="11280" width="11" style="537" bestFit="1" customWidth="1"/>
    <col min="11281" max="11281" width="14.42578125" style="537" bestFit="1" customWidth="1"/>
    <col min="11282" max="11282" width="11.42578125" style="537" bestFit="1" customWidth="1"/>
    <col min="11283" max="11283" width="9.140625" style="537"/>
    <col min="11284" max="11284" width="15.5703125" style="537" bestFit="1" customWidth="1"/>
    <col min="11285" max="11285" width="10.7109375" style="537" bestFit="1" customWidth="1"/>
    <col min="11286" max="11286" width="9.140625" style="537"/>
    <col min="11287" max="11287" width="14.28515625" style="537" bestFit="1" customWidth="1"/>
    <col min="11288" max="11288" width="11" style="537" bestFit="1" customWidth="1"/>
    <col min="11289" max="11289" width="11.5703125" style="537" bestFit="1" customWidth="1"/>
    <col min="11290" max="11290" width="17.85546875" style="537" customWidth="1"/>
    <col min="11291" max="11291" width="11.42578125" style="537" bestFit="1" customWidth="1"/>
    <col min="11292" max="11292" width="18.140625" style="537" customWidth="1"/>
    <col min="11293" max="11293" width="11" style="537" bestFit="1" customWidth="1"/>
    <col min="11294" max="11294" width="14.28515625" style="537" bestFit="1" customWidth="1"/>
    <col min="11295" max="11295" width="11.42578125" style="537" bestFit="1" customWidth="1"/>
    <col min="11296" max="11296" width="12.28515625" style="537" bestFit="1" customWidth="1"/>
    <col min="11297" max="11297" width="11" style="537" bestFit="1" customWidth="1"/>
    <col min="11298" max="11299" width="14.28515625" style="537" bestFit="1" customWidth="1"/>
    <col min="11300" max="11300" width="11" style="537" bestFit="1" customWidth="1"/>
    <col min="11301" max="11301" width="14.42578125" style="537" bestFit="1" customWidth="1"/>
    <col min="11302" max="11302" width="9.140625" style="537"/>
    <col min="11303" max="11303" width="14.28515625" style="537" bestFit="1" customWidth="1"/>
    <col min="11304" max="11304" width="12.85546875" style="537" bestFit="1" customWidth="1"/>
    <col min="11305" max="11305" width="21.140625" style="537" customWidth="1"/>
    <col min="11306" max="11520" width="9.140625" style="537"/>
    <col min="11521" max="11521" width="13.140625" style="537" customWidth="1"/>
    <col min="11522" max="11522" width="69.42578125" style="537" bestFit="1" customWidth="1"/>
    <col min="11523" max="11523" width="14.28515625" style="537" bestFit="1" customWidth="1"/>
    <col min="11524" max="11524" width="11" style="537" bestFit="1" customWidth="1"/>
    <col min="11525" max="11525" width="11.5703125" style="537" bestFit="1" customWidth="1"/>
    <col min="11526" max="11526" width="23.42578125" style="537" customWidth="1"/>
    <col min="11527" max="11527" width="11.42578125" style="537" bestFit="1" customWidth="1"/>
    <col min="11528" max="11528" width="21.85546875" style="537" customWidth="1"/>
    <col min="11529" max="11529" width="11" style="537" bestFit="1" customWidth="1"/>
    <col min="11530" max="11530" width="14.28515625" style="537" bestFit="1" customWidth="1"/>
    <col min="11531" max="11531" width="11.42578125" style="537" bestFit="1" customWidth="1"/>
    <col min="11532" max="11532" width="12.28515625" style="537" bestFit="1" customWidth="1"/>
    <col min="11533" max="11533" width="11" style="537" bestFit="1" customWidth="1"/>
    <col min="11534" max="11534" width="10.140625" style="537" bestFit="1" customWidth="1"/>
    <col min="11535" max="11535" width="12.28515625" style="537" bestFit="1" customWidth="1"/>
    <col min="11536" max="11536" width="11" style="537" bestFit="1" customWidth="1"/>
    <col min="11537" max="11537" width="14.42578125" style="537" bestFit="1" customWidth="1"/>
    <col min="11538" max="11538" width="11.42578125" style="537" bestFit="1" customWidth="1"/>
    <col min="11539" max="11539" width="9.140625" style="537"/>
    <col min="11540" max="11540" width="15.5703125" style="537" bestFit="1" customWidth="1"/>
    <col min="11541" max="11541" width="10.7109375" style="537" bestFit="1" customWidth="1"/>
    <col min="11542" max="11542" width="9.140625" style="537"/>
    <col min="11543" max="11543" width="14.28515625" style="537" bestFit="1" customWidth="1"/>
    <col min="11544" max="11544" width="11" style="537" bestFit="1" customWidth="1"/>
    <col min="11545" max="11545" width="11.5703125" style="537" bestFit="1" customWidth="1"/>
    <col min="11546" max="11546" width="17.85546875" style="537" customWidth="1"/>
    <col min="11547" max="11547" width="11.42578125" style="537" bestFit="1" customWidth="1"/>
    <col min="11548" max="11548" width="18.140625" style="537" customWidth="1"/>
    <col min="11549" max="11549" width="11" style="537" bestFit="1" customWidth="1"/>
    <col min="11550" max="11550" width="14.28515625" style="537" bestFit="1" customWidth="1"/>
    <col min="11551" max="11551" width="11.42578125" style="537" bestFit="1" customWidth="1"/>
    <col min="11552" max="11552" width="12.28515625" style="537" bestFit="1" customWidth="1"/>
    <col min="11553" max="11553" width="11" style="537" bestFit="1" customWidth="1"/>
    <col min="11554" max="11555" width="14.28515625" style="537" bestFit="1" customWidth="1"/>
    <col min="11556" max="11556" width="11" style="537" bestFit="1" customWidth="1"/>
    <col min="11557" max="11557" width="14.42578125" style="537" bestFit="1" customWidth="1"/>
    <col min="11558" max="11558" width="9.140625" style="537"/>
    <col min="11559" max="11559" width="14.28515625" style="537" bestFit="1" customWidth="1"/>
    <col min="11560" max="11560" width="12.85546875" style="537" bestFit="1" customWidth="1"/>
    <col min="11561" max="11561" width="21.140625" style="537" customWidth="1"/>
    <col min="11562" max="11776" width="9.140625" style="537"/>
    <col min="11777" max="11777" width="13.140625" style="537" customWidth="1"/>
    <col min="11778" max="11778" width="69.42578125" style="537" bestFit="1" customWidth="1"/>
    <col min="11779" max="11779" width="14.28515625" style="537" bestFit="1" customWidth="1"/>
    <col min="11780" max="11780" width="11" style="537" bestFit="1" customWidth="1"/>
    <col min="11781" max="11781" width="11.5703125" style="537" bestFit="1" customWidth="1"/>
    <col min="11782" max="11782" width="23.42578125" style="537" customWidth="1"/>
    <col min="11783" max="11783" width="11.42578125" style="537" bestFit="1" customWidth="1"/>
    <col min="11784" max="11784" width="21.85546875" style="537" customWidth="1"/>
    <col min="11785" max="11785" width="11" style="537" bestFit="1" customWidth="1"/>
    <col min="11786" max="11786" width="14.28515625" style="537" bestFit="1" customWidth="1"/>
    <col min="11787" max="11787" width="11.42578125" style="537" bestFit="1" customWidth="1"/>
    <col min="11788" max="11788" width="12.28515625" style="537" bestFit="1" customWidth="1"/>
    <col min="11789" max="11789" width="11" style="537" bestFit="1" customWidth="1"/>
    <col min="11790" max="11790" width="10.140625" style="537" bestFit="1" customWidth="1"/>
    <col min="11791" max="11791" width="12.28515625" style="537" bestFit="1" customWidth="1"/>
    <col min="11792" max="11792" width="11" style="537" bestFit="1" customWidth="1"/>
    <col min="11793" max="11793" width="14.42578125" style="537" bestFit="1" customWidth="1"/>
    <col min="11794" max="11794" width="11.42578125" style="537" bestFit="1" customWidth="1"/>
    <col min="11795" max="11795" width="9.140625" style="537"/>
    <col min="11796" max="11796" width="15.5703125" style="537" bestFit="1" customWidth="1"/>
    <col min="11797" max="11797" width="10.7109375" style="537" bestFit="1" customWidth="1"/>
    <col min="11798" max="11798" width="9.140625" style="537"/>
    <col min="11799" max="11799" width="14.28515625" style="537" bestFit="1" customWidth="1"/>
    <col min="11800" max="11800" width="11" style="537" bestFit="1" customWidth="1"/>
    <col min="11801" max="11801" width="11.5703125" style="537" bestFit="1" customWidth="1"/>
    <col min="11802" max="11802" width="17.85546875" style="537" customWidth="1"/>
    <col min="11803" max="11803" width="11.42578125" style="537" bestFit="1" customWidth="1"/>
    <col min="11804" max="11804" width="18.140625" style="537" customWidth="1"/>
    <col min="11805" max="11805" width="11" style="537" bestFit="1" customWidth="1"/>
    <col min="11806" max="11806" width="14.28515625" style="537" bestFit="1" customWidth="1"/>
    <col min="11807" max="11807" width="11.42578125" style="537" bestFit="1" customWidth="1"/>
    <col min="11808" max="11808" width="12.28515625" style="537" bestFit="1" customWidth="1"/>
    <col min="11809" max="11809" width="11" style="537" bestFit="1" customWidth="1"/>
    <col min="11810" max="11811" width="14.28515625" style="537" bestFit="1" customWidth="1"/>
    <col min="11812" max="11812" width="11" style="537" bestFit="1" customWidth="1"/>
    <col min="11813" max="11813" width="14.42578125" style="537" bestFit="1" customWidth="1"/>
    <col min="11814" max="11814" width="9.140625" style="537"/>
    <col min="11815" max="11815" width="14.28515625" style="537" bestFit="1" customWidth="1"/>
    <col min="11816" max="11816" width="12.85546875" style="537" bestFit="1" customWidth="1"/>
    <col min="11817" max="11817" width="21.140625" style="537" customWidth="1"/>
    <col min="11818" max="12032" width="9.140625" style="537"/>
    <col min="12033" max="12033" width="13.140625" style="537" customWidth="1"/>
    <col min="12034" max="12034" width="69.42578125" style="537" bestFit="1" customWidth="1"/>
    <col min="12035" max="12035" width="14.28515625" style="537" bestFit="1" customWidth="1"/>
    <col min="12036" max="12036" width="11" style="537" bestFit="1" customWidth="1"/>
    <col min="12037" max="12037" width="11.5703125" style="537" bestFit="1" customWidth="1"/>
    <col min="12038" max="12038" width="23.42578125" style="537" customWidth="1"/>
    <col min="12039" max="12039" width="11.42578125" style="537" bestFit="1" customWidth="1"/>
    <col min="12040" max="12040" width="21.85546875" style="537" customWidth="1"/>
    <col min="12041" max="12041" width="11" style="537" bestFit="1" customWidth="1"/>
    <col min="12042" max="12042" width="14.28515625" style="537" bestFit="1" customWidth="1"/>
    <col min="12043" max="12043" width="11.42578125" style="537" bestFit="1" customWidth="1"/>
    <col min="12044" max="12044" width="12.28515625" style="537" bestFit="1" customWidth="1"/>
    <col min="12045" max="12045" width="11" style="537" bestFit="1" customWidth="1"/>
    <col min="12046" max="12046" width="10.140625" style="537" bestFit="1" customWidth="1"/>
    <col min="12047" max="12047" width="12.28515625" style="537" bestFit="1" customWidth="1"/>
    <col min="12048" max="12048" width="11" style="537" bestFit="1" customWidth="1"/>
    <col min="12049" max="12049" width="14.42578125" style="537" bestFit="1" customWidth="1"/>
    <col min="12050" max="12050" width="11.42578125" style="537" bestFit="1" customWidth="1"/>
    <col min="12051" max="12051" width="9.140625" style="537"/>
    <col min="12052" max="12052" width="15.5703125" style="537" bestFit="1" customWidth="1"/>
    <col min="12053" max="12053" width="10.7109375" style="537" bestFit="1" customWidth="1"/>
    <col min="12054" max="12054" width="9.140625" style="537"/>
    <col min="12055" max="12055" width="14.28515625" style="537" bestFit="1" customWidth="1"/>
    <col min="12056" max="12056" width="11" style="537" bestFit="1" customWidth="1"/>
    <col min="12057" max="12057" width="11.5703125" style="537" bestFit="1" customWidth="1"/>
    <col min="12058" max="12058" width="17.85546875" style="537" customWidth="1"/>
    <col min="12059" max="12059" width="11.42578125" style="537" bestFit="1" customWidth="1"/>
    <col min="12060" max="12060" width="18.140625" style="537" customWidth="1"/>
    <col min="12061" max="12061" width="11" style="537" bestFit="1" customWidth="1"/>
    <col min="12062" max="12062" width="14.28515625" style="537" bestFit="1" customWidth="1"/>
    <col min="12063" max="12063" width="11.42578125" style="537" bestFit="1" customWidth="1"/>
    <col min="12064" max="12064" width="12.28515625" style="537" bestFit="1" customWidth="1"/>
    <col min="12065" max="12065" width="11" style="537" bestFit="1" customWidth="1"/>
    <col min="12066" max="12067" width="14.28515625" style="537" bestFit="1" customWidth="1"/>
    <col min="12068" max="12068" width="11" style="537" bestFit="1" customWidth="1"/>
    <col min="12069" max="12069" width="14.42578125" style="537" bestFit="1" customWidth="1"/>
    <col min="12070" max="12070" width="9.140625" style="537"/>
    <col min="12071" max="12071" width="14.28515625" style="537" bestFit="1" customWidth="1"/>
    <col min="12072" max="12072" width="12.85546875" style="537" bestFit="1" customWidth="1"/>
    <col min="12073" max="12073" width="21.140625" style="537" customWidth="1"/>
    <col min="12074" max="12288" width="9.140625" style="537"/>
    <col min="12289" max="12289" width="13.140625" style="537" customWidth="1"/>
    <col min="12290" max="12290" width="69.42578125" style="537" bestFit="1" customWidth="1"/>
    <col min="12291" max="12291" width="14.28515625" style="537" bestFit="1" customWidth="1"/>
    <col min="12292" max="12292" width="11" style="537" bestFit="1" customWidth="1"/>
    <col min="12293" max="12293" width="11.5703125" style="537" bestFit="1" customWidth="1"/>
    <col min="12294" max="12294" width="23.42578125" style="537" customWidth="1"/>
    <col min="12295" max="12295" width="11.42578125" style="537" bestFit="1" customWidth="1"/>
    <col min="12296" max="12296" width="21.85546875" style="537" customWidth="1"/>
    <col min="12297" max="12297" width="11" style="537" bestFit="1" customWidth="1"/>
    <col min="12298" max="12298" width="14.28515625" style="537" bestFit="1" customWidth="1"/>
    <col min="12299" max="12299" width="11.42578125" style="537" bestFit="1" customWidth="1"/>
    <col min="12300" max="12300" width="12.28515625" style="537" bestFit="1" customWidth="1"/>
    <col min="12301" max="12301" width="11" style="537" bestFit="1" customWidth="1"/>
    <col min="12302" max="12302" width="10.140625" style="537" bestFit="1" customWidth="1"/>
    <col min="12303" max="12303" width="12.28515625" style="537" bestFit="1" customWidth="1"/>
    <col min="12304" max="12304" width="11" style="537" bestFit="1" customWidth="1"/>
    <col min="12305" max="12305" width="14.42578125" style="537" bestFit="1" customWidth="1"/>
    <col min="12306" max="12306" width="11.42578125" style="537" bestFit="1" customWidth="1"/>
    <col min="12307" max="12307" width="9.140625" style="537"/>
    <col min="12308" max="12308" width="15.5703125" style="537" bestFit="1" customWidth="1"/>
    <col min="12309" max="12309" width="10.7109375" style="537" bestFit="1" customWidth="1"/>
    <col min="12310" max="12310" width="9.140625" style="537"/>
    <col min="12311" max="12311" width="14.28515625" style="537" bestFit="1" customWidth="1"/>
    <col min="12312" max="12312" width="11" style="537" bestFit="1" customWidth="1"/>
    <col min="12313" max="12313" width="11.5703125" style="537" bestFit="1" customWidth="1"/>
    <col min="12314" max="12314" width="17.85546875" style="537" customWidth="1"/>
    <col min="12315" max="12315" width="11.42578125" style="537" bestFit="1" customWidth="1"/>
    <col min="12316" max="12316" width="18.140625" style="537" customWidth="1"/>
    <col min="12317" max="12317" width="11" style="537" bestFit="1" customWidth="1"/>
    <col min="12318" max="12318" width="14.28515625" style="537" bestFit="1" customWidth="1"/>
    <col min="12319" max="12319" width="11.42578125" style="537" bestFit="1" customWidth="1"/>
    <col min="12320" max="12320" width="12.28515625" style="537" bestFit="1" customWidth="1"/>
    <col min="12321" max="12321" width="11" style="537" bestFit="1" customWidth="1"/>
    <col min="12322" max="12323" width="14.28515625" style="537" bestFit="1" customWidth="1"/>
    <col min="12324" max="12324" width="11" style="537" bestFit="1" customWidth="1"/>
    <col min="12325" max="12325" width="14.42578125" style="537" bestFit="1" customWidth="1"/>
    <col min="12326" max="12326" width="9.140625" style="537"/>
    <col min="12327" max="12327" width="14.28515625" style="537" bestFit="1" customWidth="1"/>
    <col min="12328" max="12328" width="12.85546875" style="537" bestFit="1" customWidth="1"/>
    <col min="12329" max="12329" width="21.140625" style="537" customWidth="1"/>
    <col min="12330" max="12544" width="9.140625" style="537"/>
    <col min="12545" max="12545" width="13.140625" style="537" customWidth="1"/>
    <col min="12546" max="12546" width="69.42578125" style="537" bestFit="1" customWidth="1"/>
    <col min="12547" max="12547" width="14.28515625" style="537" bestFit="1" customWidth="1"/>
    <col min="12548" max="12548" width="11" style="537" bestFit="1" customWidth="1"/>
    <col min="12549" max="12549" width="11.5703125" style="537" bestFit="1" customWidth="1"/>
    <col min="12550" max="12550" width="23.42578125" style="537" customWidth="1"/>
    <col min="12551" max="12551" width="11.42578125" style="537" bestFit="1" customWidth="1"/>
    <col min="12552" max="12552" width="21.85546875" style="537" customWidth="1"/>
    <col min="12553" max="12553" width="11" style="537" bestFit="1" customWidth="1"/>
    <col min="12554" max="12554" width="14.28515625" style="537" bestFit="1" customWidth="1"/>
    <col min="12555" max="12555" width="11.42578125" style="537" bestFit="1" customWidth="1"/>
    <col min="12556" max="12556" width="12.28515625" style="537" bestFit="1" customWidth="1"/>
    <col min="12557" max="12557" width="11" style="537" bestFit="1" customWidth="1"/>
    <col min="12558" max="12558" width="10.140625" style="537" bestFit="1" customWidth="1"/>
    <col min="12559" max="12559" width="12.28515625" style="537" bestFit="1" customWidth="1"/>
    <col min="12560" max="12560" width="11" style="537" bestFit="1" customWidth="1"/>
    <col min="12561" max="12561" width="14.42578125" style="537" bestFit="1" customWidth="1"/>
    <col min="12562" max="12562" width="11.42578125" style="537" bestFit="1" customWidth="1"/>
    <col min="12563" max="12563" width="9.140625" style="537"/>
    <col min="12564" max="12564" width="15.5703125" style="537" bestFit="1" customWidth="1"/>
    <col min="12565" max="12565" width="10.7109375" style="537" bestFit="1" customWidth="1"/>
    <col min="12566" max="12566" width="9.140625" style="537"/>
    <col min="12567" max="12567" width="14.28515625" style="537" bestFit="1" customWidth="1"/>
    <col min="12568" max="12568" width="11" style="537" bestFit="1" customWidth="1"/>
    <col min="12569" max="12569" width="11.5703125" style="537" bestFit="1" customWidth="1"/>
    <col min="12570" max="12570" width="17.85546875" style="537" customWidth="1"/>
    <col min="12571" max="12571" width="11.42578125" style="537" bestFit="1" customWidth="1"/>
    <col min="12572" max="12572" width="18.140625" style="537" customWidth="1"/>
    <col min="12573" max="12573" width="11" style="537" bestFit="1" customWidth="1"/>
    <col min="12574" max="12574" width="14.28515625" style="537" bestFit="1" customWidth="1"/>
    <col min="12575" max="12575" width="11.42578125" style="537" bestFit="1" customWidth="1"/>
    <col min="12576" max="12576" width="12.28515625" style="537" bestFit="1" customWidth="1"/>
    <col min="12577" max="12577" width="11" style="537" bestFit="1" customWidth="1"/>
    <col min="12578" max="12579" width="14.28515625" style="537" bestFit="1" customWidth="1"/>
    <col min="12580" max="12580" width="11" style="537" bestFit="1" customWidth="1"/>
    <col min="12581" max="12581" width="14.42578125" style="537" bestFit="1" customWidth="1"/>
    <col min="12582" max="12582" width="9.140625" style="537"/>
    <col min="12583" max="12583" width="14.28515625" style="537" bestFit="1" customWidth="1"/>
    <col min="12584" max="12584" width="12.85546875" style="537" bestFit="1" customWidth="1"/>
    <col min="12585" max="12585" width="21.140625" style="537" customWidth="1"/>
    <col min="12586" max="12800" width="9.140625" style="537"/>
    <col min="12801" max="12801" width="13.140625" style="537" customWidth="1"/>
    <col min="12802" max="12802" width="69.42578125" style="537" bestFit="1" customWidth="1"/>
    <col min="12803" max="12803" width="14.28515625" style="537" bestFit="1" customWidth="1"/>
    <col min="12804" max="12804" width="11" style="537" bestFit="1" customWidth="1"/>
    <col min="12805" max="12805" width="11.5703125" style="537" bestFit="1" customWidth="1"/>
    <col min="12806" max="12806" width="23.42578125" style="537" customWidth="1"/>
    <col min="12807" max="12807" width="11.42578125" style="537" bestFit="1" customWidth="1"/>
    <col min="12808" max="12808" width="21.85546875" style="537" customWidth="1"/>
    <col min="12809" max="12809" width="11" style="537" bestFit="1" customWidth="1"/>
    <col min="12810" max="12810" width="14.28515625" style="537" bestFit="1" customWidth="1"/>
    <col min="12811" max="12811" width="11.42578125" style="537" bestFit="1" customWidth="1"/>
    <col min="12812" max="12812" width="12.28515625" style="537" bestFit="1" customWidth="1"/>
    <col min="12813" max="12813" width="11" style="537" bestFit="1" customWidth="1"/>
    <col min="12814" max="12814" width="10.140625" style="537" bestFit="1" customWidth="1"/>
    <col min="12815" max="12815" width="12.28515625" style="537" bestFit="1" customWidth="1"/>
    <col min="12816" max="12816" width="11" style="537" bestFit="1" customWidth="1"/>
    <col min="12817" max="12817" width="14.42578125" style="537" bestFit="1" customWidth="1"/>
    <col min="12818" max="12818" width="11.42578125" style="537" bestFit="1" customWidth="1"/>
    <col min="12819" max="12819" width="9.140625" style="537"/>
    <col min="12820" max="12820" width="15.5703125" style="537" bestFit="1" customWidth="1"/>
    <col min="12821" max="12821" width="10.7109375" style="537" bestFit="1" customWidth="1"/>
    <col min="12822" max="12822" width="9.140625" style="537"/>
    <col min="12823" max="12823" width="14.28515625" style="537" bestFit="1" customWidth="1"/>
    <col min="12824" max="12824" width="11" style="537" bestFit="1" customWidth="1"/>
    <col min="12825" max="12825" width="11.5703125" style="537" bestFit="1" customWidth="1"/>
    <col min="12826" max="12826" width="17.85546875" style="537" customWidth="1"/>
    <col min="12827" max="12827" width="11.42578125" style="537" bestFit="1" customWidth="1"/>
    <col min="12828" max="12828" width="18.140625" style="537" customWidth="1"/>
    <col min="12829" max="12829" width="11" style="537" bestFit="1" customWidth="1"/>
    <col min="12830" max="12830" width="14.28515625" style="537" bestFit="1" customWidth="1"/>
    <col min="12831" max="12831" width="11.42578125" style="537" bestFit="1" customWidth="1"/>
    <col min="12832" max="12832" width="12.28515625" style="537" bestFit="1" customWidth="1"/>
    <col min="12833" max="12833" width="11" style="537" bestFit="1" customWidth="1"/>
    <col min="12834" max="12835" width="14.28515625" style="537" bestFit="1" customWidth="1"/>
    <col min="12836" max="12836" width="11" style="537" bestFit="1" customWidth="1"/>
    <col min="12837" max="12837" width="14.42578125" style="537" bestFit="1" customWidth="1"/>
    <col min="12838" max="12838" width="9.140625" style="537"/>
    <col min="12839" max="12839" width="14.28515625" style="537" bestFit="1" customWidth="1"/>
    <col min="12840" max="12840" width="12.85546875" style="537" bestFit="1" customWidth="1"/>
    <col min="12841" max="12841" width="21.140625" style="537" customWidth="1"/>
    <col min="12842" max="13056" width="9.140625" style="537"/>
    <col min="13057" max="13057" width="13.140625" style="537" customWidth="1"/>
    <col min="13058" max="13058" width="69.42578125" style="537" bestFit="1" customWidth="1"/>
    <col min="13059" max="13059" width="14.28515625" style="537" bestFit="1" customWidth="1"/>
    <col min="13060" max="13060" width="11" style="537" bestFit="1" customWidth="1"/>
    <col min="13061" max="13061" width="11.5703125" style="537" bestFit="1" customWidth="1"/>
    <col min="13062" max="13062" width="23.42578125" style="537" customWidth="1"/>
    <col min="13063" max="13063" width="11.42578125" style="537" bestFit="1" customWidth="1"/>
    <col min="13064" max="13064" width="21.85546875" style="537" customWidth="1"/>
    <col min="13065" max="13065" width="11" style="537" bestFit="1" customWidth="1"/>
    <col min="13066" max="13066" width="14.28515625" style="537" bestFit="1" customWidth="1"/>
    <col min="13067" max="13067" width="11.42578125" style="537" bestFit="1" customWidth="1"/>
    <col min="13068" max="13068" width="12.28515625" style="537" bestFit="1" customWidth="1"/>
    <col min="13069" max="13069" width="11" style="537" bestFit="1" customWidth="1"/>
    <col min="13070" max="13070" width="10.140625" style="537" bestFit="1" customWidth="1"/>
    <col min="13071" max="13071" width="12.28515625" style="537" bestFit="1" customWidth="1"/>
    <col min="13072" max="13072" width="11" style="537" bestFit="1" customWidth="1"/>
    <col min="13073" max="13073" width="14.42578125" style="537" bestFit="1" customWidth="1"/>
    <col min="13074" max="13074" width="11.42578125" style="537" bestFit="1" customWidth="1"/>
    <col min="13075" max="13075" width="9.140625" style="537"/>
    <col min="13076" max="13076" width="15.5703125" style="537" bestFit="1" customWidth="1"/>
    <col min="13077" max="13077" width="10.7109375" style="537" bestFit="1" customWidth="1"/>
    <col min="13078" max="13078" width="9.140625" style="537"/>
    <col min="13079" max="13079" width="14.28515625" style="537" bestFit="1" customWidth="1"/>
    <col min="13080" max="13080" width="11" style="537" bestFit="1" customWidth="1"/>
    <col min="13081" max="13081" width="11.5703125" style="537" bestFit="1" customWidth="1"/>
    <col min="13082" max="13082" width="17.85546875" style="537" customWidth="1"/>
    <col min="13083" max="13083" width="11.42578125" style="537" bestFit="1" customWidth="1"/>
    <col min="13084" max="13084" width="18.140625" style="537" customWidth="1"/>
    <col min="13085" max="13085" width="11" style="537" bestFit="1" customWidth="1"/>
    <col min="13086" max="13086" width="14.28515625" style="537" bestFit="1" customWidth="1"/>
    <col min="13087" max="13087" width="11.42578125" style="537" bestFit="1" customWidth="1"/>
    <col min="13088" max="13088" width="12.28515625" style="537" bestFit="1" customWidth="1"/>
    <col min="13089" max="13089" width="11" style="537" bestFit="1" customWidth="1"/>
    <col min="13090" max="13091" width="14.28515625" style="537" bestFit="1" customWidth="1"/>
    <col min="13092" max="13092" width="11" style="537" bestFit="1" customWidth="1"/>
    <col min="13093" max="13093" width="14.42578125" style="537" bestFit="1" customWidth="1"/>
    <col min="13094" max="13094" width="9.140625" style="537"/>
    <col min="13095" max="13095" width="14.28515625" style="537" bestFit="1" customWidth="1"/>
    <col min="13096" max="13096" width="12.85546875" style="537" bestFit="1" customWidth="1"/>
    <col min="13097" max="13097" width="21.140625" style="537" customWidth="1"/>
    <col min="13098" max="13312" width="9.140625" style="537"/>
    <col min="13313" max="13313" width="13.140625" style="537" customWidth="1"/>
    <col min="13314" max="13314" width="69.42578125" style="537" bestFit="1" customWidth="1"/>
    <col min="13315" max="13315" width="14.28515625" style="537" bestFit="1" customWidth="1"/>
    <col min="13316" max="13316" width="11" style="537" bestFit="1" customWidth="1"/>
    <col min="13317" max="13317" width="11.5703125" style="537" bestFit="1" customWidth="1"/>
    <col min="13318" max="13318" width="23.42578125" style="537" customWidth="1"/>
    <col min="13319" max="13319" width="11.42578125" style="537" bestFit="1" customWidth="1"/>
    <col min="13320" max="13320" width="21.85546875" style="537" customWidth="1"/>
    <col min="13321" max="13321" width="11" style="537" bestFit="1" customWidth="1"/>
    <col min="13322" max="13322" width="14.28515625" style="537" bestFit="1" customWidth="1"/>
    <col min="13323" max="13323" width="11.42578125" style="537" bestFit="1" customWidth="1"/>
    <col min="13324" max="13324" width="12.28515625" style="537" bestFit="1" customWidth="1"/>
    <col min="13325" max="13325" width="11" style="537" bestFit="1" customWidth="1"/>
    <col min="13326" max="13326" width="10.140625" style="537" bestFit="1" customWidth="1"/>
    <col min="13327" max="13327" width="12.28515625" style="537" bestFit="1" customWidth="1"/>
    <col min="13328" max="13328" width="11" style="537" bestFit="1" customWidth="1"/>
    <col min="13329" max="13329" width="14.42578125" style="537" bestFit="1" customWidth="1"/>
    <col min="13330" max="13330" width="11.42578125" style="537" bestFit="1" customWidth="1"/>
    <col min="13331" max="13331" width="9.140625" style="537"/>
    <col min="13332" max="13332" width="15.5703125" style="537" bestFit="1" customWidth="1"/>
    <col min="13333" max="13333" width="10.7109375" style="537" bestFit="1" customWidth="1"/>
    <col min="13334" max="13334" width="9.140625" style="537"/>
    <col min="13335" max="13335" width="14.28515625" style="537" bestFit="1" customWidth="1"/>
    <col min="13336" max="13336" width="11" style="537" bestFit="1" customWidth="1"/>
    <col min="13337" max="13337" width="11.5703125" style="537" bestFit="1" customWidth="1"/>
    <col min="13338" max="13338" width="17.85546875" style="537" customWidth="1"/>
    <col min="13339" max="13339" width="11.42578125" style="537" bestFit="1" customWidth="1"/>
    <col min="13340" max="13340" width="18.140625" style="537" customWidth="1"/>
    <col min="13341" max="13341" width="11" style="537" bestFit="1" customWidth="1"/>
    <col min="13342" max="13342" width="14.28515625" style="537" bestFit="1" customWidth="1"/>
    <col min="13343" max="13343" width="11.42578125" style="537" bestFit="1" customWidth="1"/>
    <col min="13344" max="13344" width="12.28515625" style="537" bestFit="1" customWidth="1"/>
    <col min="13345" max="13345" width="11" style="537" bestFit="1" customWidth="1"/>
    <col min="13346" max="13347" width="14.28515625" style="537" bestFit="1" customWidth="1"/>
    <col min="13348" max="13348" width="11" style="537" bestFit="1" customWidth="1"/>
    <col min="13349" max="13349" width="14.42578125" style="537" bestFit="1" customWidth="1"/>
    <col min="13350" max="13350" width="9.140625" style="537"/>
    <col min="13351" max="13351" width="14.28515625" style="537" bestFit="1" customWidth="1"/>
    <col min="13352" max="13352" width="12.85546875" style="537" bestFit="1" customWidth="1"/>
    <col min="13353" max="13353" width="21.140625" style="537" customWidth="1"/>
    <col min="13354" max="13568" width="9.140625" style="537"/>
    <col min="13569" max="13569" width="13.140625" style="537" customWidth="1"/>
    <col min="13570" max="13570" width="69.42578125" style="537" bestFit="1" customWidth="1"/>
    <col min="13571" max="13571" width="14.28515625" style="537" bestFit="1" customWidth="1"/>
    <col min="13572" max="13572" width="11" style="537" bestFit="1" customWidth="1"/>
    <col min="13573" max="13573" width="11.5703125" style="537" bestFit="1" customWidth="1"/>
    <col min="13574" max="13574" width="23.42578125" style="537" customWidth="1"/>
    <col min="13575" max="13575" width="11.42578125" style="537" bestFit="1" customWidth="1"/>
    <col min="13576" max="13576" width="21.85546875" style="537" customWidth="1"/>
    <col min="13577" max="13577" width="11" style="537" bestFit="1" customWidth="1"/>
    <col min="13578" max="13578" width="14.28515625" style="537" bestFit="1" customWidth="1"/>
    <col min="13579" max="13579" width="11.42578125" style="537" bestFit="1" customWidth="1"/>
    <col min="13580" max="13580" width="12.28515625" style="537" bestFit="1" customWidth="1"/>
    <col min="13581" max="13581" width="11" style="537" bestFit="1" customWidth="1"/>
    <col min="13582" max="13582" width="10.140625" style="537" bestFit="1" customWidth="1"/>
    <col min="13583" max="13583" width="12.28515625" style="537" bestFit="1" customWidth="1"/>
    <col min="13584" max="13584" width="11" style="537" bestFit="1" customWidth="1"/>
    <col min="13585" max="13585" width="14.42578125" style="537" bestFit="1" customWidth="1"/>
    <col min="13586" max="13586" width="11.42578125" style="537" bestFit="1" customWidth="1"/>
    <col min="13587" max="13587" width="9.140625" style="537"/>
    <col min="13588" max="13588" width="15.5703125" style="537" bestFit="1" customWidth="1"/>
    <col min="13589" max="13589" width="10.7109375" style="537" bestFit="1" customWidth="1"/>
    <col min="13590" max="13590" width="9.140625" style="537"/>
    <col min="13591" max="13591" width="14.28515625" style="537" bestFit="1" customWidth="1"/>
    <col min="13592" max="13592" width="11" style="537" bestFit="1" customWidth="1"/>
    <col min="13593" max="13593" width="11.5703125" style="537" bestFit="1" customWidth="1"/>
    <col min="13594" max="13594" width="17.85546875" style="537" customWidth="1"/>
    <col min="13595" max="13595" width="11.42578125" style="537" bestFit="1" customWidth="1"/>
    <col min="13596" max="13596" width="18.140625" style="537" customWidth="1"/>
    <col min="13597" max="13597" width="11" style="537" bestFit="1" customWidth="1"/>
    <col min="13598" max="13598" width="14.28515625" style="537" bestFit="1" customWidth="1"/>
    <col min="13599" max="13599" width="11.42578125" style="537" bestFit="1" customWidth="1"/>
    <col min="13600" max="13600" width="12.28515625" style="537" bestFit="1" customWidth="1"/>
    <col min="13601" max="13601" width="11" style="537" bestFit="1" customWidth="1"/>
    <col min="13602" max="13603" width="14.28515625" style="537" bestFit="1" customWidth="1"/>
    <col min="13604" max="13604" width="11" style="537" bestFit="1" customWidth="1"/>
    <col min="13605" max="13605" width="14.42578125" style="537" bestFit="1" customWidth="1"/>
    <col min="13606" max="13606" width="9.140625" style="537"/>
    <col min="13607" max="13607" width="14.28515625" style="537" bestFit="1" customWidth="1"/>
    <col min="13608" max="13608" width="12.85546875" style="537" bestFit="1" customWidth="1"/>
    <col min="13609" max="13609" width="21.140625" style="537" customWidth="1"/>
    <col min="13610" max="13824" width="9.140625" style="537"/>
    <col min="13825" max="13825" width="13.140625" style="537" customWidth="1"/>
    <col min="13826" max="13826" width="69.42578125" style="537" bestFit="1" customWidth="1"/>
    <col min="13827" max="13827" width="14.28515625" style="537" bestFit="1" customWidth="1"/>
    <col min="13828" max="13828" width="11" style="537" bestFit="1" customWidth="1"/>
    <col min="13829" max="13829" width="11.5703125" style="537" bestFit="1" customWidth="1"/>
    <col min="13830" max="13830" width="23.42578125" style="537" customWidth="1"/>
    <col min="13831" max="13831" width="11.42578125" style="537" bestFit="1" customWidth="1"/>
    <col min="13832" max="13832" width="21.85546875" style="537" customWidth="1"/>
    <col min="13833" max="13833" width="11" style="537" bestFit="1" customWidth="1"/>
    <col min="13834" max="13834" width="14.28515625" style="537" bestFit="1" customWidth="1"/>
    <col min="13835" max="13835" width="11.42578125" style="537" bestFit="1" customWidth="1"/>
    <col min="13836" max="13836" width="12.28515625" style="537" bestFit="1" customWidth="1"/>
    <col min="13837" max="13837" width="11" style="537" bestFit="1" customWidth="1"/>
    <col min="13838" max="13838" width="10.140625" style="537" bestFit="1" customWidth="1"/>
    <col min="13839" max="13839" width="12.28515625" style="537" bestFit="1" customWidth="1"/>
    <col min="13840" max="13840" width="11" style="537" bestFit="1" customWidth="1"/>
    <col min="13841" max="13841" width="14.42578125" style="537" bestFit="1" customWidth="1"/>
    <col min="13842" max="13842" width="11.42578125" style="537" bestFit="1" customWidth="1"/>
    <col min="13843" max="13843" width="9.140625" style="537"/>
    <col min="13844" max="13844" width="15.5703125" style="537" bestFit="1" customWidth="1"/>
    <col min="13845" max="13845" width="10.7109375" style="537" bestFit="1" customWidth="1"/>
    <col min="13846" max="13846" width="9.140625" style="537"/>
    <col min="13847" max="13847" width="14.28515625" style="537" bestFit="1" customWidth="1"/>
    <col min="13848" max="13848" width="11" style="537" bestFit="1" customWidth="1"/>
    <col min="13849" max="13849" width="11.5703125" style="537" bestFit="1" customWidth="1"/>
    <col min="13850" max="13850" width="17.85546875" style="537" customWidth="1"/>
    <col min="13851" max="13851" width="11.42578125" style="537" bestFit="1" customWidth="1"/>
    <col min="13852" max="13852" width="18.140625" style="537" customWidth="1"/>
    <col min="13853" max="13853" width="11" style="537" bestFit="1" customWidth="1"/>
    <col min="13854" max="13854" width="14.28515625" style="537" bestFit="1" customWidth="1"/>
    <col min="13855" max="13855" width="11.42578125" style="537" bestFit="1" customWidth="1"/>
    <col min="13856" max="13856" width="12.28515625" style="537" bestFit="1" customWidth="1"/>
    <col min="13857" max="13857" width="11" style="537" bestFit="1" customWidth="1"/>
    <col min="13858" max="13859" width="14.28515625" style="537" bestFit="1" customWidth="1"/>
    <col min="13860" max="13860" width="11" style="537" bestFit="1" customWidth="1"/>
    <col min="13861" max="13861" width="14.42578125" style="537" bestFit="1" customWidth="1"/>
    <col min="13862" max="13862" width="9.140625" style="537"/>
    <col min="13863" max="13863" width="14.28515625" style="537" bestFit="1" customWidth="1"/>
    <col min="13864" max="13864" width="12.85546875" style="537" bestFit="1" customWidth="1"/>
    <col min="13865" max="13865" width="21.140625" style="537" customWidth="1"/>
    <col min="13866" max="14080" width="9.140625" style="537"/>
    <col min="14081" max="14081" width="13.140625" style="537" customWidth="1"/>
    <col min="14082" max="14082" width="69.42578125" style="537" bestFit="1" customWidth="1"/>
    <col min="14083" max="14083" width="14.28515625" style="537" bestFit="1" customWidth="1"/>
    <col min="14084" max="14084" width="11" style="537" bestFit="1" customWidth="1"/>
    <col min="14085" max="14085" width="11.5703125" style="537" bestFit="1" customWidth="1"/>
    <col min="14086" max="14086" width="23.42578125" style="537" customWidth="1"/>
    <col min="14087" max="14087" width="11.42578125" style="537" bestFit="1" customWidth="1"/>
    <col min="14088" max="14088" width="21.85546875" style="537" customWidth="1"/>
    <col min="14089" max="14089" width="11" style="537" bestFit="1" customWidth="1"/>
    <col min="14090" max="14090" width="14.28515625" style="537" bestFit="1" customWidth="1"/>
    <col min="14091" max="14091" width="11.42578125" style="537" bestFit="1" customWidth="1"/>
    <col min="14092" max="14092" width="12.28515625" style="537" bestFit="1" customWidth="1"/>
    <col min="14093" max="14093" width="11" style="537" bestFit="1" customWidth="1"/>
    <col min="14094" max="14094" width="10.140625" style="537" bestFit="1" customWidth="1"/>
    <col min="14095" max="14095" width="12.28515625" style="537" bestFit="1" customWidth="1"/>
    <col min="14096" max="14096" width="11" style="537" bestFit="1" customWidth="1"/>
    <col min="14097" max="14097" width="14.42578125" style="537" bestFit="1" customWidth="1"/>
    <col min="14098" max="14098" width="11.42578125" style="537" bestFit="1" customWidth="1"/>
    <col min="14099" max="14099" width="9.140625" style="537"/>
    <col min="14100" max="14100" width="15.5703125" style="537" bestFit="1" customWidth="1"/>
    <col min="14101" max="14101" width="10.7109375" style="537" bestFit="1" customWidth="1"/>
    <col min="14102" max="14102" width="9.140625" style="537"/>
    <col min="14103" max="14103" width="14.28515625" style="537" bestFit="1" customWidth="1"/>
    <col min="14104" max="14104" width="11" style="537" bestFit="1" customWidth="1"/>
    <col min="14105" max="14105" width="11.5703125" style="537" bestFit="1" customWidth="1"/>
    <col min="14106" max="14106" width="17.85546875" style="537" customWidth="1"/>
    <col min="14107" max="14107" width="11.42578125" style="537" bestFit="1" customWidth="1"/>
    <col min="14108" max="14108" width="18.140625" style="537" customWidth="1"/>
    <col min="14109" max="14109" width="11" style="537" bestFit="1" customWidth="1"/>
    <col min="14110" max="14110" width="14.28515625" style="537" bestFit="1" customWidth="1"/>
    <col min="14111" max="14111" width="11.42578125" style="537" bestFit="1" customWidth="1"/>
    <col min="14112" max="14112" width="12.28515625" style="537" bestFit="1" customWidth="1"/>
    <col min="14113" max="14113" width="11" style="537" bestFit="1" customWidth="1"/>
    <col min="14114" max="14115" width="14.28515625" style="537" bestFit="1" customWidth="1"/>
    <col min="14116" max="14116" width="11" style="537" bestFit="1" customWidth="1"/>
    <col min="14117" max="14117" width="14.42578125" style="537" bestFit="1" customWidth="1"/>
    <col min="14118" max="14118" width="9.140625" style="537"/>
    <col min="14119" max="14119" width="14.28515625" style="537" bestFit="1" customWidth="1"/>
    <col min="14120" max="14120" width="12.85546875" style="537" bestFit="1" customWidth="1"/>
    <col min="14121" max="14121" width="21.140625" style="537" customWidth="1"/>
    <col min="14122" max="14336" width="9.140625" style="537"/>
    <col min="14337" max="14337" width="13.140625" style="537" customWidth="1"/>
    <col min="14338" max="14338" width="69.42578125" style="537" bestFit="1" customWidth="1"/>
    <col min="14339" max="14339" width="14.28515625" style="537" bestFit="1" customWidth="1"/>
    <col min="14340" max="14340" width="11" style="537" bestFit="1" customWidth="1"/>
    <col min="14341" max="14341" width="11.5703125" style="537" bestFit="1" customWidth="1"/>
    <col min="14342" max="14342" width="23.42578125" style="537" customWidth="1"/>
    <col min="14343" max="14343" width="11.42578125" style="537" bestFit="1" customWidth="1"/>
    <col min="14344" max="14344" width="21.85546875" style="537" customWidth="1"/>
    <col min="14345" max="14345" width="11" style="537" bestFit="1" customWidth="1"/>
    <col min="14346" max="14346" width="14.28515625" style="537" bestFit="1" customWidth="1"/>
    <col min="14347" max="14347" width="11.42578125" style="537" bestFit="1" customWidth="1"/>
    <col min="14348" max="14348" width="12.28515625" style="537" bestFit="1" customWidth="1"/>
    <col min="14349" max="14349" width="11" style="537" bestFit="1" customWidth="1"/>
    <col min="14350" max="14350" width="10.140625" style="537" bestFit="1" customWidth="1"/>
    <col min="14351" max="14351" width="12.28515625" style="537" bestFit="1" customWidth="1"/>
    <col min="14352" max="14352" width="11" style="537" bestFit="1" customWidth="1"/>
    <col min="14353" max="14353" width="14.42578125" style="537" bestFit="1" customWidth="1"/>
    <col min="14354" max="14354" width="11.42578125" style="537" bestFit="1" customWidth="1"/>
    <col min="14355" max="14355" width="9.140625" style="537"/>
    <col min="14356" max="14356" width="15.5703125" style="537" bestFit="1" customWidth="1"/>
    <col min="14357" max="14357" width="10.7109375" style="537" bestFit="1" customWidth="1"/>
    <col min="14358" max="14358" width="9.140625" style="537"/>
    <col min="14359" max="14359" width="14.28515625" style="537" bestFit="1" customWidth="1"/>
    <col min="14360" max="14360" width="11" style="537" bestFit="1" customWidth="1"/>
    <col min="14361" max="14361" width="11.5703125" style="537" bestFit="1" customWidth="1"/>
    <col min="14362" max="14362" width="17.85546875" style="537" customWidth="1"/>
    <col min="14363" max="14363" width="11.42578125" style="537" bestFit="1" customWidth="1"/>
    <col min="14364" max="14364" width="18.140625" style="537" customWidth="1"/>
    <col min="14365" max="14365" width="11" style="537" bestFit="1" customWidth="1"/>
    <col min="14366" max="14366" width="14.28515625" style="537" bestFit="1" customWidth="1"/>
    <col min="14367" max="14367" width="11.42578125" style="537" bestFit="1" customWidth="1"/>
    <col min="14368" max="14368" width="12.28515625" style="537" bestFit="1" customWidth="1"/>
    <col min="14369" max="14369" width="11" style="537" bestFit="1" customWidth="1"/>
    <col min="14370" max="14371" width="14.28515625" style="537" bestFit="1" customWidth="1"/>
    <col min="14372" max="14372" width="11" style="537" bestFit="1" customWidth="1"/>
    <col min="14373" max="14373" width="14.42578125" style="537" bestFit="1" customWidth="1"/>
    <col min="14374" max="14374" width="9.140625" style="537"/>
    <col min="14375" max="14375" width="14.28515625" style="537" bestFit="1" customWidth="1"/>
    <col min="14376" max="14376" width="12.85546875" style="537" bestFit="1" customWidth="1"/>
    <col min="14377" max="14377" width="21.140625" style="537" customWidth="1"/>
    <col min="14378" max="14592" width="9.140625" style="537"/>
    <col min="14593" max="14593" width="13.140625" style="537" customWidth="1"/>
    <col min="14594" max="14594" width="69.42578125" style="537" bestFit="1" customWidth="1"/>
    <col min="14595" max="14595" width="14.28515625" style="537" bestFit="1" customWidth="1"/>
    <col min="14596" max="14596" width="11" style="537" bestFit="1" customWidth="1"/>
    <col min="14597" max="14597" width="11.5703125" style="537" bestFit="1" customWidth="1"/>
    <col min="14598" max="14598" width="23.42578125" style="537" customWidth="1"/>
    <col min="14599" max="14599" width="11.42578125" style="537" bestFit="1" customWidth="1"/>
    <col min="14600" max="14600" width="21.85546875" style="537" customWidth="1"/>
    <col min="14601" max="14601" width="11" style="537" bestFit="1" customWidth="1"/>
    <col min="14602" max="14602" width="14.28515625" style="537" bestFit="1" customWidth="1"/>
    <col min="14603" max="14603" width="11.42578125" style="537" bestFit="1" customWidth="1"/>
    <col min="14604" max="14604" width="12.28515625" style="537" bestFit="1" customWidth="1"/>
    <col min="14605" max="14605" width="11" style="537" bestFit="1" customWidth="1"/>
    <col min="14606" max="14606" width="10.140625" style="537" bestFit="1" customWidth="1"/>
    <col min="14607" max="14607" width="12.28515625" style="537" bestFit="1" customWidth="1"/>
    <col min="14608" max="14608" width="11" style="537" bestFit="1" customWidth="1"/>
    <col min="14609" max="14609" width="14.42578125" style="537" bestFit="1" customWidth="1"/>
    <col min="14610" max="14610" width="11.42578125" style="537" bestFit="1" customWidth="1"/>
    <col min="14611" max="14611" width="9.140625" style="537"/>
    <col min="14612" max="14612" width="15.5703125" style="537" bestFit="1" customWidth="1"/>
    <col min="14613" max="14613" width="10.7109375" style="537" bestFit="1" customWidth="1"/>
    <col min="14614" max="14614" width="9.140625" style="537"/>
    <col min="14615" max="14615" width="14.28515625" style="537" bestFit="1" customWidth="1"/>
    <col min="14616" max="14616" width="11" style="537" bestFit="1" customWidth="1"/>
    <col min="14617" max="14617" width="11.5703125" style="537" bestFit="1" customWidth="1"/>
    <col min="14618" max="14618" width="17.85546875" style="537" customWidth="1"/>
    <col min="14619" max="14619" width="11.42578125" style="537" bestFit="1" customWidth="1"/>
    <col min="14620" max="14620" width="18.140625" style="537" customWidth="1"/>
    <col min="14621" max="14621" width="11" style="537" bestFit="1" customWidth="1"/>
    <col min="14622" max="14622" width="14.28515625" style="537" bestFit="1" customWidth="1"/>
    <col min="14623" max="14623" width="11.42578125" style="537" bestFit="1" customWidth="1"/>
    <col min="14624" max="14624" width="12.28515625" style="537" bestFit="1" customWidth="1"/>
    <col min="14625" max="14625" width="11" style="537" bestFit="1" customWidth="1"/>
    <col min="14626" max="14627" width="14.28515625" style="537" bestFit="1" customWidth="1"/>
    <col min="14628" max="14628" width="11" style="537" bestFit="1" customWidth="1"/>
    <col min="14629" max="14629" width="14.42578125" style="537" bestFit="1" customWidth="1"/>
    <col min="14630" max="14630" width="9.140625" style="537"/>
    <col min="14631" max="14631" width="14.28515625" style="537" bestFit="1" customWidth="1"/>
    <col min="14632" max="14632" width="12.85546875" style="537" bestFit="1" customWidth="1"/>
    <col min="14633" max="14633" width="21.140625" style="537" customWidth="1"/>
    <col min="14634" max="14848" width="9.140625" style="537"/>
    <col min="14849" max="14849" width="13.140625" style="537" customWidth="1"/>
    <col min="14850" max="14850" width="69.42578125" style="537" bestFit="1" customWidth="1"/>
    <col min="14851" max="14851" width="14.28515625" style="537" bestFit="1" customWidth="1"/>
    <col min="14852" max="14852" width="11" style="537" bestFit="1" customWidth="1"/>
    <col min="14853" max="14853" width="11.5703125" style="537" bestFit="1" customWidth="1"/>
    <col min="14854" max="14854" width="23.42578125" style="537" customWidth="1"/>
    <col min="14855" max="14855" width="11.42578125" style="537" bestFit="1" customWidth="1"/>
    <col min="14856" max="14856" width="21.85546875" style="537" customWidth="1"/>
    <col min="14857" max="14857" width="11" style="537" bestFit="1" customWidth="1"/>
    <col min="14858" max="14858" width="14.28515625" style="537" bestFit="1" customWidth="1"/>
    <col min="14859" max="14859" width="11.42578125" style="537" bestFit="1" customWidth="1"/>
    <col min="14860" max="14860" width="12.28515625" style="537" bestFit="1" customWidth="1"/>
    <col min="14861" max="14861" width="11" style="537" bestFit="1" customWidth="1"/>
    <col min="14862" max="14862" width="10.140625" style="537" bestFit="1" customWidth="1"/>
    <col min="14863" max="14863" width="12.28515625" style="537" bestFit="1" customWidth="1"/>
    <col min="14864" max="14864" width="11" style="537" bestFit="1" customWidth="1"/>
    <col min="14865" max="14865" width="14.42578125" style="537" bestFit="1" customWidth="1"/>
    <col min="14866" max="14866" width="11.42578125" style="537" bestFit="1" customWidth="1"/>
    <col min="14867" max="14867" width="9.140625" style="537"/>
    <col min="14868" max="14868" width="15.5703125" style="537" bestFit="1" customWidth="1"/>
    <col min="14869" max="14869" width="10.7109375" style="537" bestFit="1" customWidth="1"/>
    <col min="14870" max="14870" width="9.140625" style="537"/>
    <col min="14871" max="14871" width="14.28515625" style="537" bestFit="1" customWidth="1"/>
    <col min="14872" max="14872" width="11" style="537" bestFit="1" customWidth="1"/>
    <col min="14873" max="14873" width="11.5703125" style="537" bestFit="1" customWidth="1"/>
    <col min="14874" max="14874" width="17.85546875" style="537" customWidth="1"/>
    <col min="14875" max="14875" width="11.42578125" style="537" bestFit="1" customWidth="1"/>
    <col min="14876" max="14876" width="18.140625" style="537" customWidth="1"/>
    <col min="14877" max="14877" width="11" style="537" bestFit="1" customWidth="1"/>
    <col min="14878" max="14878" width="14.28515625" style="537" bestFit="1" customWidth="1"/>
    <col min="14879" max="14879" width="11.42578125" style="537" bestFit="1" customWidth="1"/>
    <col min="14880" max="14880" width="12.28515625" style="537" bestFit="1" customWidth="1"/>
    <col min="14881" max="14881" width="11" style="537" bestFit="1" customWidth="1"/>
    <col min="14882" max="14883" width="14.28515625" style="537" bestFit="1" customWidth="1"/>
    <col min="14884" max="14884" width="11" style="537" bestFit="1" customWidth="1"/>
    <col min="14885" max="14885" width="14.42578125" style="537" bestFit="1" customWidth="1"/>
    <col min="14886" max="14886" width="9.140625" style="537"/>
    <col min="14887" max="14887" width="14.28515625" style="537" bestFit="1" customWidth="1"/>
    <col min="14888" max="14888" width="12.85546875" style="537" bestFit="1" customWidth="1"/>
    <col min="14889" max="14889" width="21.140625" style="537" customWidth="1"/>
    <col min="14890" max="15104" width="9.140625" style="537"/>
    <col min="15105" max="15105" width="13.140625" style="537" customWidth="1"/>
    <col min="15106" max="15106" width="69.42578125" style="537" bestFit="1" customWidth="1"/>
    <col min="15107" max="15107" width="14.28515625" style="537" bestFit="1" customWidth="1"/>
    <col min="15108" max="15108" width="11" style="537" bestFit="1" customWidth="1"/>
    <col min="15109" max="15109" width="11.5703125" style="537" bestFit="1" customWidth="1"/>
    <col min="15110" max="15110" width="23.42578125" style="537" customWidth="1"/>
    <col min="15111" max="15111" width="11.42578125" style="537" bestFit="1" customWidth="1"/>
    <col min="15112" max="15112" width="21.85546875" style="537" customWidth="1"/>
    <col min="15113" max="15113" width="11" style="537" bestFit="1" customWidth="1"/>
    <col min="15114" max="15114" width="14.28515625" style="537" bestFit="1" customWidth="1"/>
    <col min="15115" max="15115" width="11.42578125" style="537" bestFit="1" customWidth="1"/>
    <col min="15116" max="15116" width="12.28515625" style="537" bestFit="1" customWidth="1"/>
    <col min="15117" max="15117" width="11" style="537" bestFit="1" customWidth="1"/>
    <col min="15118" max="15118" width="10.140625" style="537" bestFit="1" customWidth="1"/>
    <col min="15119" max="15119" width="12.28515625" style="537" bestFit="1" customWidth="1"/>
    <col min="15120" max="15120" width="11" style="537" bestFit="1" customWidth="1"/>
    <col min="15121" max="15121" width="14.42578125" style="537" bestFit="1" customWidth="1"/>
    <col min="15122" max="15122" width="11.42578125" style="537" bestFit="1" customWidth="1"/>
    <col min="15123" max="15123" width="9.140625" style="537"/>
    <col min="15124" max="15124" width="15.5703125" style="537" bestFit="1" customWidth="1"/>
    <col min="15125" max="15125" width="10.7109375" style="537" bestFit="1" customWidth="1"/>
    <col min="15126" max="15126" width="9.140625" style="537"/>
    <col min="15127" max="15127" width="14.28515625" style="537" bestFit="1" customWidth="1"/>
    <col min="15128" max="15128" width="11" style="537" bestFit="1" customWidth="1"/>
    <col min="15129" max="15129" width="11.5703125" style="537" bestFit="1" customWidth="1"/>
    <col min="15130" max="15130" width="17.85546875" style="537" customWidth="1"/>
    <col min="15131" max="15131" width="11.42578125" style="537" bestFit="1" customWidth="1"/>
    <col min="15132" max="15132" width="18.140625" style="537" customWidth="1"/>
    <col min="15133" max="15133" width="11" style="537" bestFit="1" customWidth="1"/>
    <col min="15134" max="15134" width="14.28515625" style="537" bestFit="1" customWidth="1"/>
    <col min="15135" max="15135" width="11.42578125" style="537" bestFit="1" customWidth="1"/>
    <col min="15136" max="15136" width="12.28515625" style="537" bestFit="1" customWidth="1"/>
    <col min="15137" max="15137" width="11" style="537" bestFit="1" customWidth="1"/>
    <col min="15138" max="15139" width="14.28515625" style="537" bestFit="1" customWidth="1"/>
    <col min="15140" max="15140" width="11" style="537" bestFit="1" customWidth="1"/>
    <col min="15141" max="15141" width="14.42578125" style="537" bestFit="1" customWidth="1"/>
    <col min="15142" max="15142" width="9.140625" style="537"/>
    <col min="15143" max="15143" width="14.28515625" style="537" bestFit="1" customWidth="1"/>
    <col min="15144" max="15144" width="12.85546875" style="537" bestFit="1" customWidth="1"/>
    <col min="15145" max="15145" width="21.140625" style="537" customWidth="1"/>
    <col min="15146" max="15360" width="9.140625" style="537"/>
    <col min="15361" max="15361" width="13.140625" style="537" customWidth="1"/>
    <col min="15362" max="15362" width="69.42578125" style="537" bestFit="1" customWidth="1"/>
    <col min="15363" max="15363" width="14.28515625" style="537" bestFit="1" customWidth="1"/>
    <col min="15364" max="15364" width="11" style="537" bestFit="1" customWidth="1"/>
    <col min="15365" max="15365" width="11.5703125" style="537" bestFit="1" customWidth="1"/>
    <col min="15366" max="15366" width="23.42578125" style="537" customWidth="1"/>
    <col min="15367" max="15367" width="11.42578125" style="537" bestFit="1" customWidth="1"/>
    <col min="15368" max="15368" width="21.85546875" style="537" customWidth="1"/>
    <col min="15369" max="15369" width="11" style="537" bestFit="1" customWidth="1"/>
    <col min="15370" max="15370" width="14.28515625" style="537" bestFit="1" customWidth="1"/>
    <col min="15371" max="15371" width="11.42578125" style="537" bestFit="1" customWidth="1"/>
    <col min="15372" max="15372" width="12.28515625" style="537" bestFit="1" customWidth="1"/>
    <col min="15373" max="15373" width="11" style="537" bestFit="1" customWidth="1"/>
    <col min="15374" max="15374" width="10.140625" style="537" bestFit="1" customWidth="1"/>
    <col min="15375" max="15375" width="12.28515625" style="537" bestFit="1" customWidth="1"/>
    <col min="15376" max="15376" width="11" style="537" bestFit="1" customWidth="1"/>
    <col min="15377" max="15377" width="14.42578125" style="537" bestFit="1" customWidth="1"/>
    <col min="15378" max="15378" width="11.42578125" style="537" bestFit="1" customWidth="1"/>
    <col min="15379" max="15379" width="9.140625" style="537"/>
    <col min="15380" max="15380" width="15.5703125" style="537" bestFit="1" customWidth="1"/>
    <col min="15381" max="15381" width="10.7109375" style="537" bestFit="1" customWidth="1"/>
    <col min="15382" max="15382" width="9.140625" style="537"/>
    <col min="15383" max="15383" width="14.28515625" style="537" bestFit="1" customWidth="1"/>
    <col min="15384" max="15384" width="11" style="537" bestFit="1" customWidth="1"/>
    <col min="15385" max="15385" width="11.5703125" style="537" bestFit="1" customWidth="1"/>
    <col min="15386" max="15386" width="17.85546875" style="537" customWidth="1"/>
    <col min="15387" max="15387" width="11.42578125" style="537" bestFit="1" customWidth="1"/>
    <col min="15388" max="15388" width="18.140625" style="537" customWidth="1"/>
    <col min="15389" max="15389" width="11" style="537" bestFit="1" customWidth="1"/>
    <col min="15390" max="15390" width="14.28515625" style="537" bestFit="1" customWidth="1"/>
    <col min="15391" max="15391" width="11.42578125" style="537" bestFit="1" customWidth="1"/>
    <col min="15392" max="15392" width="12.28515625" style="537" bestFit="1" customWidth="1"/>
    <col min="15393" max="15393" width="11" style="537" bestFit="1" customWidth="1"/>
    <col min="15394" max="15395" width="14.28515625" style="537" bestFit="1" customWidth="1"/>
    <col min="15396" max="15396" width="11" style="537" bestFit="1" customWidth="1"/>
    <col min="15397" max="15397" width="14.42578125" style="537" bestFit="1" customWidth="1"/>
    <col min="15398" max="15398" width="9.140625" style="537"/>
    <col min="15399" max="15399" width="14.28515625" style="537" bestFit="1" customWidth="1"/>
    <col min="15400" max="15400" width="12.85546875" style="537" bestFit="1" customWidth="1"/>
    <col min="15401" max="15401" width="21.140625" style="537" customWidth="1"/>
    <col min="15402" max="15616" width="9.140625" style="537"/>
    <col min="15617" max="15617" width="13.140625" style="537" customWidth="1"/>
    <col min="15618" max="15618" width="69.42578125" style="537" bestFit="1" customWidth="1"/>
    <col min="15619" max="15619" width="14.28515625" style="537" bestFit="1" customWidth="1"/>
    <col min="15620" max="15620" width="11" style="537" bestFit="1" customWidth="1"/>
    <col min="15621" max="15621" width="11.5703125" style="537" bestFit="1" customWidth="1"/>
    <col min="15622" max="15622" width="23.42578125" style="537" customWidth="1"/>
    <col min="15623" max="15623" width="11.42578125" style="537" bestFit="1" customWidth="1"/>
    <col min="15624" max="15624" width="21.85546875" style="537" customWidth="1"/>
    <col min="15625" max="15625" width="11" style="537" bestFit="1" customWidth="1"/>
    <col min="15626" max="15626" width="14.28515625" style="537" bestFit="1" customWidth="1"/>
    <col min="15627" max="15627" width="11.42578125" style="537" bestFit="1" customWidth="1"/>
    <col min="15628" max="15628" width="12.28515625" style="537" bestFit="1" customWidth="1"/>
    <col min="15629" max="15629" width="11" style="537" bestFit="1" customWidth="1"/>
    <col min="15630" max="15630" width="10.140625" style="537" bestFit="1" customWidth="1"/>
    <col min="15631" max="15631" width="12.28515625" style="537" bestFit="1" customWidth="1"/>
    <col min="15632" max="15632" width="11" style="537" bestFit="1" customWidth="1"/>
    <col min="15633" max="15633" width="14.42578125" style="537" bestFit="1" customWidth="1"/>
    <col min="15634" max="15634" width="11.42578125" style="537" bestFit="1" customWidth="1"/>
    <col min="15635" max="15635" width="9.140625" style="537"/>
    <col min="15636" max="15636" width="15.5703125" style="537" bestFit="1" customWidth="1"/>
    <col min="15637" max="15637" width="10.7109375" style="537" bestFit="1" customWidth="1"/>
    <col min="15638" max="15638" width="9.140625" style="537"/>
    <col min="15639" max="15639" width="14.28515625" style="537" bestFit="1" customWidth="1"/>
    <col min="15640" max="15640" width="11" style="537" bestFit="1" customWidth="1"/>
    <col min="15641" max="15641" width="11.5703125" style="537" bestFit="1" customWidth="1"/>
    <col min="15642" max="15642" width="17.85546875" style="537" customWidth="1"/>
    <col min="15643" max="15643" width="11.42578125" style="537" bestFit="1" customWidth="1"/>
    <col min="15644" max="15644" width="18.140625" style="537" customWidth="1"/>
    <col min="15645" max="15645" width="11" style="537" bestFit="1" customWidth="1"/>
    <col min="15646" max="15646" width="14.28515625" style="537" bestFit="1" customWidth="1"/>
    <col min="15647" max="15647" width="11.42578125" style="537" bestFit="1" customWidth="1"/>
    <col min="15648" max="15648" width="12.28515625" style="537" bestFit="1" customWidth="1"/>
    <col min="15649" max="15649" width="11" style="537" bestFit="1" customWidth="1"/>
    <col min="15650" max="15651" width="14.28515625" style="537" bestFit="1" customWidth="1"/>
    <col min="15652" max="15652" width="11" style="537" bestFit="1" customWidth="1"/>
    <col min="15653" max="15653" width="14.42578125" style="537" bestFit="1" customWidth="1"/>
    <col min="15654" max="15654" width="9.140625" style="537"/>
    <col min="15655" max="15655" width="14.28515625" style="537" bestFit="1" customWidth="1"/>
    <col min="15656" max="15656" width="12.85546875" style="537" bestFit="1" customWidth="1"/>
    <col min="15657" max="15657" width="21.140625" style="537" customWidth="1"/>
    <col min="15658" max="15872" width="9.140625" style="537"/>
    <col min="15873" max="15873" width="13.140625" style="537" customWidth="1"/>
    <col min="15874" max="15874" width="69.42578125" style="537" bestFit="1" customWidth="1"/>
    <col min="15875" max="15875" width="14.28515625" style="537" bestFit="1" customWidth="1"/>
    <col min="15876" max="15876" width="11" style="537" bestFit="1" customWidth="1"/>
    <col min="15877" max="15877" width="11.5703125" style="537" bestFit="1" customWidth="1"/>
    <col min="15878" max="15878" width="23.42578125" style="537" customWidth="1"/>
    <col min="15879" max="15879" width="11.42578125" style="537" bestFit="1" customWidth="1"/>
    <col min="15880" max="15880" width="21.85546875" style="537" customWidth="1"/>
    <col min="15881" max="15881" width="11" style="537" bestFit="1" customWidth="1"/>
    <col min="15882" max="15882" width="14.28515625" style="537" bestFit="1" customWidth="1"/>
    <col min="15883" max="15883" width="11.42578125" style="537" bestFit="1" customWidth="1"/>
    <col min="15884" max="15884" width="12.28515625" style="537" bestFit="1" customWidth="1"/>
    <col min="15885" max="15885" width="11" style="537" bestFit="1" customWidth="1"/>
    <col min="15886" max="15886" width="10.140625" style="537" bestFit="1" customWidth="1"/>
    <col min="15887" max="15887" width="12.28515625" style="537" bestFit="1" customWidth="1"/>
    <col min="15888" max="15888" width="11" style="537" bestFit="1" customWidth="1"/>
    <col min="15889" max="15889" width="14.42578125" style="537" bestFit="1" customWidth="1"/>
    <col min="15890" max="15890" width="11.42578125" style="537" bestFit="1" customWidth="1"/>
    <col min="15891" max="15891" width="9.140625" style="537"/>
    <col min="15892" max="15892" width="15.5703125" style="537" bestFit="1" customWidth="1"/>
    <col min="15893" max="15893" width="10.7109375" style="537" bestFit="1" customWidth="1"/>
    <col min="15894" max="15894" width="9.140625" style="537"/>
    <col min="15895" max="15895" width="14.28515625" style="537" bestFit="1" customWidth="1"/>
    <col min="15896" max="15896" width="11" style="537" bestFit="1" customWidth="1"/>
    <col min="15897" max="15897" width="11.5703125" style="537" bestFit="1" customWidth="1"/>
    <col min="15898" max="15898" width="17.85546875" style="537" customWidth="1"/>
    <col min="15899" max="15899" width="11.42578125" style="537" bestFit="1" customWidth="1"/>
    <col min="15900" max="15900" width="18.140625" style="537" customWidth="1"/>
    <col min="15901" max="15901" width="11" style="537" bestFit="1" customWidth="1"/>
    <col min="15902" max="15902" width="14.28515625" style="537" bestFit="1" customWidth="1"/>
    <col min="15903" max="15903" width="11.42578125" style="537" bestFit="1" customWidth="1"/>
    <col min="15904" max="15904" width="12.28515625" style="537" bestFit="1" customWidth="1"/>
    <col min="15905" max="15905" width="11" style="537" bestFit="1" customWidth="1"/>
    <col min="15906" max="15907" width="14.28515625" style="537" bestFit="1" customWidth="1"/>
    <col min="15908" max="15908" width="11" style="537" bestFit="1" customWidth="1"/>
    <col min="15909" max="15909" width="14.42578125" style="537" bestFit="1" customWidth="1"/>
    <col min="15910" max="15910" width="9.140625" style="537"/>
    <col min="15911" max="15911" width="14.28515625" style="537" bestFit="1" customWidth="1"/>
    <col min="15912" max="15912" width="12.85546875" style="537" bestFit="1" customWidth="1"/>
    <col min="15913" max="15913" width="21.140625" style="537" customWidth="1"/>
    <col min="15914" max="16128" width="9.140625" style="537"/>
    <col min="16129" max="16129" width="13.140625" style="537" customWidth="1"/>
    <col min="16130" max="16130" width="69.42578125" style="537" bestFit="1" customWidth="1"/>
    <col min="16131" max="16131" width="14.28515625" style="537" bestFit="1" customWidth="1"/>
    <col min="16132" max="16132" width="11" style="537" bestFit="1" customWidth="1"/>
    <col min="16133" max="16133" width="11.5703125" style="537" bestFit="1" customWidth="1"/>
    <col min="16134" max="16134" width="23.42578125" style="537" customWidth="1"/>
    <col min="16135" max="16135" width="11.42578125" style="537" bestFit="1" customWidth="1"/>
    <col min="16136" max="16136" width="21.85546875" style="537" customWidth="1"/>
    <col min="16137" max="16137" width="11" style="537" bestFit="1" customWidth="1"/>
    <col min="16138" max="16138" width="14.28515625" style="537" bestFit="1" customWidth="1"/>
    <col min="16139" max="16139" width="11.42578125" style="537" bestFit="1" customWidth="1"/>
    <col min="16140" max="16140" width="12.28515625" style="537" bestFit="1" customWidth="1"/>
    <col min="16141" max="16141" width="11" style="537" bestFit="1" customWidth="1"/>
    <col min="16142" max="16142" width="10.140625" style="537" bestFit="1" customWidth="1"/>
    <col min="16143" max="16143" width="12.28515625" style="537" bestFit="1" customWidth="1"/>
    <col min="16144" max="16144" width="11" style="537" bestFit="1" customWidth="1"/>
    <col min="16145" max="16145" width="14.42578125" style="537" bestFit="1" customWidth="1"/>
    <col min="16146" max="16146" width="11.42578125" style="537" bestFit="1" customWidth="1"/>
    <col min="16147" max="16147" width="9.140625" style="537"/>
    <col min="16148" max="16148" width="15.5703125" style="537" bestFit="1" customWidth="1"/>
    <col min="16149" max="16149" width="10.7109375" style="537" bestFit="1" customWidth="1"/>
    <col min="16150" max="16150" width="9.140625" style="537"/>
    <col min="16151" max="16151" width="14.28515625" style="537" bestFit="1" customWidth="1"/>
    <col min="16152" max="16152" width="11" style="537" bestFit="1" customWidth="1"/>
    <col min="16153" max="16153" width="11.5703125" style="537" bestFit="1" customWidth="1"/>
    <col min="16154" max="16154" width="17.85546875" style="537" customWidth="1"/>
    <col min="16155" max="16155" width="11.42578125" style="537" bestFit="1" customWidth="1"/>
    <col min="16156" max="16156" width="18.140625" style="537" customWidth="1"/>
    <col min="16157" max="16157" width="11" style="537" bestFit="1" customWidth="1"/>
    <col min="16158" max="16158" width="14.28515625" style="537" bestFit="1" customWidth="1"/>
    <col min="16159" max="16159" width="11.42578125" style="537" bestFit="1" customWidth="1"/>
    <col min="16160" max="16160" width="12.28515625" style="537" bestFit="1" customWidth="1"/>
    <col min="16161" max="16161" width="11" style="537" bestFit="1" customWidth="1"/>
    <col min="16162" max="16163" width="14.28515625" style="537" bestFit="1" customWidth="1"/>
    <col min="16164" max="16164" width="11" style="537" bestFit="1" customWidth="1"/>
    <col min="16165" max="16165" width="14.42578125" style="537" bestFit="1" customWidth="1"/>
    <col min="16166" max="16166" width="9.140625" style="537"/>
    <col min="16167" max="16167" width="14.28515625" style="537" bestFit="1" customWidth="1"/>
    <col min="16168" max="16168" width="12.85546875" style="537" bestFit="1" customWidth="1"/>
    <col min="16169" max="16169" width="21.140625" style="537" customWidth="1"/>
    <col min="16170" max="16384" width="9.140625" style="537"/>
  </cols>
  <sheetData>
    <row r="1" spans="1:69" s="156" customFormat="1" ht="15">
      <c r="Q1" s="195"/>
      <c r="R1" s="195"/>
      <c r="AK1" s="195"/>
    </row>
    <row r="2" spans="1:69" s="156" customFormat="1" ht="15.75">
      <c r="A2" s="705" t="s">
        <v>342</v>
      </c>
      <c r="B2" s="706"/>
      <c r="C2" s="706"/>
      <c r="D2" s="706"/>
      <c r="E2" s="706"/>
      <c r="F2" s="706"/>
      <c r="G2" s="706"/>
      <c r="H2" s="706"/>
      <c r="I2" s="706"/>
      <c r="J2" s="706"/>
      <c r="K2" s="706"/>
      <c r="L2" s="706"/>
      <c r="M2" s="706"/>
      <c r="N2" s="706"/>
      <c r="O2" s="706"/>
      <c r="P2" s="706"/>
      <c r="Q2" s="706"/>
      <c r="R2" s="706"/>
      <c r="S2" s="706"/>
      <c r="T2" s="706"/>
      <c r="U2" s="706"/>
      <c r="V2" s="706"/>
      <c r="W2" s="706"/>
      <c r="X2" s="706"/>
      <c r="Y2" s="706"/>
      <c r="Z2" s="706"/>
      <c r="AA2" s="706"/>
      <c r="AB2" s="706"/>
      <c r="AC2" s="706"/>
      <c r="AD2" s="706"/>
      <c r="AE2" s="706"/>
      <c r="AF2" s="706"/>
      <c r="AG2" s="706"/>
      <c r="AH2" s="706"/>
      <c r="AI2" s="706"/>
      <c r="AJ2" s="706"/>
      <c r="AK2" s="706"/>
      <c r="AL2" s="706"/>
      <c r="AM2" s="706"/>
      <c r="AN2" s="706"/>
      <c r="AO2" s="706"/>
    </row>
    <row r="3" spans="1:69" s="156" customFormat="1" ht="15.75">
      <c r="A3" s="638" t="s">
        <v>719</v>
      </c>
      <c r="B3" s="706"/>
      <c r="C3" s="706"/>
      <c r="D3" s="706"/>
      <c r="E3" s="706"/>
      <c r="F3" s="706"/>
      <c r="G3" s="706"/>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706"/>
      <c r="AJ3" s="706"/>
      <c r="AK3" s="706"/>
      <c r="AL3" s="706"/>
      <c r="AM3" s="706"/>
      <c r="AN3" s="706"/>
      <c r="AO3" s="706"/>
    </row>
    <row r="4" spans="1:69" s="156" customFormat="1" ht="15">
      <c r="F4" s="172"/>
      <c r="G4" s="172"/>
      <c r="H4" s="172"/>
      <c r="I4" s="172"/>
      <c r="J4" s="172"/>
      <c r="K4" s="172"/>
      <c r="L4" s="172"/>
      <c r="M4" s="172"/>
      <c r="N4" s="172"/>
      <c r="O4" s="172"/>
      <c r="P4" s="172"/>
      <c r="Q4" s="172"/>
      <c r="R4" s="172"/>
      <c r="S4" s="177"/>
      <c r="T4" s="178"/>
      <c r="U4" s="177"/>
      <c r="V4" s="177"/>
      <c r="Z4" s="172"/>
      <c r="AA4" s="172"/>
      <c r="AB4" s="172"/>
      <c r="AC4" s="172"/>
      <c r="AD4" s="172"/>
      <c r="AE4" s="172"/>
      <c r="AF4" s="172"/>
      <c r="AG4" s="172"/>
      <c r="AH4" s="172"/>
      <c r="AI4" s="172"/>
      <c r="AJ4" s="172"/>
      <c r="AK4" s="172"/>
      <c r="AL4" s="17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67"/>
      <c r="BK4" s="167"/>
      <c r="BL4" s="167"/>
      <c r="BM4" s="167"/>
      <c r="BN4" s="167"/>
      <c r="BO4" s="167"/>
      <c r="BP4" s="167"/>
      <c r="BQ4" s="167"/>
    </row>
    <row r="5" spans="1:69" s="167" customFormat="1" ht="15.75">
      <c r="A5" s="707" t="s">
        <v>672</v>
      </c>
      <c r="B5" s="707"/>
      <c r="C5" s="881" t="s">
        <v>673</v>
      </c>
      <c r="D5" s="881"/>
      <c r="E5" s="881"/>
      <c r="F5" s="881"/>
      <c r="G5" s="881"/>
      <c r="H5" s="881"/>
      <c r="I5" s="881"/>
      <c r="J5" s="881"/>
      <c r="K5" s="881"/>
      <c r="L5" s="881"/>
      <c r="M5" s="881"/>
      <c r="N5" s="881"/>
      <c r="O5" s="881"/>
      <c r="P5" s="881"/>
      <c r="Q5" s="881"/>
      <c r="R5" s="881"/>
      <c r="S5" s="177"/>
      <c r="T5" s="882" t="s">
        <v>674</v>
      </c>
      <c r="U5" s="882"/>
      <c r="V5" s="177"/>
      <c r="W5" s="881" t="s">
        <v>675</v>
      </c>
      <c r="X5" s="881"/>
      <c r="Y5" s="881"/>
      <c r="Z5" s="881"/>
      <c r="AA5" s="881"/>
      <c r="AB5" s="881"/>
      <c r="AC5" s="881"/>
      <c r="AD5" s="881"/>
      <c r="AE5" s="881"/>
      <c r="AF5" s="881"/>
      <c r="AG5" s="881"/>
      <c r="AH5" s="881"/>
      <c r="AI5" s="881"/>
      <c r="AJ5" s="881"/>
      <c r="AK5" s="881"/>
      <c r="AL5" s="177"/>
      <c r="AM5" s="882" t="s">
        <v>676</v>
      </c>
      <c r="AN5" s="882"/>
      <c r="AO5" s="882"/>
    </row>
    <row r="6" spans="1:69" s="167" customFormat="1" ht="15">
      <c r="A6" s="654">
        <v>2012</v>
      </c>
      <c r="B6" s="160"/>
      <c r="C6" s="160"/>
      <c r="D6" s="160"/>
      <c r="E6" s="708">
        <v>8.5483359791547697E-2</v>
      </c>
      <c r="F6" s="172"/>
      <c r="G6" s="708">
        <v>2.1935793876838312E-2</v>
      </c>
      <c r="J6" s="181"/>
      <c r="K6" s="708">
        <v>0.10936663962521412</v>
      </c>
      <c r="L6" s="181"/>
      <c r="M6" s="181"/>
      <c r="N6" s="181"/>
      <c r="O6" s="181"/>
      <c r="P6" s="159"/>
      <c r="Q6" s="159"/>
      <c r="R6" s="159"/>
      <c r="S6" s="177"/>
      <c r="T6" s="648">
        <v>267938.92</v>
      </c>
      <c r="U6" s="649" t="s">
        <v>677</v>
      </c>
      <c r="V6" s="177"/>
      <c r="W6" s="160"/>
      <c r="X6" s="160"/>
      <c r="Y6" s="708">
        <v>8.6778523063318708E-2</v>
      </c>
      <c r="Z6" s="172"/>
      <c r="AA6" s="708">
        <v>1.9021237653722944E-2</v>
      </c>
      <c r="AD6" s="181"/>
      <c r="AE6" s="708">
        <v>0.10843870743143799</v>
      </c>
      <c r="AF6" s="181"/>
      <c r="AG6" s="181"/>
      <c r="AH6" s="181"/>
      <c r="AI6" s="181"/>
      <c r="AJ6" s="159"/>
      <c r="AK6" s="159"/>
      <c r="AL6" s="177"/>
      <c r="AM6" s="649"/>
      <c r="AN6" s="649"/>
      <c r="AO6" s="649"/>
    </row>
    <row r="7" spans="1:69" s="167" customFormat="1" ht="15">
      <c r="A7" s="160"/>
      <c r="B7" s="160"/>
      <c r="C7" s="160"/>
      <c r="D7" s="160"/>
      <c r="E7" s="160"/>
      <c r="F7" s="160"/>
      <c r="G7" s="160"/>
      <c r="H7" s="160"/>
      <c r="I7" s="160"/>
      <c r="J7" s="160"/>
      <c r="K7" s="160"/>
      <c r="L7" s="160"/>
      <c r="M7" s="160"/>
      <c r="N7" s="160"/>
      <c r="O7" s="160"/>
      <c r="P7" s="160"/>
      <c r="Q7" s="160"/>
      <c r="R7" s="160"/>
      <c r="S7" s="177"/>
      <c r="T7" s="652">
        <v>0</v>
      </c>
      <c r="U7" s="649" t="s">
        <v>638</v>
      </c>
      <c r="V7" s="177"/>
      <c r="W7" s="160"/>
      <c r="X7" s="160"/>
      <c r="Y7" s="160"/>
      <c r="Z7" s="160"/>
      <c r="AA7" s="160"/>
      <c r="AB7" s="160"/>
      <c r="AC7" s="160"/>
      <c r="AD7" s="160"/>
      <c r="AE7" s="160"/>
      <c r="AF7" s="181"/>
      <c r="AG7" s="181"/>
      <c r="AH7" s="181"/>
      <c r="AI7" s="181"/>
      <c r="AJ7" s="159"/>
      <c r="AK7" s="159"/>
      <c r="AL7" s="177"/>
      <c r="AM7" s="649"/>
      <c r="AN7" s="653">
        <v>2.1713003278744326E-3</v>
      </c>
      <c r="AO7" s="167" t="s">
        <v>720</v>
      </c>
    </row>
    <row r="8" spans="1:69" s="167" customFormat="1" ht="15">
      <c r="A8" s="160"/>
      <c r="B8" s="160"/>
      <c r="C8" s="160"/>
      <c r="D8" s="160"/>
      <c r="E8" s="160"/>
      <c r="F8" s="160"/>
      <c r="G8" s="160"/>
      <c r="H8" s="160"/>
      <c r="I8" s="160"/>
      <c r="J8" s="160"/>
      <c r="K8" s="160"/>
      <c r="L8" s="160"/>
      <c r="M8" s="160"/>
      <c r="N8" s="160"/>
      <c r="O8" s="160"/>
      <c r="P8" s="160"/>
      <c r="Q8" s="160"/>
      <c r="R8" s="160"/>
      <c r="S8" s="177"/>
      <c r="T8" s="659">
        <v>267938.92</v>
      </c>
      <c r="U8" s="643"/>
      <c r="V8" s="177"/>
      <c r="W8" s="160"/>
      <c r="X8" s="160"/>
      <c r="Y8" s="160"/>
      <c r="Z8" s="160"/>
      <c r="AA8" s="160"/>
      <c r="AB8" s="160"/>
      <c r="AC8" s="160"/>
      <c r="AD8" s="160"/>
      <c r="AE8" s="160"/>
      <c r="AF8" s="181"/>
      <c r="AG8" s="181"/>
      <c r="AH8" s="181"/>
      <c r="AI8" s="181"/>
      <c r="AJ8" s="159"/>
      <c r="AK8" s="159"/>
      <c r="AL8" s="177"/>
      <c r="AM8" s="649"/>
      <c r="AN8" s="298">
        <v>18961.920000000002</v>
      </c>
      <c r="AO8" s="167" t="s">
        <v>721</v>
      </c>
    </row>
    <row r="9" spans="1:69" s="167" customFormat="1" ht="15">
      <c r="A9" s="660" t="s">
        <v>88</v>
      </c>
      <c r="B9" s="709" t="s">
        <v>86</v>
      </c>
      <c r="C9" s="710" t="s">
        <v>683</v>
      </c>
      <c r="D9" s="710" t="s">
        <v>684</v>
      </c>
      <c r="E9" s="710" t="s">
        <v>685</v>
      </c>
      <c r="F9" s="710" t="s">
        <v>686</v>
      </c>
      <c r="G9" s="710" t="s">
        <v>687</v>
      </c>
      <c r="H9" s="710" t="s">
        <v>688</v>
      </c>
      <c r="I9" s="710" t="s">
        <v>689</v>
      </c>
      <c r="J9" s="710" t="s">
        <v>722</v>
      </c>
      <c r="K9" s="710" t="s">
        <v>723</v>
      </c>
      <c r="L9" s="710" t="s">
        <v>724</v>
      </c>
      <c r="M9" s="710" t="s">
        <v>725</v>
      </c>
      <c r="N9" s="710" t="s">
        <v>726</v>
      </c>
      <c r="O9" s="709" t="s">
        <v>84</v>
      </c>
      <c r="P9" s="709" t="s">
        <v>83</v>
      </c>
      <c r="Q9" s="709" t="s">
        <v>81</v>
      </c>
      <c r="R9" s="709" t="s">
        <v>79</v>
      </c>
      <c r="S9" s="177"/>
      <c r="T9" s="662" t="s">
        <v>77</v>
      </c>
      <c r="U9" s="663" t="s">
        <v>75</v>
      </c>
      <c r="V9" s="177"/>
      <c r="W9" s="711" t="s">
        <v>690</v>
      </c>
      <c r="X9" s="711" t="s">
        <v>691</v>
      </c>
      <c r="Y9" s="711" t="s">
        <v>692</v>
      </c>
      <c r="Z9" s="711" t="s">
        <v>693</v>
      </c>
      <c r="AA9" s="711" t="s">
        <v>694</v>
      </c>
      <c r="AB9" s="711" t="s">
        <v>695</v>
      </c>
      <c r="AC9" s="711" t="s">
        <v>696</v>
      </c>
      <c r="AD9" s="710" t="s">
        <v>727</v>
      </c>
      <c r="AE9" s="710" t="s">
        <v>728</v>
      </c>
      <c r="AF9" s="710" t="s">
        <v>729</v>
      </c>
      <c r="AG9" s="710" t="s">
        <v>730</v>
      </c>
      <c r="AH9" s="710" t="s">
        <v>731</v>
      </c>
      <c r="AI9" s="709" t="s">
        <v>73</v>
      </c>
      <c r="AJ9" s="709" t="s">
        <v>71</v>
      </c>
      <c r="AK9" s="709" t="s">
        <v>69</v>
      </c>
      <c r="AL9" s="177"/>
      <c r="AM9" s="662" t="s">
        <v>62</v>
      </c>
      <c r="AN9" s="662" t="s">
        <v>61</v>
      </c>
      <c r="AO9" s="662" t="s">
        <v>59</v>
      </c>
    </row>
    <row r="10" spans="1:69" s="308" customFormat="1" ht="82.5" customHeight="1">
      <c r="A10" s="712" t="s">
        <v>360</v>
      </c>
      <c r="B10" s="712" t="s">
        <v>361</v>
      </c>
      <c r="C10" s="712" t="s">
        <v>697</v>
      </c>
      <c r="D10" s="712" t="s">
        <v>418</v>
      </c>
      <c r="E10" s="712" t="s">
        <v>417</v>
      </c>
      <c r="F10" s="301" t="s">
        <v>416</v>
      </c>
      <c r="G10" s="301" t="s">
        <v>415</v>
      </c>
      <c r="H10" s="713" t="s">
        <v>414</v>
      </c>
      <c r="I10" s="714" t="s">
        <v>358</v>
      </c>
      <c r="J10" s="301" t="s">
        <v>357</v>
      </c>
      <c r="K10" s="301" t="s">
        <v>9</v>
      </c>
      <c r="L10" s="714" t="s">
        <v>356</v>
      </c>
      <c r="M10" s="301" t="s">
        <v>2</v>
      </c>
      <c r="N10" s="301" t="s">
        <v>467</v>
      </c>
      <c r="O10" s="305" t="s">
        <v>355</v>
      </c>
      <c r="P10" s="304" t="s">
        <v>698</v>
      </c>
      <c r="Q10" s="305" t="s">
        <v>401</v>
      </c>
      <c r="R10" s="669" t="s">
        <v>699</v>
      </c>
      <c r="S10" s="715"/>
      <c r="T10" s="669" t="s">
        <v>700</v>
      </c>
      <c r="U10" s="669" t="s">
        <v>701</v>
      </c>
      <c r="V10" s="715"/>
      <c r="W10" s="712" t="s">
        <v>702</v>
      </c>
      <c r="X10" s="712" t="s">
        <v>418</v>
      </c>
      <c r="Y10" s="712" t="s">
        <v>417</v>
      </c>
      <c r="Z10" s="301" t="s">
        <v>416</v>
      </c>
      <c r="AA10" s="301" t="s">
        <v>415</v>
      </c>
      <c r="AB10" s="713" t="s">
        <v>414</v>
      </c>
      <c r="AC10" s="714" t="s">
        <v>358</v>
      </c>
      <c r="AD10" s="301" t="s">
        <v>357</v>
      </c>
      <c r="AE10" s="301" t="s">
        <v>9</v>
      </c>
      <c r="AF10" s="714" t="s">
        <v>356</v>
      </c>
      <c r="AG10" s="301" t="s">
        <v>2</v>
      </c>
      <c r="AH10" s="301" t="s">
        <v>467</v>
      </c>
      <c r="AI10" s="305" t="s">
        <v>355</v>
      </c>
      <c r="AJ10" s="304" t="s">
        <v>698</v>
      </c>
      <c r="AK10" s="305" t="s">
        <v>401</v>
      </c>
      <c r="AL10" s="715"/>
      <c r="AM10" s="669" t="s">
        <v>703</v>
      </c>
      <c r="AN10" s="669" t="s">
        <v>704</v>
      </c>
      <c r="AO10" s="669" t="s">
        <v>732</v>
      </c>
    </row>
    <row r="11" spans="1:69" s="167" customFormat="1" ht="15">
      <c r="A11" s="181"/>
      <c r="B11" s="181"/>
      <c r="C11" s="181"/>
      <c r="D11" s="181"/>
      <c r="E11" s="181"/>
      <c r="F11" s="181"/>
      <c r="G11" s="181"/>
      <c r="H11" s="181"/>
      <c r="I11" s="180"/>
      <c r="J11" s="181"/>
      <c r="K11" s="181"/>
      <c r="L11" s="180"/>
      <c r="M11" s="181"/>
      <c r="N11" s="181"/>
      <c r="O11" s="180"/>
      <c r="P11" s="159"/>
      <c r="Q11" s="179"/>
      <c r="R11" s="179"/>
      <c r="S11" s="177"/>
      <c r="T11" s="716"/>
      <c r="U11" s="717"/>
      <c r="V11" s="177"/>
      <c r="W11" s="181"/>
      <c r="X11" s="181"/>
      <c r="Y11" s="181"/>
      <c r="Z11" s="181"/>
      <c r="AA11" s="181"/>
      <c r="AB11" s="181"/>
      <c r="AC11" s="180"/>
      <c r="AD11" s="181"/>
      <c r="AE11" s="181"/>
      <c r="AF11" s="180"/>
      <c r="AG11" s="181"/>
      <c r="AH11" s="181"/>
      <c r="AI11" s="180"/>
      <c r="AJ11" s="159"/>
      <c r="AK11" s="179"/>
      <c r="AL11" s="177"/>
      <c r="AM11" s="718"/>
      <c r="AN11" s="718"/>
      <c r="AO11" s="718"/>
    </row>
    <row r="12" spans="1:69" s="156" customFormat="1" ht="15">
      <c r="A12" s="719">
        <v>2844</v>
      </c>
      <c r="B12" s="720" t="s">
        <v>717</v>
      </c>
      <c r="C12" s="721">
        <v>2205827.4769230774</v>
      </c>
      <c r="D12" s="721">
        <v>0</v>
      </c>
      <c r="E12" s="175">
        <v>8.5500000000000007E-2</v>
      </c>
      <c r="F12" s="298">
        <v>0</v>
      </c>
      <c r="G12" s="175">
        <v>2.1899999999999999E-2</v>
      </c>
      <c r="H12" s="722">
        <v>48307.62174461539</v>
      </c>
      <c r="I12" s="229">
        <v>48307.62174461539</v>
      </c>
      <c r="J12" s="721">
        <v>2205827.4769230774</v>
      </c>
      <c r="K12" s="175">
        <v>0.1094</v>
      </c>
      <c r="L12" s="229">
        <v>241317.52597538466</v>
      </c>
      <c r="M12" s="721">
        <v>0</v>
      </c>
      <c r="N12" s="721">
        <v>0</v>
      </c>
      <c r="O12" s="229">
        <v>289625.14772000007</v>
      </c>
      <c r="P12" s="721">
        <v>0</v>
      </c>
      <c r="Q12" s="229">
        <v>289625.14772000007</v>
      </c>
      <c r="R12" s="723">
        <v>1</v>
      </c>
      <c r="S12" s="157"/>
      <c r="T12" s="686">
        <v>267938.92</v>
      </c>
      <c r="U12" s="723">
        <v>1</v>
      </c>
      <c r="V12" s="157"/>
      <c r="W12" s="721">
        <v>3986378.8484615386</v>
      </c>
      <c r="X12" s="721">
        <v>0</v>
      </c>
      <c r="Y12" s="175">
        <v>8.6778523063318708E-2</v>
      </c>
      <c r="Z12" s="298">
        <v>0</v>
      </c>
      <c r="AA12" s="175">
        <v>1.9021237653722944E-2</v>
      </c>
      <c r="AB12" s="722">
        <v>75825.859454361329</v>
      </c>
      <c r="AC12" s="229">
        <v>75825.859454361329</v>
      </c>
      <c r="AD12" s="721">
        <v>3986378.8484615386</v>
      </c>
      <c r="AE12" s="175">
        <v>0.10843870743143799</v>
      </c>
      <c r="AF12" s="229">
        <v>432277.76965919347</v>
      </c>
      <c r="AG12" s="721">
        <v>0</v>
      </c>
      <c r="AH12" s="721">
        <v>170102.32</v>
      </c>
      <c r="AI12" s="229">
        <v>678205.94911355479</v>
      </c>
      <c r="AJ12" s="721">
        <v>0</v>
      </c>
      <c r="AK12" s="229">
        <v>678205.94911355479</v>
      </c>
      <c r="AL12" s="157"/>
      <c r="AM12" s="229">
        <v>410267.0291135548</v>
      </c>
      <c r="AN12" s="686">
        <v>1781.6212723427641</v>
      </c>
      <c r="AO12" s="229">
        <v>412048.65038589755</v>
      </c>
    </row>
    <row r="13" spans="1:69" s="156" customFormat="1" ht="15">
      <c r="A13" s="719">
        <v>3127</v>
      </c>
      <c r="B13" s="720" t="s">
        <v>718</v>
      </c>
      <c r="C13" s="721">
        <v>0</v>
      </c>
      <c r="D13" s="721">
        <v>0</v>
      </c>
      <c r="E13" s="175">
        <v>8.5500000000000007E-2</v>
      </c>
      <c r="F13" s="298">
        <v>0</v>
      </c>
      <c r="G13" s="175">
        <v>2.1899999999999999E-2</v>
      </c>
      <c r="H13" s="722">
        <v>0</v>
      </c>
      <c r="I13" s="229">
        <v>0</v>
      </c>
      <c r="J13" s="721">
        <v>0</v>
      </c>
      <c r="K13" s="175">
        <v>0.1094</v>
      </c>
      <c r="L13" s="229">
        <v>0</v>
      </c>
      <c r="M13" s="721">
        <v>0</v>
      </c>
      <c r="N13" s="721">
        <v>0</v>
      </c>
      <c r="O13" s="229">
        <v>0</v>
      </c>
      <c r="P13" s="721">
        <v>0</v>
      </c>
      <c r="Q13" s="229">
        <v>0</v>
      </c>
      <c r="R13" s="723">
        <v>0</v>
      </c>
      <c r="S13" s="157"/>
      <c r="T13" s="686">
        <v>0</v>
      </c>
      <c r="U13" s="723">
        <v>0</v>
      </c>
      <c r="V13" s="157"/>
      <c r="W13" s="721">
        <v>0</v>
      </c>
      <c r="X13" s="721">
        <v>0</v>
      </c>
      <c r="Y13" s="175">
        <v>8.6778523063318708E-2</v>
      </c>
      <c r="Z13" s="298">
        <v>0</v>
      </c>
      <c r="AA13" s="175">
        <v>1.9021237653722944E-2</v>
      </c>
      <c r="AB13" s="722">
        <v>0</v>
      </c>
      <c r="AC13" s="229">
        <v>0</v>
      </c>
      <c r="AD13" s="721">
        <v>0</v>
      </c>
      <c r="AE13" s="175">
        <v>0.10843870743143799</v>
      </c>
      <c r="AF13" s="229">
        <v>0</v>
      </c>
      <c r="AG13" s="721">
        <v>0</v>
      </c>
      <c r="AH13" s="721">
        <v>3956233.7</v>
      </c>
      <c r="AI13" s="229">
        <v>3956233.7</v>
      </c>
      <c r="AJ13" s="721">
        <v>0</v>
      </c>
      <c r="AK13" s="229">
        <v>3956233.7</v>
      </c>
      <c r="AL13" s="157"/>
      <c r="AM13" s="229">
        <v>3956233.7</v>
      </c>
      <c r="AN13" s="229">
        <v>17180.298727657238</v>
      </c>
      <c r="AO13" s="229">
        <v>3973413.9987276574</v>
      </c>
    </row>
    <row r="14" spans="1:69" s="156" customFormat="1" ht="15">
      <c r="A14" s="724"/>
      <c r="B14" s="720"/>
      <c r="C14" s="721">
        <v>0</v>
      </c>
      <c r="D14" s="721">
        <v>0</v>
      </c>
      <c r="E14" s="175">
        <v>8.5500000000000007E-2</v>
      </c>
      <c r="F14" s="298">
        <v>0</v>
      </c>
      <c r="G14" s="175">
        <v>2.1899999999999999E-2</v>
      </c>
      <c r="H14" s="722">
        <v>0</v>
      </c>
      <c r="I14" s="229">
        <v>0</v>
      </c>
      <c r="J14" s="721">
        <v>0</v>
      </c>
      <c r="K14" s="175">
        <v>0.1094</v>
      </c>
      <c r="L14" s="229">
        <v>0</v>
      </c>
      <c r="M14" s="721">
        <v>0</v>
      </c>
      <c r="N14" s="721">
        <v>0</v>
      </c>
      <c r="O14" s="229">
        <v>0</v>
      </c>
      <c r="P14" s="721">
        <v>0</v>
      </c>
      <c r="Q14" s="229">
        <v>0</v>
      </c>
      <c r="R14" s="723">
        <v>0</v>
      </c>
      <c r="S14" s="157"/>
      <c r="T14" s="686">
        <v>0</v>
      </c>
      <c r="U14" s="723">
        <v>0</v>
      </c>
      <c r="V14" s="157"/>
      <c r="W14" s="721">
        <v>0</v>
      </c>
      <c r="X14" s="721">
        <v>0</v>
      </c>
      <c r="Y14" s="175">
        <v>8.6778523063318708E-2</v>
      </c>
      <c r="Z14" s="298">
        <v>0</v>
      </c>
      <c r="AA14" s="175">
        <v>1.9021237653722944E-2</v>
      </c>
      <c r="AB14" s="722">
        <v>0</v>
      </c>
      <c r="AC14" s="229">
        <v>0</v>
      </c>
      <c r="AD14" s="721">
        <v>0</v>
      </c>
      <c r="AE14" s="175">
        <v>0.10843870743143799</v>
      </c>
      <c r="AF14" s="229">
        <v>0</v>
      </c>
      <c r="AG14" s="721">
        <v>0</v>
      </c>
      <c r="AH14" s="721">
        <v>0</v>
      </c>
      <c r="AI14" s="229">
        <v>0</v>
      </c>
      <c r="AJ14" s="721">
        <v>0</v>
      </c>
      <c r="AK14" s="229">
        <v>0</v>
      </c>
      <c r="AL14" s="157"/>
      <c r="AM14" s="229">
        <v>0</v>
      </c>
      <c r="AN14" s="229">
        <v>0</v>
      </c>
      <c r="AO14" s="229">
        <v>0</v>
      </c>
    </row>
    <row r="15" spans="1:69" s="156" customFormat="1" ht="15">
      <c r="A15" s="724"/>
      <c r="B15" s="720"/>
      <c r="C15" s="721">
        <v>0</v>
      </c>
      <c r="D15" s="721">
        <v>0</v>
      </c>
      <c r="E15" s="175">
        <v>8.5500000000000007E-2</v>
      </c>
      <c r="F15" s="298">
        <v>0</v>
      </c>
      <c r="G15" s="175">
        <v>2.1899999999999999E-2</v>
      </c>
      <c r="H15" s="722">
        <v>0</v>
      </c>
      <c r="I15" s="229">
        <v>0</v>
      </c>
      <c r="J15" s="721">
        <v>0</v>
      </c>
      <c r="K15" s="175">
        <v>0.1094</v>
      </c>
      <c r="L15" s="229">
        <v>0</v>
      </c>
      <c r="M15" s="721">
        <v>0</v>
      </c>
      <c r="N15" s="721">
        <v>0</v>
      </c>
      <c r="O15" s="229">
        <v>0</v>
      </c>
      <c r="P15" s="721">
        <v>0</v>
      </c>
      <c r="Q15" s="229">
        <v>0</v>
      </c>
      <c r="R15" s="723">
        <v>0</v>
      </c>
      <c r="S15" s="157"/>
      <c r="T15" s="686">
        <v>0</v>
      </c>
      <c r="U15" s="723">
        <v>0</v>
      </c>
      <c r="V15" s="157"/>
      <c r="W15" s="721">
        <v>0</v>
      </c>
      <c r="X15" s="721">
        <v>0</v>
      </c>
      <c r="Y15" s="175">
        <v>8.6778523063318708E-2</v>
      </c>
      <c r="Z15" s="298">
        <v>0</v>
      </c>
      <c r="AA15" s="175">
        <v>1.9021237653722944E-2</v>
      </c>
      <c r="AB15" s="722">
        <v>0</v>
      </c>
      <c r="AC15" s="229">
        <v>0</v>
      </c>
      <c r="AD15" s="721">
        <v>0</v>
      </c>
      <c r="AE15" s="175">
        <v>0.10843870743143799</v>
      </c>
      <c r="AF15" s="229">
        <v>0</v>
      </c>
      <c r="AG15" s="721">
        <v>0</v>
      </c>
      <c r="AH15" s="721">
        <v>0</v>
      </c>
      <c r="AI15" s="229">
        <v>0</v>
      </c>
      <c r="AJ15" s="721">
        <v>0</v>
      </c>
      <c r="AK15" s="229">
        <v>0</v>
      </c>
      <c r="AL15" s="157"/>
      <c r="AM15" s="229">
        <v>0</v>
      </c>
      <c r="AN15" s="229">
        <v>0</v>
      </c>
      <c r="AO15" s="229">
        <v>0</v>
      </c>
    </row>
    <row r="16" spans="1:69" s="156" customFormat="1" ht="15">
      <c r="A16" s="724"/>
      <c r="B16" s="720"/>
      <c r="C16" s="721">
        <v>0</v>
      </c>
      <c r="D16" s="721">
        <v>0</v>
      </c>
      <c r="E16" s="175">
        <v>8.5500000000000007E-2</v>
      </c>
      <c r="F16" s="298">
        <v>0</v>
      </c>
      <c r="G16" s="175">
        <v>2.1899999999999999E-2</v>
      </c>
      <c r="H16" s="722">
        <v>0</v>
      </c>
      <c r="I16" s="229">
        <v>0</v>
      </c>
      <c r="J16" s="721">
        <v>0</v>
      </c>
      <c r="K16" s="175">
        <v>0.1094</v>
      </c>
      <c r="L16" s="229">
        <v>0</v>
      </c>
      <c r="M16" s="721">
        <v>0</v>
      </c>
      <c r="N16" s="721">
        <v>0</v>
      </c>
      <c r="O16" s="229">
        <v>0</v>
      </c>
      <c r="P16" s="721">
        <v>0</v>
      </c>
      <c r="Q16" s="229">
        <v>0</v>
      </c>
      <c r="R16" s="723">
        <v>0</v>
      </c>
      <c r="S16" s="157"/>
      <c r="T16" s="686">
        <v>0</v>
      </c>
      <c r="U16" s="723">
        <v>0</v>
      </c>
      <c r="V16" s="157"/>
      <c r="W16" s="721">
        <v>0</v>
      </c>
      <c r="X16" s="721">
        <v>0</v>
      </c>
      <c r="Y16" s="175">
        <v>8.6778523063318708E-2</v>
      </c>
      <c r="Z16" s="298">
        <v>0</v>
      </c>
      <c r="AA16" s="175">
        <v>1.9021237653722944E-2</v>
      </c>
      <c r="AB16" s="722">
        <v>0</v>
      </c>
      <c r="AC16" s="229">
        <v>0</v>
      </c>
      <c r="AD16" s="721">
        <v>0</v>
      </c>
      <c r="AE16" s="175">
        <v>0.10843870743143799</v>
      </c>
      <c r="AF16" s="229">
        <v>0</v>
      </c>
      <c r="AG16" s="721">
        <v>0</v>
      </c>
      <c r="AH16" s="721">
        <v>0</v>
      </c>
      <c r="AI16" s="229">
        <v>0</v>
      </c>
      <c r="AJ16" s="721">
        <v>0</v>
      </c>
      <c r="AK16" s="229">
        <v>0</v>
      </c>
      <c r="AL16" s="157"/>
      <c r="AM16" s="229">
        <v>0</v>
      </c>
      <c r="AN16" s="229">
        <v>0</v>
      </c>
      <c r="AO16" s="229">
        <v>0</v>
      </c>
    </row>
    <row r="17" spans="1:41" s="156" customFormat="1" ht="15">
      <c r="A17" s="724"/>
      <c r="B17" s="720"/>
      <c r="C17" s="721">
        <v>0</v>
      </c>
      <c r="D17" s="721">
        <v>0</v>
      </c>
      <c r="E17" s="175">
        <v>8.5500000000000007E-2</v>
      </c>
      <c r="F17" s="298">
        <v>0</v>
      </c>
      <c r="G17" s="175">
        <v>2.1899999999999999E-2</v>
      </c>
      <c r="H17" s="722">
        <v>0</v>
      </c>
      <c r="I17" s="229">
        <v>0</v>
      </c>
      <c r="J17" s="721">
        <v>0</v>
      </c>
      <c r="K17" s="175">
        <v>0.1094</v>
      </c>
      <c r="L17" s="229">
        <v>0</v>
      </c>
      <c r="M17" s="721">
        <v>0</v>
      </c>
      <c r="N17" s="721">
        <v>0</v>
      </c>
      <c r="O17" s="229">
        <v>0</v>
      </c>
      <c r="P17" s="721">
        <v>0</v>
      </c>
      <c r="Q17" s="229">
        <v>0</v>
      </c>
      <c r="R17" s="723">
        <v>0</v>
      </c>
      <c r="S17" s="157"/>
      <c r="T17" s="686">
        <v>0</v>
      </c>
      <c r="U17" s="723">
        <v>0</v>
      </c>
      <c r="V17" s="157"/>
      <c r="W17" s="721">
        <v>0</v>
      </c>
      <c r="X17" s="721">
        <v>0</v>
      </c>
      <c r="Y17" s="175">
        <v>8.6778523063318708E-2</v>
      </c>
      <c r="Z17" s="298">
        <v>0</v>
      </c>
      <c r="AA17" s="175">
        <v>1.9021237653722944E-2</v>
      </c>
      <c r="AB17" s="722">
        <v>0</v>
      </c>
      <c r="AC17" s="229">
        <v>0</v>
      </c>
      <c r="AD17" s="721">
        <v>0</v>
      </c>
      <c r="AE17" s="175">
        <v>0.10843870743143799</v>
      </c>
      <c r="AF17" s="229">
        <v>0</v>
      </c>
      <c r="AG17" s="721">
        <v>0</v>
      </c>
      <c r="AH17" s="721">
        <v>0</v>
      </c>
      <c r="AI17" s="229">
        <v>0</v>
      </c>
      <c r="AJ17" s="721">
        <v>0</v>
      </c>
      <c r="AK17" s="229">
        <v>0</v>
      </c>
      <c r="AL17" s="157"/>
      <c r="AM17" s="229">
        <v>0</v>
      </c>
      <c r="AN17" s="229">
        <v>0</v>
      </c>
      <c r="AO17" s="229">
        <v>0</v>
      </c>
    </row>
    <row r="18" spans="1:41" s="156" customFormat="1" ht="15">
      <c r="A18" s="724"/>
      <c r="B18" s="720"/>
      <c r="C18" s="721">
        <v>0</v>
      </c>
      <c r="D18" s="721">
        <v>0</v>
      </c>
      <c r="E18" s="175">
        <v>8.5500000000000007E-2</v>
      </c>
      <c r="F18" s="298">
        <v>0</v>
      </c>
      <c r="G18" s="175">
        <v>2.1899999999999999E-2</v>
      </c>
      <c r="H18" s="722">
        <v>0</v>
      </c>
      <c r="I18" s="229">
        <v>0</v>
      </c>
      <c r="J18" s="721">
        <v>0</v>
      </c>
      <c r="K18" s="175">
        <v>0.1094</v>
      </c>
      <c r="L18" s="229">
        <v>0</v>
      </c>
      <c r="M18" s="721">
        <v>0</v>
      </c>
      <c r="N18" s="721">
        <v>0</v>
      </c>
      <c r="O18" s="229">
        <v>0</v>
      </c>
      <c r="P18" s="721">
        <v>0</v>
      </c>
      <c r="Q18" s="229">
        <v>0</v>
      </c>
      <c r="R18" s="723">
        <v>0</v>
      </c>
      <c r="S18" s="157"/>
      <c r="T18" s="686">
        <v>0</v>
      </c>
      <c r="U18" s="723">
        <v>0</v>
      </c>
      <c r="V18" s="157"/>
      <c r="W18" s="721">
        <v>0</v>
      </c>
      <c r="X18" s="721">
        <v>0</v>
      </c>
      <c r="Y18" s="175">
        <v>8.6778523063318708E-2</v>
      </c>
      <c r="Z18" s="298">
        <v>0</v>
      </c>
      <c r="AA18" s="175">
        <v>1.9021237653722944E-2</v>
      </c>
      <c r="AB18" s="722">
        <v>0</v>
      </c>
      <c r="AC18" s="229">
        <v>0</v>
      </c>
      <c r="AD18" s="721">
        <v>0</v>
      </c>
      <c r="AE18" s="175">
        <v>0.10843870743143799</v>
      </c>
      <c r="AF18" s="229">
        <v>0</v>
      </c>
      <c r="AG18" s="721">
        <v>0</v>
      </c>
      <c r="AH18" s="721">
        <v>0</v>
      </c>
      <c r="AI18" s="229">
        <v>0</v>
      </c>
      <c r="AJ18" s="721">
        <v>0</v>
      </c>
      <c r="AK18" s="229">
        <v>0</v>
      </c>
      <c r="AL18" s="157"/>
      <c r="AM18" s="229">
        <v>0</v>
      </c>
      <c r="AN18" s="229">
        <v>0</v>
      </c>
      <c r="AO18" s="229">
        <v>0</v>
      </c>
    </row>
    <row r="19" spans="1:41" s="156" customFormat="1" ht="15">
      <c r="A19" s="724"/>
      <c r="B19" s="720"/>
      <c r="C19" s="721">
        <v>0</v>
      </c>
      <c r="D19" s="721">
        <v>0</v>
      </c>
      <c r="E19" s="175">
        <v>8.5500000000000007E-2</v>
      </c>
      <c r="F19" s="298">
        <v>0</v>
      </c>
      <c r="G19" s="175">
        <v>2.1899999999999999E-2</v>
      </c>
      <c r="H19" s="722">
        <v>0</v>
      </c>
      <c r="I19" s="229">
        <v>0</v>
      </c>
      <c r="J19" s="721">
        <v>0</v>
      </c>
      <c r="K19" s="175">
        <v>0.1094</v>
      </c>
      <c r="L19" s="229">
        <v>0</v>
      </c>
      <c r="M19" s="721">
        <v>0</v>
      </c>
      <c r="N19" s="721">
        <v>0</v>
      </c>
      <c r="O19" s="229">
        <v>0</v>
      </c>
      <c r="P19" s="721">
        <v>0</v>
      </c>
      <c r="Q19" s="229">
        <v>0</v>
      </c>
      <c r="R19" s="723">
        <v>0</v>
      </c>
      <c r="S19" s="157"/>
      <c r="T19" s="686">
        <v>0</v>
      </c>
      <c r="U19" s="723">
        <v>0</v>
      </c>
      <c r="V19" s="157"/>
      <c r="W19" s="721">
        <v>0</v>
      </c>
      <c r="X19" s="721">
        <v>0</v>
      </c>
      <c r="Y19" s="175">
        <v>8.6778523063318708E-2</v>
      </c>
      <c r="Z19" s="298">
        <v>0</v>
      </c>
      <c r="AA19" s="175">
        <v>1.9021237653722944E-2</v>
      </c>
      <c r="AB19" s="722">
        <v>0</v>
      </c>
      <c r="AC19" s="229">
        <v>0</v>
      </c>
      <c r="AD19" s="721">
        <v>0</v>
      </c>
      <c r="AE19" s="175">
        <v>0.10843870743143799</v>
      </c>
      <c r="AF19" s="229">
        <v>0</v>
      </c>
      <c r="AG19" s="721">
        <v>0</v>
      </c>
      <c r="AH19" s="721">
        <v>0</v>
      </c>
      <c r="AI19" s="229">
        <v>0</v>
      </c>
      <c r="AJ19" s="721">
        <v>0</v>
      </c>
      <c r="AK19" s="229">
        <v>0</v>
      </c>
      <c r="AL19" s="157"/>
      <c r="AM19" s="229">
        <v>0</v>
      </c>
      <c r="AN19" s="229">
        <v>0</v>
      </c>
      <c r="AO19" s="229">
        <v>0</v>
      </c>
    </row>
    <row r="20" spans="1:41" s="156" customFormat="1" ht="15">
      <c r="A20" s="724"/>
      <c r="B20" s="725"/>
      <c r="C20" s="721">
        <v>0</v>
      </c>
      <c r="D20" s="721">
        <v>0</v>
      </c>
      <c r="E20" s="175">
        <v>8.5500000000000007E-2</v>
      </c>
      <c r="F20" s="298">
        <v>0</v>
      </c>
      <c r="G20" s="175">
        <v>2.1899999999999999E-2</v>
      </c>
      <c r="H20" s="722">
        <v>0</v>
      </c>
      <c r="I20" s="229">
        <v>0</v>
      </c>
      <c r="J20" s="721">
        <v>0</v>
      </c>
      <c r="K20" s="175">
        <v>0.1094</v>
      </c>
      <c r="L20" s="229">
        <v>0</v>
      </c>
      <c r="M20" s="721">
        <v>0</v>
      </c>
      <c r="N20" s="721">
        <v>0</v>
      </c>
      <c r="O20" s="229">
        <v>0</v>
      </c>
      <c r="P20" s="721">
        <v>0</v>
      </c>
      <c r="Q20" s="229">
        <v>0</v>
      </c>
      <c r="R20" s="723">
        <v>0</v>
      </c>
      <c r="S20" s="157"/>
      <c r="T20" s="686">
        <v>0</v>
      </c>
      <c r="U20" s="723">
        <v>0</v>
      </c>
      <c r="V20" s="157"/>
      <c r="W20" s="721">
        <v>0</v>
      </c>
      <c r="X20" s="721">
        <v>0</v>
      </c>
      <c r="Y20" s="175">
        <v>8.6778523063318708E-2</v>
      </c>
      <c r="Z20" s="298">
        <v>0</v>
      </c>
      <c r="AA20" s="175">
        <v>1.9021237653722944E-2</v>
      </c>
      <c r="AB20" s="722">
        <v>0</v>
      </c>
      <c r="AC20" s="229">
        <v>0</v>
      </c>
      <c r="AD20" s="721">
        <v>0</v>
      </c>
      <c r="AE20" s="175">
        <v>0.10843870743143799</v>
      </c>
      <c r="AF20" s="229">
        <v>0</v>
      </c>
      <c r="AG20" s="721">
        <v>0</v>
      </c>
      <c r="AH20" s="721">
        <v>0</v>
      </c>
      <c r="AI20" s="229">
        <v>0</v>
      </c>
      <c r="AJ20" s="721">
        <v>0</v>
      </c>
      <c r="AK20" s="229">
        <v>0</v>
      </c>
      <c r="AL20" s="157"/>
      <c r="AM20" s="229">
        <v>0</v>
      </c>
      <c r="AN20" s="229">
        <v>0</v>
      </c>
      <c r="AO20" s="229">
        <v>0</v>
      </c>
    </row>
    <row r="21" spans="1:41" s="156" customFormat="1" ht="15">
      <c r="A21" s="724"/>
      <c r="B21" s="725"/>
      <c r="C21" s="721">
        <v>0</v>
      </c>
      <c r="D21" s="721">
        <v>0</v>
      </c>
      <c r="E21" s="175">
        <v>8.5500000000000007E-2</v>
      </c>
      <c r="F21" s="298">
        <v>0</v>
      </c>
      <c r="G21" s="175">
        <v>2.1899999999999999E-2</v>
      </c>
      <c r="H21" s="722">
        <v>0</v>
      </c>
      <c r="I21" s="229">
        <v>0</v>
      </c>
      <c r="J21" s="721">
        <v>0</v>
      </c>
      <c r="K21" s="175">
        <v>0.1094</v>
      </c>
      <c r="L21" s="229">
        <v>0</v>
      </c>
      <c r="M21" s="721">
        <v>0</v>
      </c>
      <c r="N21" s="721">
        <v>0</v>
      </c>
      <c r="O21" s="229">
        <v>0</v>
      </c>
      <c r="P21" s="721">
        <v>0</v>
      </c>
      <c r="Q21" s="229">
        <v>0</v>
      </c>
      <c r="R21" s="723">
        <v>0</v>
      </c>
      <c r="S21" s="157"/>
      <c r="T21" s="686">
        <v>0</v>
      </c>
      <c r="U21" s="723">
        <v>0</v>
      </c>
      <c r="V21" s="157"/>
      <c r="W21" s="721">
        <v>0</v>
      </c>
      <c r="X21" s="721">
        <v>0</v>
      </c>
      <c r="Y21" s="175">
        <v>8.6778523063318708E-2</v>
      </c>
      <c r="Z21" s="298">
        <v>0</v>
      </c>
      <c r="AA21" s="175">
        <v>1.9021237653722944E-2</v>
      </c>
      <c r="AB21" s="722">
        <v>0</v>
      </c>
      <c r="AC21" s="229">
        <v>0</v>
      </c>
      <c r="AD21" s="721">
        <v>0</v>
      </c>
      <c r="AE21" s="175">
        <v>0.10843870743143799</v>
      </c>
      <c r="AF21" s="229">
        <v>0</v>
      </c>
      <c r="AG21" s="721">
        <v>0</v>
      </c>
      <c r="AH21" s="721">
        <v>0</v>
      </c>
      <c r="AI21" s="229">
        <v>0</v>
      </c>
      <c r="AJ21" s="721">
        <v>0</v>
      </c>
      <c r="AK21" s="229">
        <v>0</v>
      </c>
      <c r="AL21" s="157"/>
      <c r="AM21" s="229">
        <v>0</v>
      </c>
      <c r="AN21" s="229">
        <v>0</v>
      </c>
      <c r="AO21" s="229">
        <v>0</v>
      </c>
    </row>
    <row r="22" spans="1:41" s="156" customFormat="1" ht="15">
      <c r="A22" s="724"/>
      <c r="B22" s="725"/>
      <c r="C22" s="721">
        <v>0</v>
      </c>
      <c r="D22" s="721">
        <v>0</v>
      </c>
      <c r="E22" s="175">
        <v>8.5500000000000007E-2</v>
      </c>
      <c r="F22" s="298">
        <v>0</v>
      </c>
      <c r="G22" s="175">
        <v>2.1899999999999999E-2</v>
      </c>
      <c r="H22" s="722">
        <v>0</v>
      </c>
      <c r="I22" s="229">
        <v>0</v>
      </c>
      <c r="J22" s="721">
        <v>0</v>
      </c>
      <c r="K22" s="175">
        <v>0.1094</v>
      </c>
      <c r="L22" s="229">
        <v>0</v>
      </c>
      <c r="M22" s="721">
        <v>0</v>
      </c>
      <c r="N22" s="721">
        <v>0</v>
      </c>
      <c r="O22" s="229">
        <v>0</v>
      </c>
      <c r="P22" s="721">
        <v>0</v>
      </c>
      <c r="Q22" s="229">
        <v>0</v>
      </c>
      <c r="R22" s="723">
        <v>0</v>
      </c>
      <c r="S22" s="157"/>
      <c r="T22" s="686">
        <v>0</v>
      </c>
      <c r="U22" s="723">
        <v>0</v>
      </c>
      <c r="V22" s="157"/>
      <c r="W22" s="721">
        <v>0</v>
      </c>
      <c r="X22" s="721">
        <v>0</v>
      </c>
      <c r="Y22" s="175">
        <v>8.6778523063318708E-2</v>
      </c>
      <c r="Z22" s="298">
        <v>0</v>
      </c>
      <c r="AA22" s="175">
        <v>1.9021237653722944E-2</v>
      </c>
      <c r="AB22" s="722">
        <v>0</v>
      </c>
      <c r="AC22" s="229">
        <v>0</v>
      </c>
      <c r="AD22" s="721">
        <v>0</v>
      </c>
      <c r="AE22" s="175">
        <v>0.10843870743143799</v>
      </c>
      <c r="AF22" s="229">
        <v>0</v>
      </c>
      <c r="AG22" s="721">
        <v>0</v>
      </c>
      <c r="AH22" s="721">
        <v>0</v>
      </c>
      <c r="AI22" s="229">
        <v>0</v>
      </c>
      <c r="AJ22" s="721">
        <v>0</v>
      </c>
      <c r="AK22" s="229">
        <v>0</v>
      </c>
      <c r="AL22" s="157"/>
      <c r="AM22" s="229">
        <v>0</v>
      </c>
      <c r="AN22" s="229">
        <v>0</v>
      </c>
      <c r="AO22" s="229">
        <v>0</v>
      </c>
    </row>
    <row r="23" spans="1:41" s="156" customFormat="1" ht="15">
      <c r="A23" s="724"/>
      <c r="B23" s="725"/>
      <c r="C23" s="721">
        <v>0</v>
      </c>
      <c r="D23" s="721">
        <v>0</v>
      </c>
      <c r="E23" s="175">
        <v>8.5500000000000007E-2</v>
      </c>
      <c r="F23" s="298">
        <v>0</v>
      </c>
      <c r="G23" s="175">
        <v>2.1899999999999999E-2</v>
      </c>
      <c r="H23" s="722">
        <v>0</v>
      </c>
      <c r="I23" s="229">
        <v>0</v>
      </c>
      <c r="J23" s="721">
        <v>0</v>
      </c>
      <c r="K23" s="175">
        <v>0.1094</v>
      </c>
      <c r="L23" s="229">
        <v>0</v>
      </c>
      <c r="M23" s="721">
        <v>0</v>
      </c>
      <c r="N23" s="721">
        <v>0</v>
      </c>
      <c r="O23" s="229">
        <v>0</v>
      </c>
      <c r="P23" s="721">
        <v>0</v>
      </c>
      <c r="Q23" s="229">
        <v>0</v>
      </c>
      <c r="R23" s="723">
        <v>0</v>
      </c>
      <c r="S23" s="157"/>
      <c r="T23" s="686">
        <v>0</v>
      </c>
      <c r="U23" s="723">
        <v>0</v>
      </c>
      <c r="V23" s="157"/>
      <c r="W23" s="721">
        <v>0</v>
      </c>
      <c r="X23" s="721">
        <v>0</v>
      </c>
      <c r="Y23" s="175">
        <v>8.6778523063318708E-2</v>
      </c>
      <c r="Z23" s="298">
        <v>0</v>
      </c>
      <c r="AA23" s="175">
        <v>1.9021237653722944E-2</v>
      </c>
      <c r="AB23" s="722">
        <v>0</v>
      </c>
      <c r="AC23" s="229">
        <v>0</v>
      </c>
      <c r="AD23" s="721">
        <v>0</v>
      </c>
      <c r="AE23" s="175">
        <v>0.10843870743143799</v>
      </c>
      <c r="AF23" s="229">
        <v>0</v>
      </c>
      <c r="AG23" s="721">
        <v>0</v>
      </c>
      <c r="AH23" s="721">
        <v>0</v>
      </c>
      <c r="AI23" s="229">
        <v>0</v>
      </c>
      <c r="AJ23" s="721">
        <v>0</v>
      </c>
      <c r="AK23" s="229">
        <v>0</v>
      </c>
      <c r="AL23" s="157"/>
      <c r="AM23" s="229">
        <v>0</v>
      </c>
      <c r="AN23" s="229">
        <v>0</v>
      </c>
      <c r="AO23" s="229">
        <v>0</v>
      </c>
    </row>
    <row r="24" spans="1:41" s="156" customFormat="1" ht="15">
      <c r="A24" s="724"/>
      <c r="B24" s="725"/>
      <c r="C24" s="721">
        <v>0</v>
      </c>
      <c r="D24" s="721">
        <v>0</v>
      </c>
      <c r="E24" s="175">
        <v>8.5500000000000007E-2</v>
      </c>
      <c r="F24" s="298">
        <v>0</v>
      </c>
      <c r="G24" s="175">
        <v>2.1899999999999999E-2</v>
      </c>
      <c r="H24" s="722">
        <v>0</v>
      </c>
      <c r="I24" s="229">
        <v>0</v>
      </c>
      <c r="J24" s="721">
        <v>0</v>
      </c>
      <c r="K24" s="175">
        <v>0.1094</v>
      </c>
      <c r="L24" s="229">
        <v>0</v>
      </c>
      <c r="M24" s="721">
        <v>0</v>
      </c>
      <c r="N24" s="721">
        <v>0</v>
      </c>
      <c r="O24" s="229">
        <v>0</v>
      </c>
      <c r="P24" s="721">
        <v>0</v>
      </c>
      <c r="Q24" s="229">
        <v>0</v>
      </c>
      <c r="R24" s="723">
        <v>0</v>
      </c>
      <c r="S24" s="157"/>
      <c r="T24" s="686">
        <v>0</v>
      </c>
      <c r="U24" s="723">
        <v>0</v>
      </c>
      <c r="V24" s="157"/>
      <c r="W24" s="721">
        <v>0</v>
      </c>
      <c r="X24" s="721">
        <v>0</v>
      </c>
      <c r="Y24" s="175">
        <v>8.6778523063318708E-2</v>
      </c>
      <c r="Z24" s="298">
        <v>0</v>
      </c>
      <c r="AA24" s="175">
        <v>1.9021237653722944E-2</v>
      </c>
      <c r="AB24" s="722">
        <v>0</v>
      </c>
      <c r="AC24" s="229">
        <v>0</v>
      </c>
      <c r="AD24" s="721">
        <v>0</v>
      </c>
      <c r="AE24" s="175">
        <v>0.10843870743143799</v>
      </c>
      <c r="AF24" s="229">
        <v>0</v>
      </c>
      <c r="AG24" s="721">
        <v>0</v>
      </c>
      <c r="AH24" s="721">
        <v>0</v>
      </c>
      <c r="AI24" s="229">
        <v>0</v>
      </c>
      <c r="AJ24" s="721">
        <v>0</v>
      </c>
      <c r="AK24" s="229">
        <v>0</v>
      </c>
      <c r="AL24" s="157"/>
      <c r="AM24" s="229">
        <v>0</v>
      </c>
      <c r="AN24" s="229">
        <v>0</v>
      </c>
      <c r="AO24" s="229">
        <v>0</v>
      </c>
    </row>
    <row r="25" spans="1:41" s="156" customFormat="1" ht="15">
      <c r="A25" s="724"/>
      <c r="B25" s="725"/>
      <c r="C25" s="721">
        <v>0</v>
      </c>
      <c r="D25" s="721">
        <v>0</v>
      </c>
      <c r="E25" s="175">
        <v>8.5500000000000007E-2</v>
      </c>
      <c r="F25" s="298">
        <v>0</v>
      </c>
      <c r="G25" s="175">
        <v>2.1899999999999999E-2</v>
      </c>
      <c r="H25" s="722">
        <v>0</v>
      </c>
      <c r="I25" s="229">
        <v>0</v>
      </c>
      <c r="J25" s="721">
        <v>0</v>
      </c>
      <c r="K25" s="175">
        <v>0.1094</v>
      </c>
      <c r="L25" s="229">
        <v>0</v>
      </c>
      <c r="M25" s="721">
        <v>0</v>
      </c>
      <c r="N25" s="721">
        <v>0</v>
      </c>
      <c r="O25" s="229">
        <v>0</v>
      </c>
      <c r="P25" s="721">
        <v>0</v>
      </c>
      <c r="Q25" s="229">
        <v>0</v>
      </c>
      <c r="R25" s="723">
        <v>0</v>
      </c>
      <c r="S25" s="157"/>
      <c r="T25" s="686">
        <v>0</v>
      </c>
      <c r="U25" s="723">
        <v>0</v>
      </c>
      <c r="V25" s="157"/>
      <c r="W25" s="721">
        <v>0</v>
      </c>
      <c r="X25" s="721">
        <v>0</v>
      </c>
      <c r="Y25" s="175">
        <v>8.6778523063318708E-2</v>
      </c>
      <c r="Z25" s="298">
        <v>0</v>
      </c>
      <c r="AA25" s="175">
        <v>1.9021237653722944E-2</v>
      </c>
      <c r="AB25" s="722">
        <v>0</v>
      </c>
      <c r="AC25" s="229">
        <v>0</v>
      </c>
      <c r="AD25" s="721">
        <v>0</v>
      </c>
      <c r="AE25" s="175">
        <v>0.10843870743143799</v>
      </c>
      <c r="AF25" s="229">
        <v>0</v>
      </c>
      <c r="AG25" s="721">
        <v>0</v>
      </c>
      <c r="AH25" s="721">
        <v>0</v>
      </c>
      <c r="AI25" s="229">
        <v>0</v>
      </c>
      <c r="AJ25" s="721">
        <v>0</v>
      </c>
      <c r="AK25" s="229">
        <v>0</v>
      </c>
      <c r="AL25" s="157"/>
      <c r="AM25" s="229">
        <v>0</v>
      </c>
      <c r="AN25" s="229">
        <v>0</v>
      </c>
      <c r="AO25" s="229">
        <v>0</v>
      </c>
    </row>
    <row r="26" spans="1:41" s="156" customFormat="1" ht="15">
      <c r="A26" s="724"/>
      <c r="B26" s="725"/>
      <c r="C26" s="721">
        <v>0</v>
      </c>
      <c r="D26" s="721">
        <v>0</v>
      </c>
      <c r="E26" s="175">
        <v>8.5500000000000007E-2</v>
      </c>
      <c r="F26" s="298">
        <v>0</v>
      </c>
      <c r="G26" s="175">
        <v>2.1899999999999999E-2</v>
      </c>
      <c r="H26" s="722">
        <v>0</v>
      </c>
      <c r="I26" s="229">
        <v>0</v>
      </c>
      <c r="J26" s="721">
        <v>0</v>
      </c>
      <c r="K26" s="175">
        <v>0.1094</v>
      </c>
      <c r="L26" s="229">
        <v>0</v>
      </c>
      <c r="M26" s="721">
        <v>0</v>
      </c>
      <c r="N26" s="721">
        <v>0</v>
      </c>
      <c r="O26" s="229">
        <v>0</v>
      </c>
      <c r="P26" s="721">
        <v>0</v>
      </c>
      <c r="Q26" s="229">
        <v>0</v>
      </c>
      <c r="R26" s="723">
        <v>0</v>
      </c>
      <c r="S26" s="157"/>
      <c r="T26" s="686">
        <v>0</v>
      </c>
      <c r="U26" s="723">
        <v>0</v>
      </c>
      <c r="V26" s="157"/>
      <c r="W26" s="721">
        <v>0</v>
      </c>
      <c r="X26" s="721">
        <v>0</v>
      </c>
      <c r="Y26" s="175">
        <v>8.6778523063318708E-2</v>
      </c>
      <c r="Z26" s="298">
        <v>0</v>
      </c>
      <c r="AA26" s="175">
        <v>1.9021237653722944E-2</v>
      </c>
      <c r="AB26" s="722">
        <v>0</v>
      </c>
      <c r="AC26" s="229">
        <v>0</v>
      </c>
      <c r="AD26" s="721">
        <v>0</v>
      </c>
      <c r="AE26" s="175">
        <v>0.10843870743143799</v>
      </c>
      <c r="AF26" s="229">
        <v>0</v>
      </c>
      <c r="AG26" s="721">
        <v>0</v>
      </c>
      <c r="AH26" s="721">
        <v>0</v>
      </c>
      <c r="AI26" s="229">
        <v>0</v>
      </c>
      <c r="AJ26" s="721">
        <v>0</v>
      </c>
      <c r="AK26" s="229">
        <v>0</v>
      </c>
      <c r="AL26" s="157"/>
      <c r="AM26" s="229">
        <v>0</v>
      </c>
      <c r="AN26" s="229">
        <v>0</v>
      </c>
      <c r="AO26" s="229">
        <v>0</v>
      </c>
    </row>
    <row r="27" spans="1:41" s="156" customFormat="1" ht="15">
      <c r="A27" s="724"/>
      <c r="B27" s="725"/>
      <c r="C27" s="721">
        <v>0</v>
      </c>
      <c r="D27" s="721">
        <v>0</v>
      </c>
      <c r="E27" s="175">
        <v>8.5500000000000007E-2</v>
      </c>
      <c r="F27" s="298">
        <v>0</v>
      </c>
      <c r="G27" s="175">
        <v>2.1899999999999999E-2</v>
      </c>
      <c r="H27" s="722">
        <v>0</v>
      </c>
      <c r="I27" s="229">
        <v>0</v>
      </c>
      <c r="J27" s="721">
        <v>0</v>
      </c>
      <c r="K27" s="175">
        <v>0.1094</v>
      </c>
      <c r="L27" s="229">
        <v>0</v>
      </c>
      <c r="M27" s="721">
        <v>0</v>
      </c>
      <c r="N27" s="721">
        <v>0</v>
      </c>
      <c r="O27" s="229">
        <v>0</v>
      </c>
      <c r="P27" s="721">
        <v>0</v>
      </c>
      <c r="Q27" s="229">
        <v>0</v>
      </c>
      <c r="R27" s="723">
        <v>0</v>
      </c>
      <c r="S27" s="157"/>
      <c r="T27" s="686">
        <v>0</v>
      </c>
      <c r="U27" s="723">
        <v>0</v>
      </c>
      <c r="V27" s="157"/>
      <c r="W27" s="721">
        <v>0</v>
      </c>
      <c r="X27" s="721">
        <v>0</v>
      </c>
      <c r="Y27" s="175">
        <v>8.6778523063318708E-2</v>
      </c>
      <c r="Z27" s="298">
        <v>0</v>
      </c>
      <c r="AA27" s="175">
        <v>1.9021237653722944E-2</v>
      </c>
      <c r="AB27" s="722">
        <v>0</v>
      </c>
      <c r="AC27" s="229">
        <v>0</v>
      </c>
      <c r="AD27" s="721">
        <v>0</v>
      </c>
      <c r="AE27" s="175">
        <v>0.10843870743143799</v>
      </c>
      <c r="AF27" s="229">
        <v>0</v>
      </c>
      <c r="AG27" s="721">
        <v>0</v>
      </c>
      <c r="AH27" s="721">
        <v>0</v>
      </c>
      <c r="AI27" s="229">
        <v>0</v>
      </c>
      <c r="AJ27" s="721">
        <v>0</v>
      </c>
      <c r="AK27" s="229">
        <v>0</v>
      </c>
      <c r="AL27" s="157"/>
      <c r="AM27" s="229">
        <v>0</v>
      </c>
      <c r="AN27" s="229">
        <v>0</v>
      </c>
      <c r="AO27" s="229">
        <v>0</v>
      </c>
    </row>
    <row r="28" spans="1:41" s="156" customFormat="1" ht="15">
      <c r="A28" s="724"/>
      <c r="B28" s="725"/>
      <c r="C28" s="721">
        <v>0</v>
      </c>
      <c r="D28" s="721">
        <v>0</v>
      </c>
      <c r="E28" s="175">
        <v>8.5500000000000007E-2</v>
      </c>
      <c r="F28" s="298">
        <v>0</v>
      </c>
      <c r="G28" s="175">
        <v>2.1899999999999999E-2</v>
      </c>
      <c r="H28" s="722">
        <v>0</v>
      </c>
      <c r="I28" s="229">
        <v>0</v>
      </c>
      <c r="J28" s="721">
        <v>0</v>
      </c>
      <c r="K28" s="175">
        <v>0.1094</v>
      </c>
      <c r="L28" s="229">
        <v>0</v>
      </c>
      <c r="M28" s="721">
        <v>0</v>
      </c>
      <c r="N28" s="721">
        <v>0</v>
      </c>
      <c r="O28" s="229">
        <v>0</v>
      </c>
      <c r="P28" s="721">
        <v>0</v>
      </c>
      <c r="Q28" s="229">
        <v>0</v>
      </c>
      <c r="R28" s="723">
        <v>0</v>
      </c>
      <c r="S28" s="157"/>
      <c r="T28" s="686">
        <v>0</v>
      </c>
      <c r="U28" s="723">
        <v>0</v>
      </c>
      <c r="V28" s="157"/>
      <c r="W28" s="721">
        <v>0</v>
      </c>
      <c r="X28" s="721">
        <v>0</v>
      </c>
      <c r="Y28" s="175">
        <v>8.6778523063318708E-2</v>
      </c>
      <c r="Z28" s="298">
        <v>0</v>
      </c>
      <c r="AA28" s="175">
        <v>1.9021237653722944E-2</v>
      </c>
      <c r="AB28" s="722">
        <v>0</v>
      </c>
      <c r="AC28" s="229">
        <v>0</v>
      </c>
      <c r="AD28" s="721">
        <v>0</v>
      </c>
      <c r="AE28" s="175">
        <v>0.10843870743143799</v>
      </c>
      <c r="AF28" s="229">
        <v>0</v>
      </c>
      <c r="AG28" s="721">
        <v>0</v>
      </c>
      <c r="AH28" s="721">
        <v>0</v>
      </c>
      <c r="AI28" s="229">
        <v>0</v>
      </c>
      <c r="AJ28" s="721">
        <v>0</v>
      </c>
      <c r="AK28" s="229">
        <v>0</v>
      </c>
      <c r="AL28" s="157"/>
      <c r="AM28" s="229">
        <v>0</v>
      </c>
      <c r="AN28" s="229">
        <v>0</v>
      </c>
      <c r="AO28" s="229">
        <v>0</v>
      </c>
    </row>
    <row r="29" spans="1:41" s="156" customFormat="1" ht="15">
      <c r="A29" s="724"/>
      <c r="B29" s="725"/>
      <c r="C29" s="721">
        <v>0</v>
      </c>
      <c r="D29" s="721">
        <v>0</v>
      </c>
      <c r="E29" s="175">
        <v>8.5500000000000007E-2</v>
      </c>
      <c r="F29" s="298">
        <v>0</v>
      </c>
      <c r="G29" s="175">
        <v>2.1899999999999999E-2</v>
      </c>
      <c r="H29" s="722">
        <v>0</v>
      </c>
      <c r="I29" s="229">
        <v>0</v>
      </c>
      <c r="J29" s="721">
        <v>0</v>
      </c>
      <c r="K29" s="175">
        <v>0.1094</v>
      </c>
      <c r="L29" s="229">
        <v>0</v>
      </c>
      <c r="M29" s="721">
        <v>0</v>
      </c>
      <c r="N29" s="721">
        <v>0</v>
      </c>
      <c r="O29" s="229">
        <v>0</v>
      </c>
      <c r="P29" s="721">
        <v>0</v>
      </c>
      <c r="Q29" s="229">
        <v>0</v>
      </c>
      <c r="R29" s="723">
        <v>0</v>
      </c>
      <c r="S29" s="157"/>
      <c r="T29" s="686">
        <v>0</v>
      </c>
      <c r="U29" s="723">
        <v>0</v>
      </c>
      <c r="V29" s="157"/>
      <c r="W29" s="721">
        <v>0</v>
      </c>
      <c r="X29" s="721">
        <v>0</v>
      </c>
      <c r="Y29" s="175">
        <v>8.6778523063318708E-2</v>
      </c>
      <c r="Z29" s="298">
        <v>0</v>
      </c>
      <c r="AA29" s="175">
        <v>1.9021237653722944E-2</v>
      </c>
      <c r="AB29" s="722">
        <v>0</v>
      </c>
      <c r="AC29" s="229">
        <v>0</v>
      </c>
      <c r="AD29" s="721">
        <v>0</v>
      </c>
      <c r="AE29" s="175">
        <v>0.10843870743143799</v>
      </c>
      <c r="AF29" s="229">
        <v>0</v>
      </c>
      <c r="AG29" s="721">
        <v>0</v>
      </c>
      <c r="AH29" s="721">
        <v>0</v>
      </c>
      <c r="AI29" s="229">
        <v>0</v>
      </c>
      <c r="AJ29" s="721">
        <v>0</v>
      </c>
      <c r="AK29" s="229">
        <v>0</v>
      </c>
      <c r="AL29" s="157"/>
      <c r="AM29" s="229">
        <v>0</v>
      </c>
      <c r="AN29" s="229">
        <v>0</v>
      </c>
      <c r="AO29" s="229">
        <v>0</v>
      </c>
    </row>
    <row r="30" spans="1:41" s="156" customFormat="1" ht="15">
      <c r="A30" s="724"/>
      <c r="B30" s="725"/>
      <c r="C30" s="721">
        <v>0</v>
      </c>
      <c r="D30" s="721">
        <v>0</v>
      </c>
      <c r="E30" s="175">
        <v>8.5500000000000007E-2</v>
      </c>
      <c r="F30" s="298">
        <v>0</v>
      </c>
      <c r="G30" s="175">
        <v>2.1899999999999999E-2</v>
      </c>
      <c r="H30" s="722">
        <v>0</v>
      </c>
      <c r="I30" s="229">
        <v>0</v>
      </c>
      <c r="J30" s="721">
        <v>0</v>
      </c>
      <c r="K30" s="175">
        <v>0.1094</v>
      </c>
      <c r="L30" s="229">
        <v>0</v>
      </c>
      <c r="M30" s="721">
        <v>0</v>
      </c>
      <c r="N30" s="721">
        <v>0</v>
      </c>
      <c r="O30" s="229">
        <v>0</v>
      </c>
      <c r="P30" s="721">
        <v>0</v>
      </c>
      <c r="Q30" s="229">
        <v>0</v>
      </c>
      <c r="R30" s="723">
        <v>0</v>
      </c>
      <c r="S30" s="157"/>
      <c r="T30" s="686">
        <v>0</v>
      </c>
      <c r="U30" s="723">
        <v>0</v>
      </c>
      <c r="V30" s="157"/>
      <c r="W30" s="721">
        <v>0</v>
      </c>
      <c r="X30" s="721">
        <v>0</v>
      </c>
      <c r="Y30" s="175">
        <v>8.6778523063318708E-2</v>
      </c>
      <c r="Z30" s="298">
        <v>0</v>
      </c>
      <c r="AA30" s="175">
        <v>1.9021237653722944E-2</v>
      </c>
      <c r="AB30" s="722">
        <v>0</v>
      </c>
      <c r="AC30" s="229">
        <v>0</v>
      </c>
      <c r="AD30" s="721">
        <v>0</v>
      </c>
      <c r="AE30" s="175">
        <v>0.10843870743143799</v>
      </c>
      <c r="AF30" s="229">
        <v>0</v>
      </c>
      <c r="AG30" s="721">
        <v>0</v>
      </c>
      <c r="AH30" s="721">
        <v>0</v>
      </c>
      <c r="AI30" s="229">
        <v>0</v>
      </c>
      <c r="AJ30" s="721">
        <v>0</v>
      </c>
      <c r="AK30" s="229">
        <v>0</v>
      </c>
      <c r="AL30" s="157"/>
      <c r="AM30" s="229">
        <v>0</v>
      </c>
      <c r="AN30" s="229">
        <v>0</v>
      </c>
      <c r="AO30" s="229">
        <v>0</v>
      </c>
    </row>
    <row r="31" spans="1:41" s="156" customFormat="1" ht="15">
      <c r="A31" s="167"/>
      <c r="B31" s="157"/>
      <c r="C31" s="167"/>
      <c r="D31" s="167"/>
      <c r="E31" s="175"/>
      <c r="F31" s="167"/>
      <c r="G31" s="175"/>
      <c r="H31" s="157"/>
      <c r="I31" s="726"/>
      <c r="J31" s="167"/>
      <c r="K31" s="175"/>
      <c r="L31" s="727"/>
      <c r="M31" s="167"/>
      <c r="N31" s="167"/>
      <c r="O31" s="727"/>
      <c r="P31" s="167"/>
      <c r="Q31" s="726"/>
      <c r="R31" s="726"/>
      <c r="S31" s="157"/>
      <c r="T31" s="229"/>
      <c r="U31" s="726"/>
      <c r="V31" s="157"/>
      <c r="W31" s="167"/>
      <c r="X31" s="167"/>
      <c r="Y31" s="175"/>
      <c r="Z31" s="167"/>
      <c r="AA31" s="175"/>
      <c r="AB31" s="157"/>
      <c r="AC31" s="726"/>
      <c r="AD31" s="167"/>
      <c r="AE31" s="175"/>
      <c r="AF31" s="727"/>
      <c r="AG31" s="167"/>
      <c r="AH31" s="167"/>
      <c r="AI31" s="727"/>
      <c r="AJ31" s="167"/>
      <c r="AK31" s="726"/>
      <c r="AL31" s="157"/>
      <c r="AM31" s="229"/>
      <c r="AN31" s="229"/>
      <c r="AO31" s="229"/>
    </row>
    <row r="32" spans="1:41" s="156" customFormat="1" ht="15.75" thickBot="1">
      <c r="A32" s="728"/>
      <c r="B32" s="728" t="s">
        <v>399</v>
      </c>
      <c r="C32" s="729">
        <v>2205827.4769230774</v>
      </c>
      <c r="D32" s="729">
        <v>0</v>
      </c>
      <c r="E32" s="729">
        <v>1.6244999999999994</v>
      </c>
      <c r="F32" s="729">
        <v>0</v>
      </c>
      <c r="G32" s="729">
        <v>0.4160999999999998</v>
      </c>
      <c r="H32" s="729">
        <v>48307.62174461539</v>
      </c>
      <c r="I32" s="729">
        <v>48307.62174461539</v>
      </c>
      <c r="J32" s="729">
        <v>2205827.4769230774</v>
      </c>
      <c r="K32" s="729">
        <v>2.0785999999999993</v>
      </c>
      <c r="L32" s="729">
        <v>241317.52597538466</v>
      </c>
      <c r="M32" s="729">
        <v>0</v>
      </c>
      <c r="N32" s="729">
        <v>0</v>
      </c>
      <c r="O32" s="729">
        <v>289625.14772000007</v>
      </c>
      <c r="P32" s="729">
        <v>0</v>
      </c>
      <c r="Q32" s="729">
        <v>289625.14772000007</v>
      </c>
      <c r="R32" s="730">
        <v>1</v>
      </c>
      <c r="S32" s="157"/>
      <c r="T32" s="729">
        <v>267938.92</v>
      </c>
      <c r="U32" s="730">
        <v>1</v>
      </c>
      <c r="V32" s="157"/>
      <c r="W32" s="729">
        <v>3986378.8484615386</v>
      </c>
      <c r="X32" s="729">
        <v>0</v>
      </c>
      <c r="Y32" s="729"/>
      <c r="Z32" s="729">
        <v>0</v>
      </c>
      <c r="AA32" s="729"/>
      <c r="AB32" s="729">
        <v>75825.859454361329</v>
      </c>
      <c r="AC32" s="729">
        <v>75825.859454361329</v>
      </c>
      <c r="AD32" s="729">
        <v>3986378.8484615386</v>
      </c>
      <c r="AE32" s="729"/>
      <c r="AF32" s="729">
        <v>432277.76965919347</v>
      </c>
      <c r="AG32" s="729">
        <v>0</v>
      </c>
      <c r="AH32" s="729">
        <v>4126336.02</v>
      </c>
      <c r="AI32" s="729">
        <v>4634439.6491135545</v>
      </c>
      <c r="AJ32" s="729">
        <v>0</v>
      </c>
      <c r="AK32" s="729">
        <v>4634439.6491135545</v>
      </c>
      <c r="AL32" s="157"/>
      <c r="AM32" s="729">
        <v>4366500.7291135546</v>
      </c>
      <c r="AN32" s="729">
        <v>18961.920000000002</v>
      </c>
      <c r="AO32" s="729">
        <v>4385462.6491135545</v>
      </c>
    </row>
    <row r="33" spans="1:41" s="156" customFormat="1" ht="15.75" thickTop="1">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AL33" s="157"/>
    </row>
    <row r="34" spans="1:41" s="156" customFormat="1" ht="15.75">
      <c r="A34" s="731" t="s">
        <v>590</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AL34" s="157"/>
    </row>
    <row r="35" spans="1:41" s="156" customFormat="1" ht="17.100000000000001" customHeight="1">
      <c r="A35" s="732" t="s">
        <v>711</v>
      </c>
      <c r="C35" s="733"/>
      <c r="D35" s="733"/>
      <c r="E35" s="734"/>
      <c r="F35" s="734"/>
      <c r="G35" s="734"/>
      <c r="H35" s="734"/>
      <c r="I35" s="734"/>
      <c r="J35" s="734"/>
      <c r="K35" s="734"/>
      <c r="L35" s="734"/>
      <c r="M35" s="734"/>
      <c r="N35" s="734"/>
      <c r="O35" s="734"/>
      <c r="P35" s="734"/>
      <c r="Q35" s="734"/>
      <c r="R35" s="734"/>
      <c r="S35" s="157"/>
      <c r="T35" s="157"/>
      <c r="U35" s="157"/>
      <c r="V35" s="157"/>
      <c r="W35" s="157"/>
      <c r="X35" s="157"/>
      <c r="AL35" s="157"/>
    </row>
    <row r="36" spans="1:41" s="156" customFormat="1" ht="17.100000000000001" customHeight="1">
      <c r="A36" s="732" t="s">
        <v>712</v>
      </c>
      <c r="C36" s="388"/>
      <c r="D36" s="388"/>
      <c r="E36" s="529"/>
      <c r="F36" s="529"/>
      <c r="G36" s="529"/>
      <c r="H36" s="529"/>
      <c r="I36" s="529"/>
      <c r="J36" s="529"/>
      <c r="K36" s="529"/>
      <c r="L36" s="529"/>
      <c r="M36" s="529"/>
      <c r="N36" s="529"/>
      <c r="O36" s="529"/>
      <c r="P36" s="529"/>
      <c r="Q36" s="529"/>
      <c r="R36" s="529"/>
      <c r="S36" s="157"/>
      <c r="T36" s="157"/>
      <c r="U36" s="157"/>
      <c r="V36" s="157"/>
      <c r="W36" s="157"/>
      <c r="X36" s="157"/>
      <c r="AK36" s="735"/>
      <c r="AL36" s="157"/>
    </row>
    <row r="37" spans="1:41" s="156" customFormat="1" ht="17.100000000000001" customHeight="1">
      <c r="A37" s="732" t="s">
        <v>713</v>
      </c>
      <c r="C37" s="733"/>
      <c r="D37" s="733"/>
      <c r="E37" s="734"/>
      <c r="F37" s="734"/>
      <c r="G37" s="734"/>
      <c r="H37" s="734"/>
      <c r="I37" s="734"/>
      <c r="J37" s="734"/>
      <c r="K37" s="734"/>
      <c r="L37" s="734"/>
      <c r="M37" s="734"/>
      <c r="N37" s="734"/>
      <c r="O37" s="734"/>
      <c r="P37" s="734"/>
      <c r="Q37" s="734"/>
      <c r="R37" s="734"/>
      <c r="S37" s="157"/>
      <c r="T37" s="157"/>
      <c r="U37" s="157"/>
      <c r="V37" s="157"/>
      <c r="W37" s="157"/>
      <c r="X37" s="157"/>
      <c r="AK37" s="735"/>
      <c r="AL37" s="157"/>
      <c r="AM37" s="206"/>
      <c r="AN37" s="206"/>
      <c r="AO37" s="206"/>
    </row>
    <row r="38" spans="1:41" s="156" customFormat="1" ht="17.100000000000001" customHeight="1">
      <c r="A38" s="732" t="s">
        <v>714</v>
      </c>
      <c r="C38" s="736"/>
      <c r="D38" s="736"/>
      <c r="E38" s="736"/>
      <c r="F38" s="736"/>
      <c r="G38" s="736"/>
      <c r="H38" s="736"/>
      <c r="I38" s="736"/>
      <c r="J38" s="736"/>
      <c r="K38" s="736"/>
      <c r="L38" s="736"/>
      <c r="M38" s="736"/>
      <c r="N38" s="736"/>
      <c r="O38" s="736"/>
      <c r="P38" s="736"/>
      <c r="Q38" s="736"/>
      <c r="R38" s="736"/>
      <c r="S38" s="157"/>
      <c r="T38" s="157"/>
      <c r="U38" s="157"/>
      <c r="V38" s="157"/>
      <c r="W38" s="157"/>
      <c r="X38" s="157"/>
      <c r="AK38" s="735"/>
      <c r="AL38" s="157"/>
      <c r="AM38" s="206"/>
      <c r="AN38" s="206"/>
      <c r="AO38" s="206"/>
    </row>
    <row r="39" spans="1:41" s="156" customFormat="1" ht="17.100000000000001" customHeight="1">
      <c r="A39" s="732" t="s">
        <v>715</v>
      </c>
      <c r="C39" s="530"/>
      <c r="D39" s="530"/>
      <c r="E39" s="530"/>
      <c r="F39" s="530"/>
      <c r="G39" s="530"/>
      <c r="H39" s="530"/>
      <c r="I39" s="530"/>
      <c r="J39" s="530"/>
      <c r="K39" s="530"/>
      <c r="L39" s="530"/>
      <c r="M39" s="530"/>
      <c r="N39" s="530"/>
      <c r="O39" s="530"/>
      <c r="P39" s="530"/>
      <c r="Q39" s="530"/>
      <c r="R39" s="530"/>
      <c r="S39" s="157"/>
      <c r="T39" s="157"/>
      <c r="U39" s="157"/>
      <c r="V39" s="157"/>
      <c r="W39" s="157"/>
      <c r="X39" s="157"/>
      <c r="AL39" s="157"/>
    </row>
    <row r="40" spans="1:41" s="156" customFormat="1" ht="17.100000000000001" customHeight="1">
      <c r="A40" s="737" t="s">
        <v>716</v>
      </c>
      <c r="C40" s="736"/>
      <c r="D40" s="736"/>
      <c r="E40" s="736"/>
      <c r="F40" s="736"/>
      <c r="G40" s="736"/>
      <c r="H40" s="736"/>
      <c r="I40" s="736"/>
      <c r="J40" s="736"/>
      <c r="K40" s="736"/>
      <c r="L40" s="736"/>
      <c r="M40" s="736"/>
      <c r="N40" s="736"/>
      <c r="O40" s="736"/>
      <c r="P40" s="736"/>
      <c r="Q40" s="736"/>
      <c r="R40" s="736"/>
      <c r="S40" s="157"/>
      <c r="T40" s="157"/>
      <c r="U40" s="157"/>
      <c r="V40" s="157"/>
      <c r="W40" s="157"/>
      <c r="X40" s="157"/>
      <c r="AL40" s="157"/>
    </row>
    <row r="41" spans="1:41" s="156" customFormat="1" ht="17.100000000000001" customHeight="1" thickBot="1">
      <c r="A41" s="738"/>
      <c r="B41" s="739"/>
      <c r="C41" s="738"/>
      <c r="D41" s="738"/>
      <c r="E41" s="738"/>
      <c r="F41" s="738"/>
      <c r="G41" s="738"/>
      <c r="H41" s="738"/>
      <c r="I41" s="738"/>
      <c r="J41" s="738"/>
      <c r="K41" s="738"/>
      <c r="L41" s="738"/>
      <c r="M41" s="738"/>
      <c r="N41" s="738"/>
      <c r="O41" s="738"/>
      <c r="P41" s="738"/>
      <c r="Q41" s="738"/>
      <c r="R41" s="738"/>
      <c r="S41" s="740"/>
      <c r="T41" s="740"/>
      <c r="U41" s="740"/>
      <c r="V41" s="740"/>
      <c r="W41" s="740"/>
      <c r="X41" s="740"/>
      <c r="Y41" s="739"/>
      <c r="Z41" s="739"/>
      <c r="AA41" s="739"/>
      <c r="AB41" s="739"/>
      <c r="AC41" s="739"/>
      <c r="AD41" s="739"/>
      <c r="AE41" s="739"/>
      <c r="AF41" s="739"/>
      <c r="AG41" s="739"/>
      <c r="AH41" s="739"/>
      <c r="AI41" s="739"/>
      <c r="AJ41" s="739"/>
      <c r="AK41" s="739"/>
      <c r="AL41" s="740"/>
      <c r="AM41" s="739"/>
      <c r="AN41" s="739"/>
      <c r="AO41" s="739"/>
    </row>
  </sheetData>
  <mergeCells count="4">
    <mergeCell ref="C5:R5"/>
    <mergeCell ref="T5:U5"/>
    <mergeCell ref="W5:AK5"/>
    <mergeCell ref="AM5:AO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M337"/>
  <sheetViews>
    <sheetView zoomScale="80" zoomScaleNormal="80" zoomScaleSheetLayoutView="85" workbookViewId="0">
      <selection activeCell="D88" sqref="D88"/>
    </sheetView>
  </sheetViews>
  <sheetFormatPr defaultRowHeight="15.75"/>
  <cols>
    <col min="1" max="1" width="5.7109375" style="1" customWidth="1"/>
    <col min="2" max="2" width="35.42578125" style="1" customWidth="1"/>
    <col min="3" max="3" width="42.5703125" style="1" customWidth="1"/>
    <col min="4" max="4" width="16.28515625" style="1" customWidth="1"/>
    <col min="5" max="5" width="5.7109375" style="1" customWidth="1"/>
    <col min="6" max="6" width="7.28515625" style="1" customWidth="1"/>
    <col min="7" max="7" width="16.7109375" style="1" customWidth="1"/>
    <col min="8" max="8" width="4.85546875" style="1" customWidth="1"/>
    <col min="9" max="9" width="17.5703125" style="1" customWidth="1"/>
    <col min="10" max="10" width="2.5703125" style="1" customWidth="1"/>
    <col min="11" max="11" width="11.42578125" style="1" customWidth="1"/>
    <col min="12" max="12" width="19.85546875" style="1" customWidth="1"/>
    <col min="13" max="13" width="9.42578125" style="1" bestFit="1" customWidth="1"/>
    <col min="14" max="16384" width="9.140625" style="1"/>
  </cols>
  <sheetData>
    <row r="1" spans="1:12">
      <c r="K1" s="155" t="s">
        <v>343</v>
      </c>
    </row>
    <row r="3" spans="1:12">
      <c r="A3" s="40"/>
      <c r="B3" s="26" t="s">
        <v>95</v>
      </c>
      <c r="C3" s="26"/>
      <c r="D3" s="154" t="s">
        <v>94</v>
      </c>
      <c r="E3" s="26"/>
      <c r="F3" s="26"/>
      <c r="G3" s="153"/>
      <c r="H3" s="152"/>
      <c r="I3" s="151"/>
      <c r="J3" s="150"/>
      <c r="K3" s="149" t="s">
        <v>575</v>
      </c>
      <c r="L3" s="31"/>
    </row>
    <row r="4" spans="1:12">
      <c r="A4" s="40"/>
      <c r="B4" s="26"/>
      <c r="C4" s="25" t="s">
        <v>68</v>
      </c>
      <c r="D4" s="25" t="s">
        <v>93</v>
      </c>
      <c r="E4" s="25"/>
      <c r="F4" s="25"/>
      <c r="G4" s="25"/>
      <c r="H4" s="6"/>
      <c r="I4" s="6"/>
      <c r="J4" s="31"/>
      <c r="K4" s="31"/>
      <c r="L4" s="31"/>
    </row>
    <row r="5" spans="1:12">
      <c r="A5" s="40"/>
      <c r="B5" s="31"/>
      <c r="C5" s="31"/>
      <c r="D5" s="31"/>
      <c r="E5" s="31"/>
      <c r="F5" s="31"/>
      <c r="G5" s="31"/>
      <c r="H5" s="31"/>
      <c r="I5" s="31"/>
      <c r="J5" s="31"/>
      <c r="K5" s="31"/>
      <c r="L5" s="31"/>
    </row>
    <row r="6" spans="1:12">
      <c r="A6" s="859" t="s">
        <v>342</v>
      </c>
      <c r="B6" s="859"/>
      <c r="C6" s="859"/>
      <c r="D6" s="859"/>
      <c r="E6" s="859"/>
      <c r="F6" s="859"/>
      <c r="G6" s="859"/>
      <c r="H6" s="859"/>
      <c r="I6" s="859"/>
      <c r="J6" s="859"/>
      <c r="K6" s="859"/>
      <c r="L6" s="31"/>
    </row>
    <row r="7" spans="1:12">
      <c r="A7" s="2"/>
      <c r="B7" s="148" t="s">
        <v>341</v>
      </c>
      <c r="C7" s="31"/>
      <c r="D7" s="508"/>
      <c r="E7" s="31"/>
      <c r="F7" s="31"/>
      <c r="G7" s="31"/>
      <c r="H7" s="31"/>
      <c r="I7" s="31"/>
      <c r="J7" s="31"/>
      <c r="K7" s="31"/>
      <c r="L7" s="31"/>
    </row>
    <row r="8" spans="1:12">
      <c r="A8" s="2"/>
      <c r="B8" s="148" t="s">
        <v>340</v>
      </c>
      <c r="C8" s="31"/>
      <c r="D8" s="147"/>
      <c r="E8" s="31"/>
      <c r="F8" s="31"/>
      <c r="G8" s="31"/>
      <c r="H8" s="31"/>
      <c r="I8" s="31"/>
      <c r="J8" s="31"/>
      <c r="K8" s="31"/>
      <c r="L8" s="31"/>
    </row>
    <row r="9" spans="1:12">
      <c r="A9" s="2" t="s">
        <v>8</v>
      </c>
      <c r="B9" s="31"/>
      <c r="C9" s="31"/>
      <c r="D9" s="147"/>
      <c r="E9" s="31"/>
      <c r="F9" s="31"/>
      <c r="G9" s="31"/>
      <c r="H9" s="31"/>
      <c r="I9" s="2" t="s">
        <v>339</v>
      </c>
      <c r="J9" s="31"/>
      <c r="K9" s="31"/>
      <c r="L9" s="31"/>
    </row>
    <row r="10" spans="1:12" ht="16.5" thickBot="1">
      <c r="A10" s="409" t="s">
        <v>178</v>
      </c>
      <c r="B10" s="31"/>
      <c r="C10" s="31"/>
      <c r="D10" s="31"/>
      <c r="E10" s="31"/>
      <c r="F10" s="31"/>
      <c r="G10" s="31"/>
      <c r="H10" s="31"/>
      <c r="I10" s="409" t="s">
        <v>338</v>
      </c>
      <c r="J10" s="31"/>
      <c r="K10" s="31"/>
      <c r="L10" s="31"/>
    </row>
    <row r="11" spans="1:12">
      <c r="A11" s="2">
        <v>1</v>
      </c>
      <c r="B11" s="31" t="s">
        <v>480</v>
      </c>
      <c r="C11" s="31"/>
      <c r="D11" s="141"/>
      <c r="E11" s="31"/>
      <c r="F11" s="31"/>
      <c r="G11" s="31"/>
      <c r="H11" s="31"/>
      <c r="I11" s="146">
        <f>+I211</f>
        <v>542419334.10882175</v>
      </c>
      <c r="J11" s="31"/>
      <c r="K11" s="453"/>
      <c r="L11" s="452"/>
    </row>
    <row r="12" spans="1:12">
      <c r="A12" s="2"/>
      <c r="B12" s="31"/>
      <c r="C12" s="31"/>
      <c r="D12" s="31"/>
      <c r="E12" s="31"/>
      <c r="F12" s="31"/>
      <c r="G12" s="31"/>
      <c r="H12" s="31"/>
      <c r="I12" s="141"/>
      <c r="J12" s="31"/>
      <c r="K12" s="31"/>
      <c r="L12" s="31"/>
    </row>
    <row r="13" spans="1:12" ht="16.5" thickBot="1">
      <c r="A13" s="2" t="s">
        <v>68</v>
      </c>
      <c r="B13" s="32" t="s">
        <v>337</v>
      </c>
      <c r="C13" s="67" t="s">
        <v>336</v>
      </c>
      <c r="D13" s="409" t="s">
        <v>335</v>
      </c>
      <c r="E13" s="25"/>
      <c r="F13" s="422" t="s">
        <v>334</v>
      </c>
      <c r="G13" s="422"/>
      <c r="H13" s="31"/>
      <c r="I13" s="141"/>
      <c r="J13" s="31"/>
      <c r="K13" s="31"/>
      <c r="L13" s="31"/>
    </row>
    <row r="14" spans="1:12">
      <c r="A14" s="2">
        <v>2</v>
      </c>
      <c r="B14" s="32" t="s">
        <v>333</v>
      </c>
      <c r="C14" s="25" t="s">
        <v>332</v>
      </c>
      <c r="D14" s="67">
        <f>I280</f>
        <v>1482742</v>
      </c>
      <c r="E14" s="25"/>
      <c r="F14" s="25" t="s">
        <v>160</v>
      </c>
      <c r="G14" s="70">
        <f>I231</f>
        <v>1</v>
      </c>
      <c r="H14" s="69"/>
      <c r="I14" s="69">
        <f>+G14*D14</f>
        <v>1482742</v>
      </c>
      <c r="J14" s="31"/>
      <c r="K14" s="31"/>
      <c r="L14" s="452"/>
    </row>
    <row r="15" spans="1:12">
      <c r="A15" s="2">
        <v>3</v>
      </c>
      <c r="B15" s="32" t="s">
        <v>331</v>
      </c>
      <c r="C15" s="25" t="s">
        <v>330</v>
      </c>
      <c r="D15" s="67">
        <f>I287</f>
        <v>9124625.6599999201</v>
      </c>
      <c r="E15" s="25"/>
      <c r="F15" s="25" t="s">
        <v>160</v>
      </c>
      <c r="G15" s="70">
        <f>+G14</f>
        <v>1</v>
      </c>
      <c r="H15" s="69"/>
      <c r="I15" s="69">
        <f>+G15*D15</f>
        <v>9124625.6599999201</v>
      </c>
      <c r="J15" s="31"/>
      <c r="K15" s="31"/>
      <c r="L15" s="452"/>
    </row>
    <row r="16" spans="1:12">
      <c r="A16" s="2">
        <v>4</v>
      </c>
      <c r="B16" s="142" t="s">
        <v>329</v>
      </c>
      <c r="C16" s="25"/>
      <c r="D16" s="73">
        <v>0</v>
      </c>
      <c r="E16" s="25"/>
      <c r="F16" s="25" t="s">
        <v>160</v>
      </c>
      <c r="G16" s="70">
        <f>+G15</f>
        <v>1</v>
      </c>
      <c r="H16" s="69"/>
      <c r="I16" s="69">
        <f>+G16*D16</f>
        <v>0</v>
      </c>
      <c r="J16" s="31"/>
      <c r="K16" s="31"/>
      <c r="L16" s="31"/>
    </row>
    <row r="17" spans="1:12" ht="16.5" thickBot="1">
      <c r="A17" s="2">
        <v>5</v>
      </c>
      <c r="B17" s="142" t="s">
        <v>328</v>
      </c>
      <c r="C17" s="25"/>
      <c r="D17" s="73">
        <v>0</v>
      </c>
      <c r="E17" s="25"/>
      <c r="F17" s="25" t="s">
        <v>160</v>
      </c>
      <c r="G17" s="70">
        <f>+G16</f>
        <v>1</v>
      </c>
      <c r="H17" s="69"/>
      <c r="I17" s="445">
        <f>+G17*D17</f>
        <v>0</v>
      </c>
      <c r="J17" s="31"/>
      <c r="K17" s="31"/>
      <c r="L17" s="31"/>
    </row>
    <row r="18" spans="1:12">
      <c r="A18" s="2">
        <v>6</v>
      </c>
      <c r="B18" s="32" t="s">
        <v>327</v>
      </c>
      <c r="C18" s="31"/>
      <c r="D18" s="129" t="s">
        <v>68</v>
      </c>
      <c r="E18" s="25"/>
      <c r="F18" s="25"/>
      <c r="G18" s="70"/>
      <c r="H18" s="69"/>
      <c r="I18" s="69">
        <f>SUM(I14:I17)</f>
        <v>10607367.65999992</v>
      </c>
      <c r="J18" s="31"/>
      <c r="K18" s="31"/>
      <c r="L18" s="452"/>
    </row>
    <row r="19" spans="1:12">
      <c r="A19" s="2"/>
      <c r="B19" s="40"/>
      <c r="C19" s="31"/>
      <c r="D19" s="25" t="s">
        <v>68</v>
      </c>
      <c r="E19" s="31"/>
      <c r="F19" s="31"/>
      <c r="G19" s="72"/>
      <c r="H19" s="31"/>
      <c r="I19" s="40"/>
      <c r="J19" s="31"/>
      <c r="K19" s="31"/>
      <c r="L19" s="31"/>
    </row>
    <row r="20" spans="1:12" ht="16.5" thickBot="1">
      <c r="A20" s="2">
        <v>7</v>
      </c>
      <c r="B20" s="32" t="s">
        <v>326</v>
      </c>
      <c r="C20" s="31" t="s">
        <v>325</v>
      </c>
      <c r="D20" s="129" t="s">
        <v>68</v>
      </c>
      <c r="E20" s="25"/>
      <c r="F20" s="25"/>
      <c r="G20" s="25"/>
      <c r="H20" s="25"/>
      <c r="I20" s="145">
        <f>I11-I18</f>
        <v>531811966.44882184</v>
      </c>
      <c r="J20" s="31"/>
      <c r="K20" s="31"/>
      <c r="L20" s="452"/>
    </row>
    <row r="21" spans="1:12" ht="16.5" thickTop="1">
      <c r="A21" s="2"/>
      <c r="B21" s="40"/>
      <c r="C21" s="31"/>
      <c r="D21" s="129"/>
      <c r="E21" s="25"/>
      <c r="F21" s="25"/>
      <c r="G21" s="25"/>
      <c r="H21" s="25"/>
      <c r="I21" s="40"/>
      <c r="J21" s="31"/>
      <c r="K21" s="31"/>
      <c r="L21" s="31"/>
    </row>
    <row r="22" spans="1:12">
      <c r="A22" s="2"/>
      <c r="B22" s="32" t="s">
        <v>324</v>
      </c>
      <c r="C22" s="31"/>
      <c r="D22" s="141"/>
      <c r="E22" s="31"/>
      <c r="F22" s="31"/>
      <c r="G22" s="31"/>
      <c r="H22" s="31"/>
      <c r="I22" s="141"/>
      <c r="J22" s="31"/>
      <c r="K22" s="31"/>
      <c r="L22" s="31"/>
    </row>
    <row r="23" spans="1:12">
      <c r="A23" s="2">
        <v>8</v>
      </c>
      <c r="B23" s="32" t="s">
        <v>0</v>
      </c>
      <c r="C23" s="40"/>
      <c r="D23" s="141"/>
      <c r="E23" s="31"/>
      <c r="F23" s="31"/>
      <c r="G23" s="19" t="s">
        <v>323</v>
      </c>
      <c r="H23" s="31"/>
      <c r="I23" s="144">
        <v>0</v>
      </c>
      <c r="J23" s="31"/>
      <c r="K23" s="31"/>
      <c r="L23" s="629"/>
    </row>
    <row r="24" spans="1:12">
      <c r="A24" s="2">
        <v>9</v>
      </c>
      <c r="B24" s="32" t="s">
        <v>322</v>
      </c>
      <c r="C24" s="25"/>
      <c r="D24" s="25"/>
      <c r="E24" s="25"/>
      <c r="F24" s="25"/>
      <c r="G24" s="67" t="s">
        <v>321</v>
      </c>
      <c r="H24" s="25"/>
      <c r="I24" s="144">
        <v>0</v>
      </c>
      <c r="J24" s="31"/>
      <c r="K24" s="31"/>
      <c r="L24" s="40"/>
    </row>
    <row r="25" spans="1:12">
      <c r="A25" s="2">
        <v>10</v>
      </c>
      <c r="B25" s="142" t="s">
        <v>320</v>
      </c>
      <c r="C25" s="31"/>
      <c r="D25" s="31"/>
      <c r="E25" s="31"/>
      <c r="F25" s="40"/>
      <c r="G25" s="19" t="s">
        <v>319</v>
      </c>
      <c r="H25" s="31"/>
      <c r="I25" s="144">
        <v>0</v>
      </c>
      <c r="J25" s="31"/>
      <c r="K25" s="31"/>
      <c r="L25" s="40"/>
    </row>
    <row r="26" spans="1:12">
      <c r="A26" s="2">
        <v>11</v>
      </c>
      <c r="B26" s="32" t="s">
        <v>318</v>
      </c>
      <c r="C26" s="31"/>
      <c r="D26" s="31"/>
      <c r="E26" s="31"/>
      <c r="F26" s="40"/>
      <c r="G26" s="19" t="s">
        <v>317</v>
      </c>
      <c r="H26" s="31"/>
      <c r="I26" s="143">
        <v>0</v>
      </c>
      <c r="J26" s="31"/>
      <c r="K26" s="31"/>
      <c r="L26" s="40"/>
    </row>
    <row r="27" spans="1:12">
      <c r="A27" s="2">
        <v>12</v>
      </c>
      <c r="B27" s="142" t="s">
        <v>316</v>
      </c>
      <c r="C27" s="31"/>
      <c r="D27" s="31"/>
      <c r="E27" s="31"/>
      <c r="F27" s="31"/>
      <c r="G27" s="6"/>
      <c r="H27" s="31"/>
      <c r="I27" s="143">
        <v>0</v>
      </c>
      <c r="J27" s="31"/>
      <c r="K27" s="31"/>
      <c r="L27" s="40"/>
    </row>
    <row r="28" spans="1:12">
      <c r="A28" s="2">
        <v>13</v>
      </c>
      <c r="B28" s="142" t="s">
        <v>315</v>
      </c>
      <c r="C28" s="31"/>
      <c r="D28" s="31"/>
      <c r="E28" s="31"/>
      <c r="F28" s="31"/>
      <c r="G28" s="19"/>
      <c r="H28" s="31"/>
      <c r="I28" s="143">
        <v>0</v>
      </c>
      <c r="J28" s="31"/>
      <c r="K28" s="31"/>
      <c r="L28" s="40"/>
    </row>
    <row r="29" spans="1:12" ht="16.5" thickBot="1">
      <c r="A29" s="2">
        <v>14</v>
      </c>
      <c r="B29" s="142" t="s">
        <v>314</v>
      </c>
      <c r="C29" s="31"/>
      <c r="D29" s="31"/>
      <c r="E29" s="31"/>
      <c r="F29" s="31"/>
      <c r="G29" s="6"/>
      <c r="H29" s="31"/>
      <c r="I29" s="421">
        <v>0</v>
      </c>
      <c r="J29" s="31"/>
      <c r="K29" s="31"/>
      <c r="L29" s="40"/>
    </row>
    <row r="30" spans="1:12">
      <c r="A30" s="2">
        <v>15</v>
      </c>
      <c r="B30" s="26" t="s">
        <v>313</v>
      </c>
      <c r="C30" s="31"/>
      <c r="D30" s="31"/>
      <c r="E30" s="31"/>
      <c r="F30" s="31"/>
      <c r="G30" s="31"/>
      <c r="H30" s="31"/>
      <c r="I30" s="141">
        <f>SUM(I23:I29)</f>
        <v>0</v>
      </c>
      <c r="J30" s="31"/>
      <c r="K30" s="31"/>
      <c r="L30" s="31"/>
    </row>
    <row r="31" spans="1:12">
      <c r="A31" s="2"/>
      <c r="B31" s="32"/>
      <c r="C31" s="31"/>
      <c r="D31" s="31"/>
      <c r="E31" s="31"/>
      <c r="F31" s="31"/>
      <c r="G31" s="31"/>
      <c r="H31" s="31"/>
      <c r="I31" s="141"/>
      <c r="J31" s="31"/>
      <c r="K31" s="31"/>
      <c r="L31" s="31"/>
    </row>
    <row r="32" spans="1:12">
      <c r="A32" s="2">
        <v>16</v>
      </c>
      <c r="B32" s="32" t="s">
        <v>312</v>
      </c>
      <c r="C32" s="31" t="s">
        <v>311</v>
      </c>
      <c r="D32" s="138">
        <f>IF(I30&gt;0,I20/I30,0)</f>
        <v>0</v>
      </c>
      <c r="E32" s="31"/>
      <c r="F32" s="31"/>
      <c r="G32" s="31"/>
      <c r="H32" s="31"/>
      <c r="I32" s="40"/>
      <c r="J32" s="31"/>
      <c r="K32" s="31"/>
      <c r="L32" s="31"/>
    </row>
    <row r="33" spans="1:12">
      <c r="A33" s="2">
        <v>17</v>
      </c>
      <c r="B33" s="32" t="s">
        <v>310</v>
      </c>
      <c r="C33" s="31" t="s">
        <v>309</v>
      </c>
      <c r="D33" s="138">
        <f>+D32/12</f>
        <v>0</v>
      </c>
      <c r="E33" s="31"/>
      <c r="F33" s="31"/>
      <c r="G33" s="31"/>
      <c r="H33" s="31"/>
      <c r="I33" s="40"/>
      <c r="J33" s="31"/>
      <c r="K33" s="31"/>
      <c r="L33" s="31"/>
    </row>
    <row r="34" spans="1:12">
      <c r="A34" s="2"/>
      <c r="B34" s="32"/>
      <c r="C34" s="31"/>
      <c r="D34" s="140"/>
      <c r="E34" s="31"/>
      <c r="F34" s="31"/>
      <c r="G34" s="31"/>
      <c r="H34" s="31"/>
      <c r="I34" s="40"/>
      <c r="J34" s="31"/>
      <c r="K34" s="31"/>
      <c r="L34" s="31"/>
    </row>
    <row r="35" spans="1:12">
      <c r="A35" s="2"/>
      <c r="B35" s="32"/>
      <c r="C35" s="31"/>
      <c r="D35" s="139" t="s">
        <v>308</v>
      </c>
      <c r="E35" s="31"/>
      <c r="F35" s="31"/>
      <c r="G35" s="31"/>
      <c r="H35" s="31"/>
      <c r="I35" s="509" t="s">
        <v>307</v>
      </c>
      <c r="J35" s="31"/>
      <c r="K35" s="31"/>
      <c r="L35" s="31"/>
    </row>
    <row r="36" spans="1:12">
      <c r="A36" s="2">
        <v>18</v>
      </c>
      <c r="B36" s="32" t="s">
        <v>306</v>
      </c>
      <c r="C36" s="130" t="s">
        <v>305</v>
      </c>
      <c r="D36" s="138">
        <f>+D32/52</f>
        <v>0</v>
      </c>
      <c r="E36" s="31"/>
      <c r="F36" s="31"/>
      <c r="G36" s="31"/>
      <c r="H36" s="31"/>
      <c r="I36" s="137">
        <f>+D32/52</f>
        <v>0</v>
      </c>
      <c r="J36" s="31"/>
      <c r="K36" s="31"/>
      <c r="L36" s="31"/>
    </row>
    <row r="37" spans="1:12">
      <c r="A37" s="2">
        <v>19</v>
      </c>
      <c r="B37" s="32" t="s">
        <v>304</v>
      </c>
      <c r="C37" s="130" t="s">
        <v>303</v>
      </c>
      <c r="D37" s="138">
        <f>+D36/5</f>
        <v>0</v>
      </c>
      <c r="E37" s="31" t="s">
        <v>302</v>
      </c>
      <c r="F37" s="40"/>
      <c r="G37" s="31"/>
      <c r="H37" s="31"/>
      <c r="I37" s="137">
        <f>+D32/365</f>
        <v>0</v>
      </c>
      <c r="J37" s="31"/>
      <c r="K37" s="31"/>
      <c r="L37" s="31"/>
    </row>
    <row r="38" spans="1:12">
      <c r="A38" s="2">
        <v>20</v>
      </c>
      <c r="B38" s="32" t="s">
        <v>301</v>
      </c>
      <c r="C38" s="130" t="s">
        <v>300</v>
      </c>
      <c r="D38" s="138">
        <f>+D37/16*1000</f>
        <v>0</v>
      </c>
      <c r="E38" s="31" t="s">
        <v>299</v>
      </c>
      <c r="F38" s="40"/>
      <c r="G38" s="31"/>
      <c r="H38" s="31"/>
      <c r="I38" s="137">
        <f>+I37/24*1000</f>
        <v>0</v>
      </c>
      <c r="J38" s="31"/>
      <c r="K38" s="31" t="s">
        <v>68</v>
      </c>
      <c r="L38" s="31"/>
    </row>
    <row r="39" spans="1:12">
      <c r="A39" s="2"/>
      <c r="B39" s="32"/>
      <c r="C39" s="31" t="s">
        <v>298</v>
      </c>
      <c r="D39" s="31"/>
      <c r="E39" s="31" t="s">
        <v>297</v>
      </c>
      <c r="F39" s="40"/>
      <c r="G39" s="31"/>
      <c r="H39" s="31"/>
      <c r="I39" s="40"/>
      <c r="J39" s="31"/>
      <c r="K39" s="31" t="s">
        <v>68</v>
      </c>
      <c r="L39" s="31"/>
    </row>
    <row r="40" spans="1:12">
      <c r="A40" s="2"/>
      <c r="B40" s="32"/>
      <c r="C40" s="31"/>
      <c r="D40" s="31"/>
      <c r="E40" s="31"/>
      <c r="F40" s="40"/>
      <c r="G40" s="31"/>
      <c r="H40" s="31"/>
      <c r="I40" s="40"/>
      <c r="J40" s="31"/>
      <c r="K40" s="31" t="s">
        <v>68</v>
      </c>
      <c r="L40" s="31"/>
    </row>
    <row r="41" spans="1:12">
      <c r="A41" s="2">
        <v>21</v>
      </c>
      <c r="B41" s="32" t="s">
        <v>296</v>
      </c>
      <c r="C41" s="31" t="s">
        <v>295</v>
      </c>
      <c r="D41" s="136">
        <v>0</v>
      </c>
      <c r="E41" s="134" t="s">
        <v>294</v>
      </c>
      <c r="F41" s="134"/>
      <c r="G41" s="134"/>
      <c r="H41" s="134"/>
      <c r="I41" s="134">
        <v>0</v>
      </c>
      <c r="J41" s="134" t="s">
        <v>294</v>
      </c>
      <c r="K41" s="31"/>
      <c r="L41" s="31"/>
    </row>
    <row r="42" spans="1:12">
      <c r="A42" s="2">
        <v>22</v>
      </c>
      <c r="B42" s="32"/>
      <c r="C42" s="31"/>
      <c r="D42" s="136">
        <v>0</v>
      </c>
      <c r="E42" s="134" t="s">
        <v>293</v>
      </c>
      <c r="F42" s="134"/>
      <c r="G42" s="134"/>
      <c r="H42" s="134"/>
      <c r="I42" s="134">
        <v>0</v>
      </c>
      <c r="J42" s="134" t="s">
        <v>293</v>
      </c>
      <c r="K42" s="31"/>
      <c r="L42" s="31"/>
    </row>
    <row r="43" spans="1:12">
      <c r="A43" s="2"/>
      <c r="B43" s="32"/>
      <c r="C43" s="31"/>
      <c r="D43" s="135"/>
      <c r="E43" s="134"/>
      <c r="F43" s="134"/>
      <c r="G43" s="134"/>
      <c r="H43" s="134"/>
      <c r="I43" s="134"/>
      <c r="J43" s="134"/>
      <c r="K43" s="31"/>
      <c r="L43" s="31"/>
    </row>
    <row r="44" spans="1:12">
      <c r="A44" s="2"/>
      <c r="B44" s="32"/>
      <c r="C44" s="31"/>
      <c r="D44" s="135"/>
      <c r="E44" s="134"/>
      <c r="F44" s="134"/>
      <c r="G44" s="134"/>
      <c r="H44" s="134"/>
      <c r="I44" s="134"/>
      <c r="J44" s="134"/>
      <c r="K44" s="31"/>
      <c r="L44" s="31"/>
    </row>
    <row r="45" spans="1:12">
      <c r="A45" s="2"/>
      <c r="B45" s="32"/>
      <c r="C45" s="31"/>
      <c r="D45" s="135"/>
      <c r="E45" s="134"/>
      <c r="F45" s="134"/>
      <c r="G45" s="134"/>
      <c r="H45" s="134"/>
      <c r="I45" s="134"/>
      <c r="J45" s="134"/>
      <c r="K45" s="31"/>
      <c r="L45" s="31"/>
    </row>
    <row r="46" spans="1:12">
      <c r="A46" s="2"/>
      <c r="B46" s="32"/>
      <c r="C46" s="31"/>
      <c r="D46" s="135"/>
      <c r="E46" s="134"/>
      <c r="F46" s="134"/>
      <c r="G46" s="134"/>
      <c r="H46" s="134"/>
      <c r="I46" s="134"/>
      <c r="J46" s="134"/>
      <c r="K46" s="31"/>
      <c r="L46" s="31"/>
    </row>
    <row r="47" spans="1:12">
      <c r="A47" s="2"/>
      <c r="B47" s="32"/>
      <c r="C47" s="31"/>
      <c r="D47" s="135"/>
      <c r="E47" s="134"/>
      <c r="F47" s="134"/>
      <c r="G47" s="134"/>
      <c r="H47" s="134"/>
      <c r="I47" s="134"/>
      <c r="J47" s="134"/>
      <c r="K47" s="31"/>
      <c r="L47" s="31"/>
    </row>
    <row r="48" spans="1:12">
      <c r="A48" s="2"/>
      <c r="B48" s="32"/>
      <c r="C48" s="31"/>
      <c r="D48" s="135"/>
      <c r="E48" s="134"/>
      <c r="F48" s="134"/>
      <c r="G48" s="134"/>
      <c r="H48" s="134"/>
      <c r="I48" s="134"/>
      <c r="J48" s="134"/>
      <c r="K48" s="31"/>
      <c r="L48" s="31"/>
    </row>
    <row r="49" spans="1:12">
      <c r="A49" s="2"/>
      <c r="B49" s="32"/>
      <c r="C49" s="31"/>
      <c r="D49" s="135"/>
      <c r="E49" s="134"/>
      <c r="F49" s="134"/>
      <c r="G49" s="134"/>
      <c r="H49" s="134"/>
      <c r="I49" s="134"/>
      <c r="J49" s="134"/>
      <c r="K49" s="31"/>
      <c r="L49" s="31"/>
    </row>
    <row r="50" spans="1:12">
      <c r="A50" s="2"/>
      <c r="B50" s="32"/>
      <c r="C50" s="31"/>
      <c r="D50" s="135"/>
      <c r="E50" s="134"/>
      <c r="F50" s="134"/>
      <c r="G50" s="134"/>
      <c r="H50" s="134"/>
      <c r="I50" s="134"/>
      <c r="J50" s="134"/>
      <c r="K50" s="31"/>
      <c r="L50" s="31"/>
    </row>
    <row r="51" spans="1:12">
      <c r="A51" s="2"/>
      <c r="B51" s="32"/>
      <c r="C51" s="31"/>
      <c r="D51" s="135"/>
      <c r="E51" s="134"/>
      <c r="F51" s="134"/>
      <c r="G51" s="134"/>
      <c r="H51" s="134"/>
      <c r="I51" s="134"/>
      <c r="J51" s="134"/>
      <c r="K51" s="31"/>
      <c r="L51" s="31"/>
    </row>
    <row r="52" spans="1:12">
      <c r="A52" s="2"/>
      <c r="B52" s="32"/>
      <c r="C52" s="31"/>
      <c r="D52" s="135"/>
      <c r="E52" s="134"/>
      <c r="F52" s="134"/>
      <c r="G52" s="134"/>
      <c r="H52" s="134"/>
      <c r="I52" s="134"/>
      <c r="J52" s="134"/>
      <c r="K52" s="31"/>
      <c r="L52" s="31"/>
    </row>
    <row r="53" spans="1:12">
      <c r="A53" s="2"/>
      <c r="B53" s="32"/>
      <c r="C53" s="31"/>
      <c r="D53" s="135"/>
      <c r="E53" s="134"/>
      <c r="F53" s="134"/>
      <c r="G53" s="134"/>
      <c r="H53" s="134"/>
      <c r="I53" s="134"/>
      <c r="J53" s="134"/>
      <c r="K53" s="31"/>
      <c r="L53" s="31"/>
    </row>
    <row r="54" spans="1:12">
      <c r="A54" s="2"/>
      <c r="B54" s="32"/>
      <c r="C54" s="31"/>
      <c r="D54" s="135"/>
      <c r="E54" s="134"/>
      <c r="F54" s="134"/>
      <c r="G54" s="134"/>
      <c r="H54" s="134"/>
      <c r="I54" s="134"/>
      <c r="J54" s="134"/>
      <c r="K54" s="31"/>
      <c r="L54" s="31"/>
    </row>
    <row r="55" spans="1:12">
      <c r="A55" s="2"/>
      <c r="B55" s="32"/>
      <c r="C55" s="31"/>
      <c r="D55" s="135"/>
      <c r="E55" s="134"/>
      <c r="F55" s="134"/>
      <c r="G55" s="134"/>
      <c r="H55" s="134"/>
      <c r="I55" s="134"/>
      <c r="J55" s="134"/>
      <c r="K55" s="31"/>
      <c r="L55" s="31"/>
    </row>
    <row r="56" spans="1:12">
      <c r="A56" s="2"/>
      <c r="B56" s="32"/>
      <c r="C56" s="31"/>
      <c r="D56" s="135"/>
      <c r="E56" s="134"/>
      <c r="F56" s="134"/>
      <c r="G56" s="134"/>
      <c r="H56" s="134"/>
      <c r="I56" s="134"/>
      <c r="J56" s="134"/>
      <c r="K56" s="31"/>
      <c r="L56" s="31"/>
    </row>
    <row r="57" spans="1:12">
      <c r="A57" s="2"/>
      <c r="B57" s="32"/>
      <c r="C57" s="31"/>
      <c r="D57" s="135"/>
      <c r="E57" s="134"/>
      <c r="F57" s="134"/>
      <c r="G57" s="134"/>
      <c r="H57" s="134"/>
      <c r="I57" s="134"/>
      <c r="J57" s="134"/>
      <c r="K57" s="31"/>
      <c r="L57" s="31"/>
    </row>
    <row r="58" spans="1:12">
      <c r="A58" s="2"/>
      <c r="B58" s="32"/>
      <c r="C58" s="31"/>
      <c r="D58" s="135"/>
      <c r="E58" s="134"/>
      <c r="F58" s="134"/>
      <c r="G58" s="134"/>
      <c r="H58" s="134"/>
      <c r="I58" s="134"/>
      <c r="J58" s="134"/>
      <c r="K58" s="31"/>
      <c r="L58" s="31"/>
    </row>
    <row r="59" spans="1:12">
      <c r="A59" s="2"/>
      <c r="B59" s="32"/>
      <c r="C59" s="31"/>
      <c r="D59" s="135"/>
      <c r="E59" s="134"/>
      <c r="F59" s="134"/>
      <c r="G59" s="134"/>
      <c r="H59" s="134"/>
      <c r="I59" s="134"/>
      <c r="J59" s="134"/>
      <c r="K59" s="31"/>
      <c r="L59" s="31"/>
    </row>
    <row r="60" spans="1:12">
      <c r="A60" s="2"/>
      <c r="B60" s="32"/>
      <c r="C60" s="31"/>
      <c r="D60" s="135"/>
      <c r="E60" s="134"/>
      <c r="F60" s="134"/>
      <c r="G60" s="134"/>
      <c r="H60" s="134"/>
      <c r="I60" s="134"/>
      <c r="J60" s="134"/>
      <c r="K60" s="31"/>
      <c r="L60" s="31"/>
    </row>
    <row r="61" spans="1:12">
      <c r="A61" s="2"/>
      <c r="B61" s="32"/>
      <c r="C61" s="31"/>
      <c r="D61" s="135"/>
      <c r="E61" s="134"/>
      <c r="F61" s="134"/>
      <c r="G61" s="134"/>
      <c r="H61" s="134"/>
      <c r="I61" s="134"/>
      <c r="J61" s="134"/>
      <c r="K61" s="31"/>
      <c r="L61" s="31"/>
    </row>
    <row r="62" spans="1:12">
      <c r="A62" s="2"/>
      <c r="B62" s="32"/>
      <c r="C62" s="31"/>
      <c r="D62" s="135"/>
      <c r="E62" s="134"/>
      <c r="F62" s="134"/>
      <c r="G62" s="134"/>
      <c r="H62" s="134"/>
      <c r="I62" s="134"/>
      <c r="J62" s="134"/>
      <c r="K62" s="31"/>
      <c r="L62" s="31"/>
    </row>
    <row r="63" spans="1:12">
      <c r="A63" s="2"/>
      <c r="B63" s="32"/>
      <c r="C63" s="31"/>
      <c r="D63" s="135"/>
      <c r="E63" s="134"/>
      <c r="F63" s="134"/>
      <c r="G63" s="134"/>
      <c r="H63" s="134"/>
      <c r="I63" s="134"/>
      <c r="J63" s="134"/>
      <c r="K63" s="31"/>
      <c r="L63" s="31"/>
    </row>
    <row r="64" spans="1:12">
      <c r="A64" s="2"/>
      <c r="B64" s="32"/>
      <c r="C64" s="31"/>
      <c r="D64" s="135"/>
      <c r="E64" s="134"/>
      <c r="F64" s="134"/>
      <c r="G64" s="134"/>
      <c r="H64" s="134"/>
      <c r="I64" s="134"/>
      <c r="J64" s="134"/>
      <c r="K64" s="31"/>
      <c r="L64" s="31"/>
    </row>
    <row r="65" spans="1:12">
      <c r="A65" s="2"/>
      <c r="B65" s="32"/>
      <c r="C65" s="31"/>
      <c r="D65" s="135"/>
      <c r="E65" s="134"/>
      <c r="F65" s="134"/>
      <c r="G65" s="134"/>
      <c r="H65" s="134"/>
      <c r="I65" s="134"/>
      <c r="J65" s="134"/>
      <c r="K65" s="31"/>
      <c r="L65" s="31"/>
    </row>
    <row r="66" spans="1:12">
      <c r="A66" s="2"/>
      <c r="B66" s="32"/>
      <c r="C66" s="31"/>
      <c r="D66" s="135"/>
      <c r="E66" s="134"/>
      <c r="F66" s="134"/>
      <c r="G66" s="134"/>
      <c r="H66" s="134"/>
      <c r="I66" s="134"/>
      <c r="J66" s="134"/>
      <c r="K66" s="31"/>
      <c r="L66" s="31"/>
    </row>
    <row r="67" spans="1:12">
      <c r="A67" s="2"/>
      <c r="B67" s="32"/>
      <c r="C67" s="31"/>
      <c r="D67" s="135"/>
      <c r="E67" s="134"/>
      <c r="F67" s="134"/>
      <c r="G67" s="134"/>
      <c r="H67" s="134"/>
      <c r="I67" s="134"/>
      <c r="J67" s="134"/>
      <c r="K67" s="31"/>
      <c r="L67" s="31"/>
    </row>
    <row r="68" spans="1:12">
      <c r="A68" s="2"/>
      <c r="B68" s="32"/>
      <c r="C68" s="31"/>
      <c r="D68" s="135"/>
      <c r="E68" s="134"/>
      <c r="F68" s="134"/>
      <c r="G68" s="134"/>
      <c r="H68" s="134"/>
      <c r="I68" s="134"/>
      <c r="J68" s="134"/>
      <c r="K68" s="31"/>
      <c r="L68" s="31"/>
    </row>
    <row r="69" spans="1:12">
      <c r="A69" s="2"/>
      <c r="B69" s="32"/>
      <c r="C69" s="31"/>
      <c r="D69" s="135"/>
      <c r="E69" s="134"/>
      <c r="F69" s="134"/>
      <c r="G69" s="134"/>
      <c r="H69" s="134"/>
      <c r="I69" s="134"/>
      <c r="J69" s="134"/>
      <c r="K69" s="31"/>
      <c r="L69" s="31"/>
    </row>
    <row r="70" spans="1:12">
      <c r="A70" s="2"/>
      <c r="B70" s="32"/>
      <c r="C70" s="31"/>
      <c r="D70" s="135"/>
      <c r="E70" s="134"/>
      <c r="F70" s="134"/>
      <c r="G70" s="134"/>
      <c r="H70" s="134"/>
      <c r="I70" s="134"/>
      <c r="J70" s="134"/>
      <c r="K70" s="31"/>
      <c r="L70" s="31"/>
    </row>
    <row r="71" spans="1:12">
      <c r="A71" s="2"/>
      <c r="B71" s="32"/>
      <c r="C71" s="31"/>
      <c r="D71" s="135"/>
      <c r="E71" s="134"/>
      <c r="F71" s="134"/>
      <c r="G71" s="134"/>
      <c r="H71" s="134"/>
      <c r="I71" s="134"/>
      <c r="J71" s="134"/>
      <c r="K71" s="31"/>
      <c r="L71" s="31"/>
    </row>
    <row r="72" spans="1:12">
      <c r="A72" s="2"/>
      <c r="B72" s="32"/>
      <c r="C72" s="31"/>
      <c r="D72" s="135"/>
      <c r="E72" s="134"/>
      <c r="F72" s="134"/>
      <c r="G72" s="134"/>
      <c r="H72" s="134"/>
      <c r="I72" s="134"/>
      <c r="J72" s="134"/>
      <c r="K72" s="31"/>
      <c r="L72" s="31"/>
    </row>
    <row r="73" spans="1:12">
      <c r="A73" s="2"/>
      <c r="B73" s="32"/>
      <c r="C73" s="31"/>
      <c r="D73" s="135"/>
      <c r="E73" s="134"/>
      <c r="F73" s="134"/>
      <c r="G73" s="134"/>
      <c r="H73" s="134"/>
      <c r="I73" s="134"/>
      <c r="J73" s="134"/>
      <c r="K73" s="31"/>
      <c r="L73" s="31"/>
    </row>
    <row r="74" spans="1:12">
      <c r="A74" s="2"/>
      <c r="B74" s="32"/>
      <c r="C74" s="31"/>
      <c r="D74" s="135"/>
      <c r="E74" s="134"/>
      <c r="F74" s="134"/>
      <c r="G74" s="134"/>
      <c r="H74" s="134"/>
      <c r="I74" s="134"/>
      <c r="J74" s="134"/>
      <c r="K74" s="31"/>
      <c r="L74" s="31"/>
    </row>
    <row r="75" spans="1:12">
      <c r="A75" s="40"/>
      <c r="B75" s="32"/>
      <c r="C75" s="31"/>
      <c r="D75" s="31"/>
      <c r="E75" s="31"/>
      <c r="F75" s="31"/>
      <c r="G75" s="31"/>
      <c r="H75" s="31"/>
      <c r="I75" s="133"/>
      <c r="J75" s="31"/>
      <c r="K75" s="132" t="s">
        <v>292</v>
      </c>
      <c r="L75" s="31"/>
    </row>
    <row r="76" spans="1:12">
      <c r="A76" s="40"/>
      <c r="B76" s="31"/>
      <c r="C76" s="31"/>
      <c r="D76" s="31"/>
      <c r="E76" s="31"/>
      <c r="F76" s="31"/>
      <c r="G76" s="31"/>
      <c r="H76" s="31"/>
      <c r="I76" s="31"/>
      <c r="J76" s="31"/>
      <c r="K76" s="31"/>
      <c r="L76" s="31"/>
    </row>
    <row r="77" spans="1:12">
      <c r="A77" s="40"/>
      <c r="B77" s="32" t="s">
        <v>95</v>
      </c>
      <c r="C77" s="32"/>
      <c r="D77" s="130" t="s">
        <v>94</v>
      </c>
      <c r="E77" s="32"/>
      <c r="F77" s="32"/>
      <c r="G77" s="32"/>
      <c r="H77" s="32"/>
      <c r="J77" s="32"/>
      <c r="K77" s="132" t="str">
        <f>$K$3</f>
        <v>For the 12 months ended 12/31/2014</v>
      </c>
      <c r="L77" s="32"/>
    </row>
    <row r="78" spans="1:12">
      <c r="A78" s="40"/>
      <c r="B78" s="32" t="s">
        <v>291</v>
      </c>
      <c r="C78" s="25"/>
      <c r="D78" s="25" t="s">
        <v>93</v>
      </c>
      <c r="E78" s="25"/>
      <c r="F78" s="25"/>
      <c r="G78" s="25"/>
      <c r="H78" s="25"/>
      <c r="I78" s="25"/>
      <c r="J78" s="25"/>
      <c r="K78" s="25"/>
      <c r="L78" s="31"/>
    </row>
    <row r="79" spans="1:12">
      <c r="A79" s="40"/>
      <c r="B79" s="32"/>
      <c r="C79" s="25" t="s">
        <v>68</v>
      </c>
      <c r="D79" s="25" t="s">
        <v>68</v>
      </c>
      <c r="E79" s="25"/>
      <c r="F79" s="25"/>
      <c r="G79" s="25" t="s">
        <v>68</v>
      </c>
      <c r="H79" s="25"/>
      <c r="I79" s="25"/>
      <c r="J79" s="25"/>
      <c r="K79" s="25"/>
      <c r="L79" s="25"/>
    </row>
    <row r="80" spans="1:12">
      <c r="A80" s="860" t="str">
        <f>A6</f>
        <v>American Transmission Company LLC</v>
      </c>
      <c r="B80" s="860"/>
      <c r="C80" s="860"/>
      <c r="D80" s="860"/>
      <c r="E80" s="860"/>
      <c r="F80" s="860"/>
      <c r="G80" s="860"/>
      <c r="H80" s="860"/>
      <c r="I80" s="860"/>
      <c r="J80" s="860"/>
      <c r="K80" s="860"/>
      <c r="L80" s="25"/>
    </row>
    <row r="81" spans="1:12">
      <c r="A81" s="40"/>
      <c r="B81" s="74" t="s">
        <v>246</v>
      </c>
      <c r="C81" s="74" t="s">
        <v>245</v>
      </c>
      <c r="D81" s="74" t="s">
        <v>244</v>
      </c>
      <c r="E81" s="25" t="s">
        <v>68</v>
      </c>
      <c r="F81" s="25"/>
      <c r="G81" s="126" t="s">
        <v>243</v>
      </c>
      <c r="H81" s="25"/>
      <c r="I81" s="508" t="s">
        <v>242</v>
      </c>
      <c r="J81" s="25"/>
      <c r="K81" s="74"/>
      <c r="L81" s="74"/>
    </row>
    <row r="82" spans="1:12">
      <c r="A82" s="40"/>
      <c r="B82" s="32"/>
      <c r="C82" s="77" t="s">
        <v>241</v>
      </c>
      <c r="D82" s="25"/>
      <c r="E82" s="25"/>
      <c r="F82" s="25"/>
      <c r="G82" s="2"/>
      <c r="H82" s="25"/>
      <c r="I82" s="123" t="s">
        <v>25</v>
      </c>
      <c r="J82" s="25"/>
      <c r="K82" s="74"/>
      <c r="L82" s="74"/>
    </row>
    <row r="83" spans="1:12">
      <c r="A83" s="2" t="s">
        <v>8</v>
      </c>
      <c r="B83" s="32"/>
      <c r="C83" s="125" t="s">
        <v>240</v>
      </c>
      <c r="D83" s="123" t="s">
        <v>239</v>
      </c>
      <c r="E83" s="124"/>
      <c r="F83" s="123" t="s">
        <v>238</v>
      </c>
      <c r="G83" s="40"/>
      <c r="H83" s="124"/>
      <c r="I83" s="2" t="s">
        <v>237</v>
      </c>
      <c r="J83" s="25"/>
      <c r="K83" s="74"/>
      <c r="L83" s="74"/>
    </row>
    <row r="84" spans="1:12" ht="16.5" thickBot="1">
      <c r="A84" s="409" t="s">
        <v>178</v>
      </c>
      <c r="B84" s="96" t="s">
        <v>290</v>
      </c>
      <c r="C84" s="25"/>
      <c r="D84" s="25"/>
      <c r="E84" s="25"/>
      <c r="F84" s="25"/>
      <c r="G84" s="25"/>
      <c r="H84" s="25"/>
      <c r="I84" s="25"/>
      <c r="J84" s="25"/>
      <c r="K84" s="25"/>
      <c r="L84" s="25"/>
    </row>
    <row r="85" spans="1:12">
      <c r="A85" s="2"/>
      <c r="B85" s="32" t="s">
        <v>289</v>
      </c>
      <c r="C85" s="25"/>
      <c r="D85" s="25"/>
      <c r="E85" s="25"/>
      <c r="F85" s="25"/>
      <c r="G85" s="25"/>
      <c r="H85" s="25"/>
      <c r="I85" s="25"/>
      <c r="J85" s="25"/>
      <c r="K85" s="25"/>
      <c r="L85" s="25"/>
    </row>
    <row r="86" spans="1:12">
      <c r="A86" s="2">
        <v>1</v>
      </c>
      <c r="B86" s="32" t="s">
        <v>158</v>
      </c>
      <c r="C86" s="69" t="s">
        <v>288</v>
      </c>
      <c r="D86" s="73">
        <v>0</v>
      </c>
      <c r="E86" s="25"/>
      <c r="F86" s="25" t="s">
        <v>189</v>
      </c>
      <c r="G86" s="131" t="s">
        <v>68</v>
      </c>
      <c r="H86" s="25"/>
      <c r="I86" s="25">
        <v>0</v>
      </c>
      <c r="J86" s="25"/>
      <c r="K86" s="25"/>
      <c r="L86" s="452"/>
    </row>
    <row r="87" spans="1:12">
      <c r="A87" s="2" t="s">
        <v>35</v>
      </c>
      <c r="B87" s="32" t="s">
        <v>475</v>
      </c>
      <c r="C87" s="69" t="s">
        <v>476</v>
      </c>
      <c r="D87" s="73">
        <v>4219250657</v>
      </c>
      <c r="E87" s="25"/>
      <c r="F87" s="25" t="s">
        <v>160</v>
      </c>
      <c r="G87" s="78">
        <f>I231</f>
        <v>1</v>
      </c>
      <c r="H87" s="69"/>
      <c r="I87" s="69">
        <f>+G87*D87</f>
        <v>4219250657</v>
      </c>
      <c r="J87" s="25"/>
      <c r="K87" s="25"/>
      <c r="L87" s="452"/>
    </row>
    <row r="88" spans="1:12">
      <c r="A88" s="2" t="s">
        <v>34</v>
      </c>
      <c r="B88" s="130" t="s">
        <v>276</v>
      </c>
      <c r="C88" s="25"/>
      <c r="D88" s="73">
        <f>CWIP!E22</f>
        <v>213718138.83692306</v>
      </c>
      <c r="E88" s="25"/>
      <c r="F88" s="25" t="s">
        <v>160</v>
      </c>
      <c r="G88" s="78">
        <f>G87</f>
        <v>1</v>
      </c>
      <c r="H88" s="69"/>
      <c r="I88" s="69">
        <f>+G88*D88</f>
        <v>213718138.83692306</v>
      </c>
      <c r="J88" s="25"/>
      <c r="K88" s="25"/>
      <c r="L88" s="452"/>
    </row>
    <row r="89" spans="1:12">
      <c r="A89" s="2">
        <v>3</v>
      </c>
      <c r="B89" s="32" t="s">
        <v>154</v>
      </c>
      <c r="C89" s="69" t="s">
        <v>287</v>
      </c>
      <c r="D89" s="73">
        <v>0</v>
      </c>
      <c r="E89" s="25"/>
      <c r="F89" s="25" t="s">
        <v>189</v>
      </c>
      <c r="G89" s="78" t="s">
        <v>68</v>
      </c>
      <c r="H89" s="69"/>
      <c r="I89" s="69">
        <v>0</v>
      </c>
      <c r="J89" s="25"/>
      <c r="K89" s="25"/>
      <c r="L89" s="452"/>
    </row>
    <row r="90" spans="1:12">
      <c r="A90" s="2">
        <v>4</v>
      </c>
      <c r="B90" s="32" t="s">
        <v>477</v>
      </c>
      <c r="C90" s="69" t="s">
        <v>478</v>
      </c>
      <c r="D90" s="73">
        <v>106576815</v>
      </c>
      <c r="E90" s="25"/>
      <c r="F90" s="25" t="s">
        <v>214</v>
      </c>
      <c r="G90" s="78">
        <f>I248</f>
        <v>1</v>
      </c>
      <c r="H90" s="69"/>
      <c r="I90" s="69">
        <f>+G90*D90</f>
        <v>106576815</v>
      </c>
      <c r="J90" s="25"/>
      <c r="K90" s="25"/>
      <c r="L90" s="452"/>
    </row>
    <row r="91" spans="1:12" ht="16.5" thickBot="1">
      <c r="A91" s="2">
        <v>5</v>
      </c>
      <c r="B91" s="32" t="s">
        <v>221</v>
      </c>
      <c r="C91" s="25" t="s">
        <v>225</v>
      </c>
      <c r="D91" s="416">
        <v>0</v>
      </c>
      <c r="E91" s="25"/>
      <c r="F91" s="25" t="s">
        <v>140</v>
      </c>
      <c r="G91" s="78">
        <f>K252</f>
        <v>1</v>
      </c>
      <c r="H91" s="69"/>
      <c r="I91" s="445">
        <f>+G91*D91</f>
        <v>0</v>
      </c>
      <c r="J91" s="25"/>
      <c r="K91" s="25"/>
      <c r="L91" s="452"/>
    </row>
    <row r="92" spans="1:12">
      <c r="A92" s="2">
        <v>6</v>
      </c>
      <c r="B92" s="26" t="s">
        <v>286</v>
      </c>
      <c r="C92" s="25"/>
      <c r="D92" s="451">
        <f>SUM(D86:D91)</f>
        <v>4539545610.8369226</v>
      </c>
      <c r="E92" s="25"/>
      <c r="F92" s="25" t="s">
        <v>285</v>
      </c>
      <c r="G92" s="98">
        <f>IF(I92&gt;0,I92/D92,0)</f>
        <v>1</v>
      </c>
      <c r="H92" s="69"/>
      <c r="I92" s="69">
        <f>SUM(I86:I91)</f>
        <v>4539545610.8369226</v>
      </c>
      <c r="J92" s="25"/>
      <c r="K92" s="76"/>
      <c r="L92" s="452"/>
    </row>
    <row r="93" spans="1:12">
      <c r="A93" s="40"/>
      <c r="B93" s="32"/>
      <c r="C93" s="25"/>
      <c r="D93" s="25"/>
      <c r="E93" s="25"/>
      <c r="F93" s="25"/>
      <c r="G93" s="76"/>
      <c r="H93" s="25"/>
      <c r="I93" s="25"/>
      <c r="J93" s="25"/>
      <c r="K93" s="76"/>
      <c r="L93" s="25"/>
    </row>
    <row r="94" spans="1:12">
      <c r="A94" s="40"/>
      <c r="B94" s="32" t="s">
        <v>284</v>
      </c>
      <c r="C94" s="25"/>
      <c r="D94" s="25"/>
      <c r="E94" s="25"/>
      <c r="F94" s="25"/>
      <c r="G94" s="25"/>
      <c r="H94" s="25"/>
      <c r="I94" s="25"/>
      <c r="J94" s="25"/>
      <c r="K94" s="25"/>
      <c r="L94" s="25"/>
    </row>
    <row r="95" spans="1:12">
      <c r="A95" s="2">
        <v>7</v>
      </c>
      <c r="B95" s="32" t="s">
        <v>158</v>
      </c>
      <c r="C95" s="25" t="s">
        <v>283</v>
      </c>
      <c r="D95" s="73">
        <v>0</v>
      </c>
      <c r="E95" s="25"/>
      <c r="F95" s="25" t="s">
        <v>189</v>
      </c>
      <c r="G95" s="131" t="s">
        <v>68</v>
      </c>
      <c r="H95" s="25"/>
      <c r="I95" s="25">
        <v>0</v>
      </c>
      <c r="J95" s="25"/>
      <c r="K95" s="25"/>
      <c r="L95" s="452"/>
    </row>
    <row r="96" spans="1:12">
      <c r="A96" s="2" t="s">
        <v>33</v>
      </c>
      <c r="B96" s="32" t="s">
        <v>475</v>
      </c>
      <c r="C96" s="25" t="s">
        <v>479</v>
      </c>
      <c r="D96" s="113">
        <v>1079094871</v>
      </c>
      <c r="E96" s="25"/>
      <c r="F96" s="25" t="s">
        <v>160</v>
      </c>
      <c r="G96" s="78">
        <f>+G87</f>
        <v>1</v>
      </c>
      <c r="H96" s="69"/>
      <c r="I96" s="69">
        <f>+G96*D96</f>
        <v>1079094871</v>
      </c>
      <c r="J96" s="25"/>
      <c r="K96" s="443"/>
      <c r="L96" s="452"/>
    </row>
    <row r="97" spans="1:12">
      <c r="A97" s="2" t="s">
        <v>32</v>
      </c>
      <c r="B97" s="130" t="s">
        <v>276</v>
      </c>
      <c r="C97" s="25"/>
      <c r="D97" s="113">
        <v>0</v>
      </c>
      <c r="E97" s="25"/>
      <c r="F97" s="25" t="s">
        <v>160</v>
      </c>
      <c r="G97" s="78">
        <f>G96</f>
        <v>1</v>
      </c>
      <c r="H97" s="69"/>
      <c r="I97" s="69">
        <f>+G97*D97</f>
        <v>0</v>
      </c>
      <c r="J97" s="25"/>
      <c r="K97" s="25"/>
      <c r="L97" s="452"/>
    </row>
    <row r="98" spans="1:12">
      <c r="A98" s="2">
        <v>9</v>
      </c>
      <c r="B98" s="32" t="s">
        <v>154</v>
      </c>
      <c r="C98" s="25" t="s">
        <v>282</v>
      </c>
      <c r="D98" s="73">
        <v>0</v>
      </c>
      <c r="E98" s="25"/>
      <c r="F98" s="25" t="s">
        <v>189</v>
      </c>
      <c r="G98" s="78" t="str">
        <f>+G89</f>
        <v xml:space="preserve"> </v>
      </c>
      <c r="H98" s="69"/>
      <c r="I98" s="69" t="s">
        <v>68</v>
      </c>
      <c r="J98" s="25"/>
      <c r="K98" s="25"/>
      <c r="L98" s="452"/>
    </row>
    <row r="99" spans="1:12">
      <c r="A99" s="2">
        <v>10</v>
      </c>
      <c r="B99" s="32" t="s">
        <v>477</v>
      </c>
      <c r="C99" s="119" t="s">
        <v>551</v>
      </c>
      <c r="D99" s="73">
        <v>26525011</v>
      </c>
      <c r="E99" s="25"/>
      <c r="F99" s="25" t="s">
        <v>214</v>
      </c>
      <c r="G99" s="78">
        <f>+G90</f>
        <v>1</v>
      </c>
      <c r="H99" s="69"/>
      <c r="I99" s="69">
        <f>+G99*D99</f>
        <v>26525011</v>
      </c>
      <c r="J99" s="25"/>
      <c r="K99" s="25"/>
      <c r="L99" s="452"/>
    </row>
    <row r="100" spans="1:12" ht="16.5" thickBot="1">
      <c r="A100" s="2">
        <v>11</v>
      </c>
      <c r="B100" s="32" t="s">
        <v>221</v>
      </c>
      <c r="C100" s="25" t="s">
        <v>225</v>
      </c>
      <c r="D100" s="416">
        <v>0</v>
      </c>
      <c r="E100" s="25"/>
      <c r="F100" s="25" t="s">
        <v>140</v>
      </c>
      <c r="G100" s="78">
        <f>+G91</f>
        <v>1</v>
      </c>
      <c r="H100" s="69"/>
      <c r="I100" s="445">
        <f>+G100*D100</f>
        <v>0</v>
      </c>
      <c r="J100" s="25"/>
      <c r="K100" s="25"/>
      <c r="L100" s="452"/>
    </row>
    <row r="101" spans="1:12">
      <c r="A101" s="2">
        <v>12</v>
      </c>
      <c r="B101" s="32" t="s">
        <v>281</v>
      </c>
      <c r="C101" s="25"/>
      <c r="D101" s="450">
        <f>SUM(D95:D100)</f>
        <v>1105619882</v>
      </c>
      <c r="E101" s="25"/>
      <c r="F101" s="25"/>
      <c r="G101" s="69"/>
      <c r="H101" s="69"/>
      <c r="I101" s="69">
        <f>SUM(I95:I100)</f>
        <v>1105619882</v>
      </c>
      <c r="J101" s="25"/>
      <c r="K101" s="25"/>
      <c r="L101" s="452"/>
    </row>
    <row r="102" spans="1:12">
      <c r="A102" s="2"/>
      <c r="B102" s="40"/>
      <c r="C102" s="25" t="s">
        <v>68</v>
      </c>
      <c r="D102" s="40"/>
      <c r="E102" s="25"/>
      <c r="F102" s="25"/>
      <c r="G102" s="76"/>
      <c r="H102" s="25"/>
      <c r="I102" s="40"/>
      <c r="J102" s="25"/>
      <c r="K102" s="76"/>
      <c r="L102" s="25"/>
    </row>
    <row r="103" spans="1:12">
      <c r="A103" s="2"/>
      <c r="B103" s="32" t="s">
        <v>280</v>
      </c>
      <c r="C103" s="25"/>
      <c r="D103" s="25"/>
      <c r="E103" s="25"/>
      <c r="F103" s="25"/>
      <c r="G103" s="25"/>
      <c r="H103" s="25"/>
      <c r="I103" s="25"/>
      <c r="J103" s="25"/>
      <c r="K103" s="25"/>
      <c r="L103" s="25"/>
    </row>
    <row r="104" spans="1:12">
      <c r="A104" s="2">
        <v>13</v>
      </c>
      <c r="B104" s="32" t="s">
        <v>158</v>
      </c>
      <c r="C104" s="25" t="s">
        <v>279</v>
      </c>
      <c r="D104" s="69">
        <f t="shared" ref="D104:D109" si="0">D86-D95</f>
        <v>0</v>
      </c>
      <c r="E104" s="69"/>
      <c r="F104" s="69"/>
      <c r="G104" s="98"/>
      <c r="H104" s="69"/>
      <c r="I104" s="69">
        <f>I86-I95</f>
        <v>0</v>
      </c>
      <c r="J104" s="25"/>
      <c r="K104" s="76"/>
      <c r="L104" s="452"/>
    </row>
    <row r="105" spans="1:12">
      <c r="A105" s="2" t="s">
        <v>278</v>
      </c>
      <c r="B105" s="120" t="s">
        <v>475</v>
      </c>
      <c r="C105" s="119" t="s">
        <v>550</v>
      </c>
      <c r="D105" s="69">
        <f t="shared" si="0"/>
        <v>3140155786</v>
      </c>
      <c r="E105" s="69"/>
      <c r="F105" s="69"/>
      <c r="G105" s="78"/>
      <c r="H105" s="69"/>
      <c r="I105" s="69">
        <f>I87-I96</f>
        <v>3140155786</v>
      </c>
      <c r="J105" s="25"/>
      <c r="K105" s="76"/>
      <c r="L105" s="452"/>
    </row>
    <row r="106" spans="1:12">
      <c r="A106" s="2" t="s">
        <v>277</v>
      </c>
      <c r="B106" s="130" t="s">
        <v>276</v>
      </c>
      <c r="C106" s="25"/>
      <c r="D106" s="69">
        <f t="shared" si="0"/>
        <v>213718138.83692306</v>
      </c>
      <c r="E106" s="69"/>
      <c r="F106" s="69"/>
      <c r="G106" s="78"/>
      <c r="H106" s="69"/>
      <c r="I106" s="69">
        <f>I88-I97</f>
        <v>213718138.83692306</v>
      </c>
      <c r="J106" s="25"/>
      <c r="K106" s="76"/>
      <c r="L106" s="452"/>
    </row>
    <row r="107" spans="1:12">
      <c r="A107" s="2">
        <v>15</v>
      </c>
      <c r="B107" s="32" t="s">
        <v>154</v>
      </c>
      <c r="C107" s="25" t="s">
        <v>275</v>
      </c>
      <c r="D107" s="69">
        <f t="shared" si="0"/>
        <v>0</v>
      </c>
      <c r="E107" s="69"/>
      <c r="F107" s="69"/>
      <c r="G107" s="98"/>
      <c r="H107" s="69"/>
      <c r="I107" s="69" t="s">
        <v>68</v>
      </c>
      <c r="J107" s="25"/>
      <c r="K107" s="76"/>
      <c r="L107" s="452"/>
    </row>
    <row r="108" spans="1:12">
      <c r="A108" s="2">
        <v>16</v>
      </c>
      <c r="B108" s="120" t="s">
        <v>477</v>
      </c>
      <c r="C108" s="25" t="s">
        <v>274</v>
      </c>
      <c r="D108" s="69">
        <f t="shared" si="0"/>
        <v>80051804</v>
      </c>
      <c r="E108" s="69"/>
      <c r="F108" s="69"/>
      <c r="G108" s="98"/>
      <c r="H108" s="69"/>
      <c r="I108" s="69">
        <f>I90-I99</f>
        <v>80051804</v>
      </c>
      <c r="J108" s="25"/>
      <c r="K108" s="76"/>
      <c r="L108" s="452"/>
    </row>
    <row r="109" spans="1:12" ht="16.5" thickBot="1">
      <c r="A109" s="2">
        <v>17</v>
      </c>
      <c r="B109" s="32" t="s">
        <v>221</v>
      </c>
      <c r="C109" s="25" t="s">
        <v>273</v>
      </c>
      <c r="D109" s="445">
        <f t="shared" si="0"/>
        <v>0</v>
      </c>
      <c r="E109" s="69"/>
      <c r="F109" s="69"/>
      <c r="G109" s="98"/>
      <c r="H109" s="69"/>
      <c r="I109" s="445">
        <f>I91-I100</f>
        <v>0</v>
      </c>
      <c r="J109" s="25"/>
      <c r="K109" s="76"/>
      <c r="L109" s="452"/>
    </row>
    <row r="110" spans="1:12">
      <c r="A110" s="2">
        <v>18</v>
      </c>
      <c r="B110" s="32" t="s">
        <v>272</v>
      </c>
      <c r="C110" s="25"/>
      <c r="D110" s="69">
        <f>SUM(D104:D109)</f>
        <v>3433925728.8369231</v>
      </c>
      <c r="E110" s="69"/>
      <c r="F110" s="69" t="s">
        <v>271</v>
      </c>
      <c r="G110" s="98">
        <f>IF(I110&gt;0,I110/D110,0)</f>
        <v>1</v>
      </c>
      <c r="H110" s="69"/>
      <c r="I110" s="69">
        <f>SUM(I104:I109)</f>
        <v>3433925728.8369231</v>
      </c>
      <c r="J110" s="25"/>
      <c r="K110" s="25"/>
      <c r="L110" s="452"/>
    </row>
    <row r="111" spans="1:12">
      <c r="A111" s="2"/>
      <c r="B111" s="40"/>
      <c r="C111" s="25"/>
      <c r="D111" s="40"/>
      <c r="E111" s="25"/>
      <c r="F111" s="40"/>
      <c r="G111" s="40"/>
      <c r="H111" s="25"/>
      <c r="I111" s="40"/>
      <c r="J111" s="25"/>
      <c r="K111" s="76"/>
      <c r="L111" s="25"/>
    </row>
    <row r="112" spans="1:12">
      <c r="A112" s="2"/>
      <c r="B112" s="26" t="s">
        <v>270</v>
      </c>
      <c r="C112" s="25"/>
      <c r="D112" s="25"/>
      <c r="E112" s="25"/>
      <c r="F112" s="25"/>
      <c r="G112" s="25"/>
      <c r="H112" s="25"/>
      <c r="I112" s="25"/>
      <c r="J112" s="25"/>
      <c r="K112" s="25"/>
      <c r="L112" s="25"/>
    </row>
    <row r="113" spans="1:12">
      <c r="A113" s="2">
        <v>19</v>
      </c>
      <c r="B113" s="32" t="s">
        <v>269</v>
      </c>
      <c r="C113" s="25" t="s">
        <v>268</v>
      </c>
      <c r="D113" s="73">
        <v>0</v>
      </c>
      <c r="E113" s="67"/>
      <c r="F113" s="67" t="s">
        <v>189</v>
      </c>
      <c r="G113" s="94" t="s">
        <v>210</v>
      </c>
      <c r="H113" s="69"/>
      <c r="I113" s="69">
        <v>0</v>
      </c>
      <c r="J113" s="25"/>
      <c r="K113" s="76"/>
      <c r="L113" s="452"/>
    </row>
    <row r="114" spans="1:12">
      <c r="A114" s="2">
        <v>20</v>
      </c>
      <c r="B114" s="32" t="s">
        <v>267</v>
      </c>
      <c r="C114" s="25" t="s">
        <v>266</v>
      </c>
      <c r="D114" s="128">
        <f>'Def. Tax Avg Calc'!C37</f>
        <v>-578226054.25437307</v>
      </c>
      <c r="E114" s="25"/>
      <c r="F114" s="25" t="s">
        <v>192</v>
      </c>
      <c r="G114" s="78">
        <f>+G110</f>
        <v>1</v>
      </c>
      <c r="H114" s="69"/>
      <c r="I114" s="69">
        <f>D114*G114</f>
        <v>-578226054.25437307</v>
      </c>
      <c r="J114" s="25"/>
      <c r="K114" s="76"/>
      <c r="L114" s="452"/>
    </row>
    <row r="115" spans="1:12">
      <c r="A115" s="2">
        <v>21</v>
      </c>
      <c r="B115" s="32" t="s">
        <v>265</v>
      </c>
      <c r="C115" s="25" t="s">
        <v>264</v>
      </c>
      <c r="D115" s="128">
        <f>'Def. Tax Avg Calc'!C53</f>
        <v>-3756135.7903055842</v>
      </c>
      <c r="E115" s="25"/>
      <c r="F115" s="25" t="s">
        <v>192</v>
      </c>
      <c r="G115" s="78">
        <f>+G114</f>
        <v>1</v>
      </c>
      <c r="H115" s="69"/>
      <c r="I115" s="69">
        <f>D115*G115</f>
        <v>-3756135.7903055842</v>
      </c>
      <c r="J115" s="25"/>
      <c r="K115" s="76"/>
      <c r="L115" s="452"/>
    </row>
    <row r="116" spans="1:12">
      <c r="A116" s="2">
        <v>22</v>
      </c>
      <c r="B116" s="32" t="s">
        <v>263</v>
      </c>
      <c r="C116" s="25" t="s">
        <v>262</v>
      </c>
      <c r="D116" s="127">
        <f>'Def. Tax Avg Calc'!C21</f>
        <v>14305195.251633298</v>
      </c>
      <c r="E116" s="25"/>
      <c r="F116" s="25" t="s">
        <v>192</v>
      </c>
      <c r="G116" s="78">
        <f>+G115</f>
        <v>1</v>
      </c>
      <c r="H116" s="69"/>
      <c r="I116" s="69">
        <f>D116*G116</f>
        <v>14305195.251633298</v>
      </c>
      <c r="J116" s="25"/>
      <c r="K116" s="76"/>
      <c r="L116" s="452"/>
    </row>
    <row r="117" spans="1:12" ht="16.5" thickBot="1">
      <c r="A117" s="2">
        <v>23</v>
      </c>
      <c r="B117" s="40" t="s">
        <v>261</v>
      </c>
      <c r="C117" s="40" t="s">
        <v>260</v>
      </c>
      <c r="D117" s="416">
        <v>0</v>
      </c>
      <c r="E117" s="25"/>
      <c r="F117" s="25" t="s">
        <v>192</v>
      </c>
      <c r="G117" s="78">
        <f>+G115</f>
        <v>1</v>
      </c>
      <c r="H117" s="69"/>
      <c r="I117" s="445">
        <f>D117*G117</f>
        <v>0</v>
      </c>
      <c r="J117" s="25"/>
      <c r="K117" s="76"/>
      <c r="L117" s="452"/>
    </row>
    <row r="118" spans="1:12">
      <c r="A118" s="2">
        <v>24</v>
      </c>
      <c r="B118" s="32" t="s">
        <v>259</v>
      </c>
      <c r="C118" s="25"/>
      <c r="D118" s="449">
        <f>SUM(D113:D117)</f>
        <v>-567676994.7930454</v>
      </c>
      <c r="E118" s="25"/>
      <c r="F118" s="25"/>
      <c r="G118" s="69"/>
      <c r="H118" s="69"/>
      <c r="I118" s="69">
        <f>SUM(I113:I117)</f>
        <v>-567676994.7930454</v>
      </c>
      <c r="J118" s="25"/>
      <c r="K118" s="25"/>
      <c r="L118" s="452"/>
    </row>
    <row r="119" spans="1:12">
      <c r="A119" s="2"/>
      <c r="B119" s="40"/>
      <c r="C119" s="25"/>
      <c r="D119" s="40"/>
      <c r="E119" s="25"/>
      <c r="F119" s="25"/>
      <c r="G119" s="76"/>
      <c r="H119" s="25"/>
      <c r="I119" s="40"/>
      <c r="J119" s="25"/>
      <c r="K119" s="76"/>
      <c r="L119" s="25"/>
    </row>
    <row r="120" spans="1:12">
      <c r="A120" s="2">
        <v>25</v>
      </c>
      <c r="B120" s="26" t="s">
        <v>258</v>
      </c>
      <c r="C120" s="119" t="s">
        <v>257</v>
      </c>
      <c r="D120" s="448">
        <v>12749737</v>
      </c>
      <c r="E120" s="25"/>
      <c r="F120" s="25" t="s">
        <v>160</v>
      </c>
      <c r="G120" s="78">
        <f>+G96</f>
        <v>1</v>
      </c>
      <c r="H120" s="69"/>
      <c r="I120" s="69">
        <f>+G120*D120</f>
        <v>12749737</v>
      </c>
      <c r="J120" s="25"/>
      <c r="K120" s="25"/>
      <c r="L120" s="452"/>
    </row>
    <row r="121" spans="1:12">
      <c r="A121" s="2"/>
      <c r="B121" s="32"/>
      <c r="C121" s="25"/>
      <c r="D121" s="25"/>
      <c r="E121" s="25"/>
      <c r="F121" s="25"/>
      <c r="G121" s="69"/>
      <c r="H121" s="69"/>
      <c r="I121" s="69"/>
      <c r="J121" s="25"/>
      <c r="K121" s="25"/>
      <c r="L121" s="25"/>
    </row>
    <row r="122" spans="1:12">
      <c r="A122" s="2"/>
      <c r="B122" s="32" t="s">
        <v>256</v>
      </c>
      <c r="C122" s="25" t="s">
        <v>68</v>
      </c>
      <c r="D122" s="25"/>
      <c r="E122" s="25"/>
      <c r="F122" s="25"/>
      <c r="G122" s="69"/>
      <c r="H122" s="69"/>
      <c r="I122" s="69"/>
      <c r="J122" s="25"/>
      <c r="K122" s="25"/>
      <c r="L122" s="25"/>
    </row>
    <row r="123" spans="1:12">
      <c r="A123" s="2">
        <v>26</v>
      </c>
      <c r="B123" s="32" t="s">
        <v>255</v>
      </c>
      <c r="C123" s="40" t="s">
        <v>254</v>
      </c>
      <c r="D123" s="67">
        <f>+D165/8</f>
        <v>19897086.696249995</v>
      </c>
      <c r="E123" s="67"/>
      <c r="F123" s="67"/>
      <c r="G123" s="85"/>
      <c r="H123" s="86"/>
      <c r="I123" s="86">
        <f>+I165/8</f>
        <v>17892116.248985041</v>
      </c>
      <c r="J123" s="31"/>
      <c r="K123" s="76"/>
      <c r="L123" s="452"/>
    </row>
    <row r="124" spans="1:12">
      <c r="A124" s="2">
        <v>27</v>
      </c>
      <c r="B124" s="32" t="s">
        <v>253</v>
      </c>
      <c r="C124" s="119" t="s">
        <v>252</v>
      </c>
      <c r="D124" s="73">
        <v>2988119.0053846156</v>
      </c>
      <c r="E124" s="25"/>
      <c r="F124" s="25" t="s">
        <v>226</v>
      </c>
      <c r="G124" s="78">
        <f>I240</f>
        <v>0.86541473741478814</v>
      </c>
      <c r="H124" s="69"/>
      <c r="I124" s="69">
        <f>+G124*D124</f>
        <v>2585962.2244090652</v>
      </c>
      <c r="J124" s="25" t="s">
        <v>68</v>
      </c>
      <c r="K124" s="76"/>
      <c r="L124" s="452"/>
    </row>
    <row r="125" spans="1:12" ht="16.5" thickBot="1">
      <c r="A125" s="2">
        <v>28</v>
      </c>
      <c r="B125" s="32" t="s">
        <v>251</v>
      </c>
      <c r="C125" s="69" t="s">
        <v>250</v>
      </c>
      <c r="D125" s="416">
        <v>8408564.8100000005</v>
      </c>
      <c r="E125" s="25"/>
      <c r="F125" s="25" t="s">
        <v>206</v>
      </c>
      <c r="G125" s="78">
        <f>+G92</f>
        <v>1</v>
      </c>
      <c r="H125" s="69"/>
      <c r="I125" s="445">
        <f>+G125*D125</f>
        <v>8408564.8100000005</v>
      </c>
      <c r="J125" s="25"/>
      <c r="K125" s="76"/>
      <c r="L125" s="452"/>
    </row>
    <row r="126" spans="1:12">
      <c r="A126" s="2">
        <v>29</v>
      </c>
      <c r="B126" s="32" t="s">
        <v>249</v>
      </c>
      <c r="C126" s="31"/>
      <c r="D126" s="25">
        <f>SUM(D123:D125)</f>
        <v>31293770.511634611</v>
      </c>
      <c r="E126" s="31"/>
      <c r="F126" s="31"/>
      <c r="G126" s="7"/>
      <c r="H126" s="7"/>
      <c r="I126" s="69">
        <f>I123+I124+I125</f>
        <v>28886643.283394106</v>
      </c>
      <c r="J126" s="31"/>
      <c r="K126" s="31"/>
      <c r="L126" s="452"/>
    </row>
    <row r="127" spans="1:12" ht="16.5" thickBot="1">
      <c r="A127" s="40"/>
      <c r="B127" s="40"/>
      <c r="C127" s="25"/>
      <c r="D127" s="412"/>
      <c r="E127" s="25"/>
      <c r="F127" s="25"/>
      <c r="G127" s="25"/>
      <c r="H127" s="25"/>
      <c r="I127" s="412"/>
      <c r="J127" s="25"/>
      <c r="K127" s="25"/>
      <c r="L127" s="25"/>
    </row>
    <row r="128" spans="1:12" ht="16.5" thickBot="1">
      <c r="A128" s="2">
        <v>30</v>
      </c>
      <c r="B128" s="32" t="s">
        <v>248</v>
      </c>
      <c r="C128" s="25"/>
      <c r="D128" s="104">
        <f>+D126+D120+D118+D110</f>
        <v>2910292241.5555124</v>
      </c>
      <c r="E128" s="69"/>
      <c r="F128" s="69"/>
      <c r="G128" s="98"/>
      <c r="H128" s="69"/>
      <c r="I128" s="104">
        <f>+I126+I120+I118+I110</f>
        <v>2907885114.3272719</v>
      </c>
      <c r="J128" s="25"/>
      <c r="K128" s="76"/>
      <c r="L128" s="452"/>
    </row>
    <row r="129" spans="1:12" ht="16.5" thickTop="1">
      <c r="A129" s="2"/>
      <c r="B129" s="32"/>
      <c r="C129" s="25"/>
      <c r="D129" s="97"/>
      <c r="E129" s="69"/>
      <c r="F129" s="69"/>
      <c r="G129" s="98"/>
      <c r="H129" s="69"/>
      <c r="I129" s="97"/>
      <c r="J129" s="25"/>
      <c r="K129" s="76"/>
      <c r="L129" s="25"/>
    </row>
    <row r="130" spans="1:12">
      <c r="A130" s="2"/>
      <c r="B130" s="32"/>
      <c r="C130" s="25"/>
      <c r="D130" s="97"/>
      <c r="E130" s="69"/>
      <c r="F130" s="69"/>
      <c r="G130" s="98"/>
      <c r="H130" s="69"/>
      <c r="I130" s="97"/>
      <c r="J130" s="25"/>
      <c r="K130" s="76"/>
      <c r="L130" s="25"/>
    </row>
    <row r="131" spans="1:12">
      <c r="A131" s="2"/>
      <c r="B131" s="32"/>
      <c r="C131" s="25"/>
      <c r="D131" s="97"/>
      <c r="E131" s="69"/>
      <c r="F131" s="69"/>
      <c r="G131" s="98"/>
      <c r="H131" s="69"/>
      <c r="I131" s="97"/>
      <c r="J131" s="25"/>
      <c r="K131" s="76"/>
      <c r="L131" s="25"/>
    </row>
    <row r="132" spans="1:12">
      <c r="A132" s="2"/>
      <c r="B132" s="32"/>
      <c r="C132" s="25"/>
      <c r="D132" s="97"/>
      <c r="E132" s="69"/>
      <c r="F132" s="69"/>
      <c r="G132" s="98"/>
      <c r="H132" s="69"/>
      <c r="I132" s="97"/>
      <c r="J132" s="25"/>
      <c r="K132" s="76"/>
      <c r="L132" s="25"/>
    </row>
    <row r="133" spans="1:12">
      <c r="A133" s="2"/>
      <c r="B133" s="32"/>
      <c r="C133" s="25"/>
      <c r="D133" s="97"/>
      <c r="E133" s="69"/>
      <c r="F133" s="69"/>
      <c r="G133" s="98"/>
      <c r="H133" s="69"/>
      <c r="I133" s="97"/>
      <c r="J133" s="25"/>
      <c r="K133" s="76"/>
      <c r="L133" s="25"/>
    </row>
    <row r="134" spans="1:12">
      <c r="A134" s="2"/>
      <c r="B134" s="32"/>
      <c r="C134" s="25"/>
      <c r="D134" s="97"/>
      <c r="E134" s="69"/>
      <c r="F134" s="69"/>
      <c r="G134" s="98"/>
      <c r="H134" s="69"/>
      <c r="I134" s="97"/>
      <c r="J134" s="25"/>
      <c r="K134" s="76"/>
      <c r="L134" s="25"/>
    </row>
    <row r="135" spans="1:12">
      <c r="A135" s="2"/>
      <c r="B135" s="32"/>
      <c r="C135" s="25"/>
      <c r="D135" s="97"/>
      <c r="E135" s="69"/>
      <c r="F135" s="69"/>
      <c r="G135" s="98"/>
      <c r="H135" s="69"/>
      <c r="I135" s="97"/>
      <c r="J135" s="25"/>
      <c r="K135" s="76"/>
      <c r="L135" s="25"/>
    </row>
    <row r="136" spans="1:12">
      <c r="A136" s="2"/>
      <c r="B136" s="32"/>
      <c r="C136" s="25"/>
      <c r="D136" s="97"/>
      <c r="E136" s="69"/>
      <c r="F136" s="69"/>
      <c r="G136" s="98"/>
      <c r="H136" s="69"/>
      <c r="I136" s="97"/>
      <c r="J136" s="25"/>
      <c r="K136" s="76"/>
      <c r="L136" s="25"/>
    </row>
    <row r="137" spans="1:12">
      <c r="A137" s="2"/>
      <c r="B137" s="32"/>
      <c r="C137" s="25"/>
      <c r="D137" s="97"/>
      <c r="E137" s="69"/>
      <c r="F137" s="69"/>
      <c r="G137" s="98"/>
      <c r="H137" s="69"/>
      <c r="I137" s="97"/>
      <c r="J137" s="25"/>
      <c r="K137" s="76"/>
      <c r="L137" s="25"/>
    </row>
    <row r="138" spans="1:12">
      <c r="A138" s="2"/>
      <c r="B138" s="32"/>
      <c r="C138" s="25"/>
      <c r="D138" s="97"/>
      <c r="E138" s="69"/>
      <c r="F138" s="69"/>
      <c r="G138" s="98"/>
      <c r="H138" s="69"/>
      <c r="I138" s="97"/>
      <c r="J138" s="25"/>
      <c r="K138" s="76"/>
      <c r="L138" s="25"/>
    </row>
    <row r="139" spans="1:12">
      <c r="A139" s="2"/>
      <c r="B139" s="32"/>
      <c r="C139" s="25"/>
      <c r="D139" s="97"/>
      <c r="E139" s="69"/>
      <c r="F139" s="69"/>
      <c r="G139" s="98"/>
      <c r="H139" s="69"/>
      <c r="I139" s="97"/>
      <c r="J139" s="25"/>
      <c r="K139" s="76"/>
      <c r="L139" s="25"/>
    </row>
    <row r="140" spans="1:12">
      <c r="A140" s="2"/>
      <c r="B140" s="32"/>
      <c r="C140" s="25"/>
      <c r="D140" s="97"/>
      <c r="E140" s="69"/>
      <c r="F140" s="69"/>
      <c r="G140" s="98"/>
      <c r="H140" s="69"/>
      <c r="I140" s="97"/>
      <c r="J140" s="25"/>
      <c r="K140" s="76"/>
      <c r="L140" s="25"/>
    </row>
    <row r="141" spans="1:12">
      <c r="A141" s="2"/>
      <c r="B141" s="32"/>
      <c r="C141" s="25"/>
      <c r="D141" s="97"/>
      <c r="E141" s="69"/>
      <c r="F141" s="69"/>
      <c r="G141" s="98"/>
      <c r="H141" s="69"/>
      <c r="I141" s="97"/>
      <c r="J141" s="25"/>
      <c r="K141" s="76"/>
      <c r="L141" s="25"/>
    </row>
    <row r="142" spans="1:12">
      <c r="A142" s="2"/>
      <c r="B142" s="32"/>
      <c r="C142" s="25"/>
      <c r="D142" s="97"/>
      <c r="E142" s="69"/>
      <c r="F142" s="69"/>
      <c r="G142" s="98"/>
      <c r="H142" s="69"/>
      <c r="I142" s="97"/>
      <c r="J142" s="25"/>
      <c r="K142" s="76"/>
      <c r="L142" s="25"/>
    </row>
    <row r="143" spans="1:12">
      <c r="A143" s="2"/>
      <c r="B143" s="32"/>
      <c r="C143" s="25"/>
      <c r="D143" s="97"/>
      <c r="E143" s="69"/>
      <c r="F143" s="69"/>
      <c r="G143" s="98"/>
      <c r="H143" s="69"/>
      <c r="I143" s="97"/>
      <c r="J143" s="25"/>
      <c r="K143" s="76"/>
      <c r="L143" s="25"/>
    </row>
    <row r="144" spans="1:12">
      <c r="A144" s="2"/>
      <c r="B144" s="32"/>
      <c r="C144" s="25"/>
      <c r="D144" s="97"/>
      <c r="E144" s="69"/>
      <c r="F144" s="69"/>
      <c r="G144" s="98"/>
      <c r="H144" s="69"/>
      <c r="I144" s="97"/>
      <c r="J144" s="25"/>
      <c r="K144" s="76"/>
      <c r="L144" s="25"/>
    </row>
    <row r="145" spans="1:12">
      <c r="A145" s="2"/>
      <c r="B145" s="32"/>
      <c r="C145" s="25"/>
      <c r="D145" s="97"/>
      <c r="E145" s="69"/>
      <c r="F145" s="69"/>
      <c r="G145" s="98"/>
      <c r="H145" s="69"/>
      <c r="I145" s="97"/>
      <c r="J145" s="25"/>
      <c r="K145" s="76"/>
      <c r="L145" s="25"/>
    </row>
    <row r="146" spans="1:12">
      <c r="A146" s="2"/>
      <c r="B146" s="32"/>
      <c r="C146" s="25"/>
      <c r="D146" s="25"/>
      <c r="E146" s="25"/>
      <c r="F146" s="25"/>
      <c r="G146" s="25"/>
      <c r="H146" s="25"/>
      <c r="I146" s="25"/>
      <c r="J146" s="25"/>
      <c r="K146" s="33" t="s">
        <v>247</v>
      </c>
      <c r="L146" s="25"/>
    </row>
    <row r="147" spans="1:12">
      <c r="A147" s="2"/>
      <c r="B147" s="32"/>
      <c r="C147" s="25"/>
      <c r="D147" s="25"/>
      <c r="E147" s="25"/>
      <c r="F147" s="25"/>
      <c r="G147" s="25"/>
      <c r="H147" s="25"/>
      <c r="I147" s="25"/>
      <c r="J147" s="25"/>
      <c r="K147" s="33"/>
      <c r="L147" s="25"/>
    </row>
    <row r="148" spans="1:12">
      <c r="A148" s="2"/>
      <c r="B148" s="32" t="s">
        <v>95</v>
      </c>
      <c r="C148" s="25"/>
      <c r="D148" s="25" t="s">
        <v>94</v>
      </c>
      <c r="E148" s="25"/>
      <c r="F148" s="25"/>
      <c r="G148" s="25"/>
      <c r="H148" s="25"/>
      <c r="J148" s="25"/>
      <c r="K148" s="132" t="str">
        <f>$K$3</f>
        <v>For the 12 months ended 12/31/2014</v>
      </c>
      <c r="L148" s="25"/>
    </row>
    <row r="149" spans="1:12">
      <c r="A149" s="2"/>
      <c r="B149" s="32"/>
      <c r="C149" s="25"/>
      <c r="D149" s="25" t="s">
        <v>93</v>
      </c>
      <c r="E149" s="25"/>
      <c r="F149" s="25"/>
      <c r="G149" s="25"/>
      <c r="H149" s="25"/>
      <c r="I149" s="25"/>
      <c r="J149" s="25"/>
      <c r="K149" s="25"/>
      <c r="L149" s="25"/>
    </row>
    <row r="150" spans="1:12">
      <c r="A150" s="2"/>
      <c r="B150" s="40"/>
      <c r="C150" s="25"/>
      <c r="D150" s="25"/>
      <c r="E150" s="25"/>
      <c r="F150" s="25"/>
      <c r="G150" s="25"/>
      <c r="H150" s="25"/>
      <c r="I150" s="25"/>
      <c r="J150" s="25"/>
      <c r="K150" s="25"/>
      <c r="L150" s="25"/>
    </row>
    <row r="151" spans="1:12">
      <c r="A151" s="861" t="str">
        <f>A6</f>
        <v>American Transmission Company LLC</v>
      </c>
      <c r="B151" s="861"/>
      <c r="C151" s="861"/>
      <c r="D151" s="861"/>
      <c r="E151" s="861"/>
      <c r="F151" s="861"/>
      <c r="G151" s="861"/>
      <c r="H151" s="861"/>
      <c r="I151" s="861"/>
      <c r="J151" s="861"/>
      <c r="K151" s="861"/>
      <c r="L151" s="25"/>
    </row>
    <row r="152" spans="1:12">
      <c r="A152" s="2"/>
      <c r="B152" s="74" t="s">
        <v>246</v>
      </c>
      <c r="C152" s="74" t="s">
        <v>245</v>
      </c>
      <c r="D152" s="74" t="s">
        <v>244</v>
      </c>
      <c r="E152" s="25" t="s">
        <v>68</v>
      </c>
      <c r="F152" s="25"/>
      <c r="G152" s="126" t="s">
        <v>243</v>
      </c>
      <c r="H152" s="25"/>
      <c r="I152" s="508" t="s">
        <v>242</v>
      </c>
      <c r="J152" s="25"/>
      <c r="K152" s="25"/>
      <c r="L152" s="31"/>
    </row>
    <row r="153" spans="1:12">
      <c r="A153" s="2" t="s">
        <v>8</v>
      </c>
      <c r="B153" s="32"/>
      <c r="C153" s="77" t="s">
        <v>241</v>
      </c>
      <c r="D153" s="25"/>
      <c r="E153" s="25"/>
      <c r="F153" s="25"/>
      <c r="G153" s="2"/>
      <c r="H153" s="25"/>
      <c r="I153" s="123" t="s">
        <v>25</v>
      </c>
      <c r="J153" s="25"/>
      <c r="K153" s="123"/>
      <c r="L153" s="2"/>
    </row>
    <row r="154" spans="1:12" ht="16.5" thickBot="1">
      <c r="A154" s="409" t="s">
        <v>178</v>
      </c>
      <c r="B154" s="32"/>
      <c r="C154" s="125" t="s">
        <v>240</v>
      </c>
      <c r="D154" s="123" t="s">
        <v>239</v>
      </c>
      <c r="E154" s="124"/>
      <c r="F154" s="123" t="s">
        <v>238</v>
      </c>
      <c r="G154" s="40"/>
      <c r="H154" s="124"/>
      <c r="I154" s="2" t="s">
        <v>237</v>
      </c>
      <c r="J154" s="25"/>
      <c r="K154" s="123"/>
      <c r="L154" s="123"/>
    </row>
    <row r="155" spans="1:12">
      <c r="A155" s="2"/>
      <c r="B155" s="32" t="s">
        <v>481</v>
      </c>
      <c r="C155" s="25"/>
      <c r="D155" s="25"/>
      <c r="E155" s="25"/>
      <c r="F155" s="25"/>
      <c r="G155" s="25"/>
      <c r="H155" s="25"/>
      <c r="I155" s="25"/>
      <c r="J155" s="25"/>
      <c r="K155" s="25"/>
      <c r="L155" s="25"/>
    </row>
    <row r="156" spans="1:12">
      <c r="A156" s="2">
        <v>1</v>
      </c>
      <c r="B156" s="32" t="s">
        <v>222</v>
      </c>
      <c r="C156" s="25" t="s">
        <v>236</v>
      </c>
      <c r="D156" s="73">
        <v>118677017.17999999</v>
      </c>
      <c r="E156" s="25"/>
      <c r="F156" s="25" t="s">
        <v>226</v>
      </c>
      <c r="G156" s="78">
        <f>I240</f>
        <v>0.86541473741478814</v>
      </c>
      <c r="H156" s="69"/>
      <c r="I156" s="69">
        <f t="shared" ref="I156:I164" si="1">+G156*D156</f>
        <v>102704839.66</v>
      </c>
      <c r="J156" s="31"/>
      <c r="K156" s="25"/>
      <c r="L156" s="452"/>
    </row>
    <row r="157" spans="1:12">
      <c r="A157" s="2" t="s">
        <v>235</v>
      </c>
      <c r="B157" s="93" t="s">
        <v>234</v>
      </c>
      <c r="C157" s="67"/>
      <c r="D157" s="73">
        <v>0</v>
      </c>
      <c r="E157" s="25"/>
      <c r="F157" s="122"/>
      <c r="G157" s="85">
        <v>1</v>
      </c>
      <c r="H157" s="69"/>
      <c r="I157" s="69">
        <f t="shared" si="1"/>
        <v>0</v>
      </c>
      <c r="J157" s="31"/>
      <c r="K157" s="25"/>
      <c r="L157" s="452"/>
    </row>
    <row r="158" spans="1:12">
      <c r="A158" s="2">
        <v>2</v>
      </c>
      <c r="B158" s="32" t="s">
        <v>233</v>
      </c>
      <c r="C158" s="25" t="s">
        <v>232</v>
      </c>
      <c r="D158" s="73">
        <v>0</v>
      </c>
      <c r="E158" s="25"/>
      <c r="F158" s="25" t="s">
        <v>68</v>
      </c>
      <c r="G158" s="78">
        <v>1</v>
      </c>
      <c r="H158" s="69"/>
      <c r="I158" s="69">
        <f t="shared" si="1"/>
        <v>0</v>
      </c>
      <c r="J158" s="31"/>
      <c r="K158" s="25"/>
      <c r="L158" s="452"/>
    </row>
    <row r="159" spans="1:12">
      <c r="A159" s="2">
        <v>3</v>
      </c>
      <c r="B159" s="32" t="s">
        <v>231</v>
      </c>
      <c r="C159" s="25" t="s">
        <v>230</v>
      </c>
      <c r="D159" s="73">
        <v>40936927.219999999</v>
      </c>
      <c r="E159" s="25"/>
      <c r="F159" s="25" t="s">
        <v>214</v>
      </c>
      <c r="G159" s="78">
        <f>+G99</f>
        <v>1</v>
      </c>
      <c r="H159" s="69"/>
      <c r="I159" s="69">
        <f t="shared" si="1"/>
        <v>40936927.219999999</v>
      </c>
      <c r="J159" s="25"/>
      <c r="K159" s="25" t="s">
        <v>68</v>
      </c>
      <c r="L159" s="452"/>
    </row>
    <row r="160" spans="1:12">
      <c r="A160" s="2">
        <v>4</v>
      </c>
      <c r="B160" s="32" t="s">
        <v>229</v>
      </c>
      <c r="C160" s="25"/>
      <c r="D160" s="113">
        <v>0</v>
      </c>
      <c r="E160" s="25"/>
      <c r="F160" s="25" t="s">
        <v>214</v>
      </c>
      <c r="G160" s="78">
        <f>+G159</f>
        <v>1</v>
      </c>
      <c r="H160" s="69"/>
      <c r="I160" s="69">
        <f t="shared" si="1"/>
        <v>0</v>
      </c>
      <c r="J160" s="25"/>
      <c r="K160" s="25"/>
      <c r="L160" s="452"/>
    </row>
    <row r="161" spans="1:13">
      <c r="A161" s="2">
        <v>5</v>
      </c>
      <c r="B161" s="93" t="s">
        <v>228</v>
      </c>
      <c r="C161" s="67"/>
      <c r="D161" s="113">
        <v>939431.06</v>
      </c>
      <c r="E161" s="25"/>
      <c r="F161" s="25" t="s">
        <v>214</v>
      </c>
      <c r="G161" s="78">
        <f>+G160</f>
        <v>1</v>
      </c>
      <c r="H161" s="69"/>
      <c r="I161" s="69">
        <f t="shared" si="1"/>
        <v>939431.06</v>
      </c>
      <c r="J161" s="25"/>
      <c r="K161" s="25"/>
      <c r="L161" s="452"/>
    </row>
    <row r="162" spans="1:13">
      <c r="A162" s="2" t="s">
        <v>31</v>
      </c>
      <c r="B162" s="93" t="s">
        <v>227</v>
      </c>
      <c r="C162" s="67"/>
      <c r="D162" s="73">
        <v>502180.23</v>
      </c>
      <c r="E162" s="25"/>
      <c r="F162" s="121" t="s">
        <v>226</v>
      </c>
      <c r="G162" s="85">
        <f>+G156</f>
        <v>0.86541473741478814</v>
      </c>
      <c r="H162" s="69"/>
      <c r="I162" s="69">
        <f t="shared" si="1"/>
        <v>434594.17188034789</v>
      </c>
      <c r="J162" s="25"/>
      <c r="K162" s="25"/>
      <c r="L162" s="452"/>
    </row>
    <row r="163" spans="1:13">
      <c r="A163" s="2">
        <v>6</v>
      </c>
      <c r="B163" s="32" t="s">
        <v>221</v>
      </c>
      <c r="C163" s="25" t="s">
        <v>225</v>
      </c>
      <c r="D163" s="73">
        <v>0</v>
      </c>
      <c r="E163" s="25"/>
      <c r="F163" s="25" t="s">
        <v>140</v>
      </c>
      <c r="G163" s="78">
        <f>+G100</f>
        <v>1</v>
      </c>
      <c r="H163" s="69"/>
      <c r="I163" s="69">
        <f t="shared" si="1"/>
        <v>0</v>
      </c>
      <c r="J163" s="25"/>
      <c r="K163" s="25"/>
      <c r="L163" s="452"/>
    </row>
    <row r="164" spans="1:13" ht="16.5" thickBot="1">
      <c r="A164" s="2">
        <v>7</v>
      </c>
      <c r="B164" s="32" t="s">
        <v>224</v>
      </c>
      <c r="C164" s="25"/>
      <c r="D164" s="416">
        <v>0</v>
      </c>
      <c r="E164" s="25"/>
      <c r="F164" s="25" t="s">
        <v>68</v>
      </c>
      <c r="G164" s="78">
        <v>1</v>
      </c>
      <c r="H164" s="69"/>
      <c r="I164" s="445">
        <f t="shared" si="1"/>
        <v>0</v>
      </c>
      <c r="J164" s="25"/>
      <c r="K164" s="25"/>
      <c r="L164" s="452"/>
    </row>
    <row r="165" spans="1:13">
      <c r="A165" s="2">
        <v>8</v>
      </c>
      <c r="B165" s="32" t="s">
        <v>223</v>
      </c>
      <c r="C165" s="25"/>
      <c r="D165" s="25">
        <f>D156+D159+D162+D163+D164-D158-D160-D161-D157</f>
        <v>159176693.56999996</v>
      </c>
      <c r="E165" s="25"/>
      <c r="F165" s="25"/>
      <c r="G165" s="69"/>
      <c r="H165" s="69"/>
      <c r="I165" s="69">
        <f>+I156-I158+I159-I160-I161+I163+I164+I162-I157</f>
        <v>143136929.99188033</v>
      </c>
      <c r="J165" s="25"/>
      <c r="K165" s="25"/>
      <c r="L165" s="452"/>
      <c r="M165" s="766"/>
    </row>
    <row r="166" spans="1:13">
      <c r="A166" s="2"/>
      <c r="B166" s="40"/>
      <c r="C166" s="25"/>
      <c r="D166" s="40"/>
      <c r="E166" s="25"/>
      <c r="F166" s="25"/>
      <c r="G166" s="25"/>
      <c r="H166" s="25"/>
      <c r="I166" s="40"/>
      <c r="J166" s="25"/>
      <c r="K166" s="25"/>
      <c r="L166" s="25"/>
    </row>
    <row r="167" spans="1:13">
      <c r="A167" s="2"/>
      <c r="B167" s="32" t="s">
        <v>482</v>
      </c>
      <c r="C167" s="25"/>
      <c r="D167" s="25"/>
      <c r="E167" s="25"/>
      <c r="F167" s="25"/>
      <c r="G167" s="25"/>
      <c r="H167" s="25"/>
      <c r="I167" s="25"/>
      <c r="J167" s="25"/>
      <c r="K167" s="25"/>
      <c r="L167" s="25"/>
    </row>
    <row r="168" spans="1:13">
      <c r="A168" s="2">
        <v>9</v>
      </c>
      <c r="B168" s="32" t="s">
        <v>475</v>
      </c>
      <c r="C168" s="119" t="s">
        <v>483</v>
      </c>
      <c r="D168" s="73">
        <v>115472582</v>
      </c>
      <c r="E168" s="25"/>
      <c r="F168" s="25" t="s">
        <v>160</v>
      </c>
      <c r="G168" s="78">
        <f>+G120</f>
        <v>1</v>
      </c>
      <c r="H168" s="69"/>
      <c r="I168" s="69">
        <f>+G168*D168</f>
        <v>115472582</v>
      </c>
      <c r="J168" s="25"/>
      <c r="K168" s="76"/>
      <c r="L168" s="452"/>
    </row>
    <row r="169" spans="1:13">
      <c r="A169" s="2">
        <v>10</v>
      </c>
      <c r="B169" s="120" t="s">
        <v>477</v>
      </c>
      <c r="C169" s="119" t="s">
        <v>484</v>
      </c>
      <c r="D169" s="73">
        <v>8601812</v>
      </c>
      <c r="E169" s="25"/>
      <c r="F169" s="25" t="s">
        <v>214</v>
      </c>
      <c r="G169" s="78">
        <f>+G159</f>
        <v>1</v>
      </c>
      <c r="H169" s="69"/>
      <c r="I169" s="69">
        <f>+G169*D169</f>
        <v>8601812</v>
      </c>
      <c r="J169" s="25"/>
      <c r="K169" s="76"/>
      <c r="L169" s="452"/>
    </row>
    <row r="170" spans="1:13" ht="16.5" thickBot="1">
      <c r="A170" s="2">
        <v>11</v>
      </c>
      <c r="B170" s="32" t="s">
        <v>221</v>
      </c>
      <c r="C170" s="119" t="s">
        <v>220</v>
      </c>
      <c r="D170" s="416">
        <v>0</v>
      </c>
      <c r="E170" s="25"/>
      <c r="F170" s="25" t="s">
        <v>140</v>
      </c>
      <c r="G170" s="78">
        <f>+G163</f>
        <v>1</v>
      </c>
      <c r="H170" s="69"/>
      <c r="I170" s="445">
        <f>+G170*D170</f>
        <v>0</v>
      </c>
      <c r="J170" s="25"/>
      <c r="K170" s="76"/>
      <c r="L170" s="452"/>
    </row>
    <row r="171" spans="1:13">
      <c r="A171" s="2">
        <v>12</v>
      </c>
      <c r="B171" s="32" t="s">
        <v>219</v>
      </c>
      <c r="C171" s="25"/>
      <c r="D171" s="25">
        <f>SUM(D168:D170)</f>
        <v>124074394</v>
      </c>
      <c r="E171" s="25"/>
      <c r="F171" s="25"/>
      <c r="G171" s="69"/>
      <c r="H171" s="69"/>
      <c r="I171" s="69">
        <f>SUM(I168:I170)</f>
        <v>124074394</v>
      </c>
      <c r="J171" s="25"/>
      <c r="K171" s="25"/>
      <c r="L171" s="452"/>
      <c r="M171" s="767"/>
    </row>
    <row r="172" spans="1:13">
      <c r="A172" s="2"/>
      <c r="B172" s="32"/>
      <c r="C172" s="25"/>
      <c r="D172" s="25"/>
      <c r="E172" s="25"/>
      <c r="F172" s="25"/>
      <c r="G172" s="69"/>
      <c r="H172" s="69"/>
      <c r="I172" s="69"/>
      <c r="J172" s="25"/>
      <c r="K172" s="25"/>
      <c r="L172" s="25"/>
    </row>
    <row r="173" spans="1:13">
      <c r="A173" s="2" t="s">
        <v>68</v>
      </c>
      <c r="B173" s="32" t="s">
        <v>218</v>
      </c>
      <c r="C173" s="40"/>
      <c r="D173" s="25"/>
      <c r="E173" s="25"/>
      <c r="F173" s="25"/>
      <c r="G173" s="69"/>
      <c r="H173" s="69"/>
      <c r="I173" s="69"/>
      <c r="J173" s="25"/>
      <c r="K173" s="25"/>
      <c r="L173" s="25"/>
    </row>
    <row r="174" spans="1:13">
      <c r="A174" s="2"/>
      <c r="B174" s="32" t="s">
        <v>217</v>
      </c>
      <c r="C174" s="40"/>
      <c r="D174" s="40"/>
      <c r="E174" s="25"/>
      <c r="F174" s="25"/>
      <c r="G174" s="34"/>
      <c r="H174" s="69"/>
      <c r="I174" s="34"/>
      <c r="J174" s="25"/>
      <c r="K174" s="76"/>
      <c r="L174" s="44"/>
    </row>
    <row r="175" spans="1:13">
      <c r="A175" s="2">
        <v>13</v>
      </c>
      <c r="B175" s="32" t="s">
        <v>216</v>
      </c>
      <c r="C175" s="25" t="s">
        <v>208</v>
      </c>
      <c r="D175" s="73">
        <v>3691816.58</v>
      </c>
      <c r="E175" s="25"/>
      <c r="F175" s="25" t="s">
        <v>214</v>
      </c>
      <c r="G175" s="70">
        <f>+G169</f>
        <v>1</v>
      </c>
      <c r="H175" s="69"/>
      <c r="I175" s="69">
        <f>+G175*D175</f>
        <v>3691816.58</v>
      </c>
      <c r="J175" s="25"/>
      <c r="K175" s="76"/>
      <c r="L175" s="452"/>
    </row>
    <row r="176" spans="1:13">
      <c r="A176" s="2">
        <v>14</v>
      </c>
      <c r="B176" s="32" t="s">
        <v>215</v>
      </c>
      <c r="C176" s="25" t="s">
        <v>208</v>
      </c>
      <c r="D176" s="73">
        <v>0</v>
      </c>
      <c r="E176" s="25"/>
      <c r="F176" s="25" t="s">
        <v>214</v>
      </c>
      <c r="G176" s="70">
        <f>+G175</f>
        <v>1</v>
      </c>
      <c r="H176" s="69"/>
      <c r="I176" s="69">
        <f>+G176*D176</f>
        <v>0</v>
      </c>
      <c r="J176" s="25"/>
      <c r="K176" s="76"/>
      <c r="L176" s="452"/>
    </row>
    <row r="177" spans="1:13">
      <c r="A177" s="2">
        <v>15</v>
      </c>
      <c r="B177" s="32" t="s">
        <v>213</v>
      </c>
      <c r="C177" s="25" t="s">
        <v>68</v>
      </c>
      <c r="D177" s="40"/>
      <c r="E177" s="25"/>
      <c r="F177" s="25"/>
      <c r="G177" s="34"/>
      <c r="H177" s="69"/>
      <c r="I177" s="34"/>
      <c r="J177" s="25"/>
      <c r="K177" s="76"/>
      <c r="L177" s="452"/>
    </row>
    <row r="178" spans="1:13">
      <c r="A178" s="2">
        <v>16</v>
      </c>
      <c r="B178" s="32" t="s">
        <v>212</v>
      </c>
      <c r="C178" s="25" t="s">
        <v>208</v>
      </c>
      <c r="D178" s="73">
        <v>11092892.119999999</v>
      </c>
      <c r="E178" s="25"/>
      <c r="F178" s="25" t="s">
        <v>206</v>
      </c>
      <c r="G178" s="70">
        <f>+G92</f>
        <v>1</v>
      </c>
      <c r="H178" s="69"/>
      <c r="I178" s="69">
        <f>+G178*D178</f>
        <v>11092892.119999999</v>
      </c>
      <c r="J178" s="25"/>
      <c r="K178" s="76"/>
      <c r="L178" s="452"/>
    </row>
    <row r="179" spans="1:13">
      <c r="A179" s="2">
        <v>17</v>
      </c>
      <c r="B179" s="32" t="s">
        <v>211</v>
      </c>
      <c r="C179" s="25" t="s">
        <v>208</v>
      </c>
      <c r="D179" s="73">
        <v>0</v>
      </c>
      <c r="E179" s="25"/>
      <c r="F179" s="67" t="s">
        <v>189</v>
      </c>
      <c r="G179" s="118" t="s">
        <v>210</v>
      </c>
      <c r="H179" s="69"/>
      <c r="I179" s="69">
        <v>0</v>
      </c>
      <c r="J179" s="25"/>
      <c r="K179" s="76"/>
      <c r="L179" s="452"/>
    </row>
    <row r="180" spans="1:13">
      <c r="A180" s="2">
        <v>18</v>
      </c>
      <c r="B180" s="32" t="s">
        <v>209</v>
      </c>
      <c r="C180" s="25" t="s">
        <v>208</v>
      </c>
      <c r="D180" s="73">
        <v>5621399.21</v>
      </c>
      <c r="E180" s="25"/>
      <c r="F180" s="25" t="s">
        <v>206</v>
      </c>
      <c r="G180" s="70">
        <f>+G178</f>
        <v>1</v>
      </c>
      <c r="H180" s="69"/>
      <c r="I180" s="69">
        <f>+G180*D180</f>
        <v>5621399.21</v>
      </c>
      <c r="J180" s="25"/>
      <c r="K180" s="76"/>
      <c r="L180" s="452"/>
      <c r="M180" s="767"/>
    </row>
    <row r="181" spans="1:13" ht="16.5" thickBot="1">
      <c r="A181" s="2">
        <v>19</v>
      </c>
      <c r="B181" s="32" t="s">
        <v>207</v>
      </c>
      <c r="C181" s="25"/>
      <c r="D181" s="416">
        <v>0</v>
      </c>
      <c r="E181" s="25"/>
      <c r="F181" s="25" t="s">
        <v>206</v>
      </c>
      <c r="G181" s="70">
        <f>+G178</f>
        <v>1</v>
      </c>
      <c r="H181" s="69"/>
      <c r="I181" s="445">
        <f>+G181*D181</f>
        <v>0</v>
      </c>
      <c r="J181" s="25"/>
      <c r="K181" s="76"/>
      <c r="L181" s="452"/>
    </row>
    <row r="182" spans="1:13">
      <c r="A182" s="2">
        <v>20</v>
      </c>
      <c r="B182" s="32" t="s">
        <v>205</v>
      </c>
      <c r="C182" s="25"/>
      <c r="D182" s="25">
        <f>SUM(D175:D181)</f>
        <v>20406107.91</v>
      </c>
      <c r="E182" s="25"/>
      <c r="F182" s="25"/>
      <c r="G182" s="70"/>
      <c r="H182" s="69"/>
      <c r="I182" s="69">
        <f>SUM(I175:I181)</f>
        <v>20406107.91</v>
      </c>
      <c r="J182" s="25"/>
      <c r="K182" s="25"/>
      <c r="L182" s="452"/>
      <c r="M182" s="766"/>
    </row>
    <row r="183" spans="1:13">
      <c r="A183" s="2"/>
      <c r="B183" s="32"/>
      <c r="C183" s="25"/>
      <c r="D183" s="25"/>
      <c r="E183" s="25"/>
      <c r="F183" s="25"/>
      <c r="G183" s="72"/>
      <c r="H183" s="25"/>
      <c r="I183" s="25"/>
      <c r="J183" s="25"/>
      <c r="K183" s="25"/>
      <c r="L183" s="117"/>
    </row>
    <row r="184" spans="1:13">
      <c r="A184" s="2" t="s">
        <v>68</v>
      </c>
      <c r="B184" s="32" t="s">
        <v>204</v>
      </c>
      <c r="C184" s="25" t="s">
        <v>203</v>
      </c>
      <c r="D184" s="25"/>
      <c r="E184" s="25"/>
      <c r="F184" s="40"/>
      <c r="G184" s="71"/>
      <c r="H184" s="25"/>
      <c r="I184" s="40"/>
      <c r="J184" s="25"/>
      <c r="K184" s="40"/>
      <c r="L184" s="25"/>
    </row>
    <row r="185" spans="1:13">
      <c r="A185" s="2">
        <v>21</v>
      </c>
      <c r="B185" s="112" t="s">
        <v>202</v>
      </c>
      <c r="C185" s="25"/>
      <c r="D185" s="116">
        <f>IF(D312&gt;0,(1-((1-D313)*(1-D312))/(1-D313*D312*D314))*(1-D315),0)</f>
        <v>0.36794682690178548</v>
      </c>
      <c r="E185" s="25"/>
      <c r="F185" s="40"/>
      <c r="G185" s="71"/>
      <c r="H185" s="25"/>
      <c r="I185" s="40"/>
      <c r="J185" s="25"/>
      <c r="K185" s="40"/>
      <c r="L185" s="25"/>
    </row>
    <row r="186" spans="1:13">
      <c r="A186" s="2">
        <v>22</v>
      </c>
      <c r="B186" s="40" t="s">
        <v>201</v>
      </c>
      <c r="C186" s="25"/>
      <c r="D186" s="116">
        <f>IF(I271&gt;0,(D185/(1-D185))*(1-I268/I271),0)</f>
        <v>0.41924507424490798</v>
      </c>
      <c r="E186" s="25"/>
      <c r="F186" s="40"/>
      <c r="G186" s="71"/>
      <c r="H186" s="25"/>
      <c r="I186" s="40"/>
      <c r="J186" s="25"/>
      <c r="K186" s="40"/>
      <c r="L186" s="25"/>
    </row>
    <row r="187" spans="1:13">
      <c r="A187" s="2"/>
      <c r="B187" s="32" t="s">
        <v>485</v>
      </c>
      <c r="C187" s="25"/>
      <c r="D187" s="25"/>
      <c r="E187" s="25"/>
      <c r="F187" s="40"/>
      <c r="G187" s="71"/>
      <c r="H187" s="25"/>
      <c r="I187" s="40"/>
      <c r="J187" s="25"/>
      <c r="K187" s="40"/>
      <c r="L187" s="25"/>
    </row>
    <row r="188" spans="1:13">
      <c r="A188" s="2"/>
      <c r="B188" s="32" t="s">
        <v>200</v>
      </c>
      <c r="C188" s="25"/>
      <c r="D188" s="25"/>
      <c r="E188" s="25"/>
      <c r="F188" s="40"/>
      <c r="G188" s="71"/>
      <c r="H188" s="25"/>
      <c r="I188" s="40"/>
      <c r="J188" s="25"/>
      <c r="K188" s="40"/>
      <c r="L188" s="25"/>
    </row>
    <row r="189" spans="1:13">
      <c r="A189" s="2">
        <v>23</v>
      </c>
      <c r="B189" s="112" t="s">
        <v>199</v>
      </c>
      <c r="C189" s="25"/>
      <c r="D189" s="115">
        <f>IF(D185&gt;0,1/(1-D185),0)</f>
        <v>1.5821453677673576</v>
      </c>
      <c r="E189" s="25"/>
      <c r="F189" s="40"/>
      <c r="G189" s="71"/>
      <c r="H189" s="25"/>
      <c r="I189" s="40"/>
      <c r="J189" s="25"/>
      <c r="K189" s="40"/>
      <c r="L189" s="25"/>
    </row>
    <row r="190" spans="1:13">
      <c r="A190" s="2">
        <v>24</v>
      </c>
      <c r="B190" s="32" t="s">
        <v>198</v>
      </c>
      <c r="C190" s="25"/>
      <c r="D190" s="73">
        <v>-161592</v>
      </c>
      <c r="E190" s="25"/>
      <c r="F190" s="40"/>
      <c r="G190" s="71"/>
      <c r="H190" s="25"/>
      <c r="I190" s="40"/>
      <c r="J190" s="25"/>
      <c r="K190" s="40"/>
      <c r="L190" s="25"/>
    </row>
    <row r="191" spans="1:13">
      <c r="A191" s="2" t="s">
        <v>30</v>
      </c>
      <c r="B191" s="32" t="s">
        <v>197</v>
      </c>
      <c r="C191" s="25"/>
      <c r="D191" s="73">
        <f>'Excess Deferreds'!B21</f>
        <v>39060</v>
      </c>
      <c r="E191" s="25"/>
      <c r="F191" s="40"/>
      <c r="G191" s="114"/>
      <c r="H191" s="25"/>
      <c r="I191" s="40"/>
      <c r="J191" s="25"/>
      <c r="K191" s="40"/>
      <c r="L191" s="25"/>
    </row>
    <row r="192" spans="1:13">
      <c r="A192" s="2" t="s">
        <v>29</v>
      </c>
      <c r="B192" s="32" t="s">
        <v>27</v>
      </c>
      <c r="C192" s="25"/>
      <c r="D192" s="73">
        <f>Permanent!B17</f>
        <v>266433</v>
      </c>
      <c r="E192" s="25"/>
      <c r="F192" s="40"/>
      <c r="G192" s="71"/>
      <c r="H192" s="25"/>
      <c r="I192" s="40"/>
      <c r="J192" s="25"/>
      <c r="K192" s="40"/>
      <c r="L192" s="25"/>
    </row>
    <row r="193" spans="1:13">
      <c r="A193" s="2">
        <v>25</v>
      </c>
      <c r="B193" s="112" t="s">
        <v>196</v>
      </c>
      <c r="C193" s="111"/>
      <c r="D193" s="69">
        <f>D186*D199</f>
        <v>103347001.98352012</v>
      </c>
      <c r="E193" s="69"/>
      <c r="F193" s="69" t="s">
        <v>189</v>
      </c>
      <c r="G193" s="70"/>
      <c r="H193" s="69"/>
      <c r="I193" s="69">
        <f>D186*I199</f>
        <v>103261522.80762175</v>
      </c>
      <c r="J193" s="25"/>
      <c r="K193" s="110"/>
      <c r="L193" s="452"/>
    </row>
    <row r="194" spans="1:13">
      <c r="A194" s="2">
        <v>26</v>
      </c>
      <c r="B194" s="40" t="s">
        <v>195</v>
      </c>
      <c r="C194" s="111"/>
      <c r="D194" s="97">
        <f>D189*D190</f>
        <v>-255662.03426826285</v>
      </c>
      <c r="E194" s="69"/>
      <c r="F194" s="34" t="s">
        <v>192</v>
      </c>
      <c r="G194" s="70">
        <f>G110</f>
        <v>1</v>
      </c>
      <c r="H194" s="69"/>
      <c r="I194" s="97">
        <f>G194*D194</f>
        <v>-255662.03426826285</v>
      </c>
      <c r="J194" s="25"/>
      <c r="K194" s="110"/>
      <c r="L194" s="452"/>
    </row>
    <row r="195" spans="1:13">
      <c r="A195" s="2" t="s">
        <v>194</v>
      </c>
      <c r="B195" s="40" t="s">
        <v>193</v>
      </c>
      <c r="C195" s="111"/>
      <c r="D195" s="97">
        <f>D189*D191</f>
        <v>61798.598064992984</v>
      </c>
      <c r="E195" s="69"/>
      <c r="F195" s="34" t="s">
        <v>192</v>
      </c>
      <c r="G195" s="70">
        <f>G194</f>
        <v>1</v>
      </c>
      <c r="H195" s="69"/>
      <c r="I195" s="97">
        <f>G195*D195</f>
        <v>61798.598064992984</v>
      </c>
      <c r="J195" s="25"/>
      <c r="K195" s="110"/>
      <c r="L195" s="452"/>
    </row>
    <row r="196" spans="1:13" ht="16.5" thickBot="1">
      <c r="A196" s="2" t="s">
        <v>28</v>
      </c>
      <c r="B196" s="40" t="s">
        <v>26</v>
      </c>
      <c r="C196" s="111"/>
      <c r="D196" s="445">
        <f>D189*D192</f>
        <v>421535.73677036038</v>
      </c>
      <c r="E196" s="69"/>
      <c r="F196" s="34" t="s">
        <v>192</v>
      </c>
      <c r="G196" s="70">
        <f>G195</f>
        <v>1</v>
      </c>
      <c r="H196" s="69"/>
      <c r="I196" s="445">
        <f>G196*D196</f>
        <v>421535.73677036038</v>
      </c>
      <c r="J196" s="25"/>
      <c r="K196" s="110"/>
      <c r="L196" s="452"/>
    </row>
    <row r="197" spans="1:13">
      <c r="A197" s="2">
        <v>27</v>
      </c>
      <c r="B197" s="106" t="s">
        <v>191</v>
      </c>
      <c r="C197" s="40"/>
      <c r="D197" s="109">
        <f>SUM(D193:D196)</f>
        <v>103574674.28408721</v>
      </c>
      <c r="E197" s="69"/>
      <c r="F197" s="69" t="s">
        <v>68</v>
      </c>
      <c r="G197" s="70" t="s">
        <v>68</v>
      </c>
      <c r="H197" s="69"/>
      <c r="I197" s="109">
        <f>SUM(I193:I196)</f>
        <v>103489195.10818884</v>
      </c>
      <c r="J197" s="25"/>
      <c r="K197" s="25"/>
      <c r="L197" s="452"/>
      <c r="M197" s="768"/>
    </row>
    <row r="198" spans="1:13">
      <c r="A198" s="2" t="s">
        <v>68</v>
      </c>
      <c r="B198" s="40"/>
      <c r="C198" s="108"/>
      <c r="D198" s="107"/>
      <c r="E198" s="25"/>
      <c r="F198" s="25"/>
      <c r="G198" s="72"/>
      <c r="H198" s="25"/>
      <c r="I198" s="107"/>
      <c r="J198" s="25"/>
      <c r="K198" s="25"/>
      <c r="L198" s="447"/>
    </row>
    <row r="199" spans="1:13">
      <c r="A199" s="2">
        <v>28</v>
      </c>
      <c r="B199" s="32" t="s">
        <v>190</v>
      </c>
      <c r="C199" s="76"/>
      <c r="D199" s="69">
        <f>+$I271*D128</f>
        <v>246507373.21042082</v>
      </c>
      <c r="E199" s="69"/>
      <c r="F199" s="69" t="s">
        <v>189</v>
      </c>
      <c r="G199" s="105"/>
      <c r="H199" s="69"/>
      <c r="I199" s="69">
        <f>+$I271*I128</f>
        <v>246303484.88554946</v>
      </c>
      <c r="J199" s="25"/>
      <c r="K199" s="40"/>
      <c r="L199" s="452"/>
      <c r="M199" s="768"/>
    </row>
    <row r="200" spans="1:13">
      <c r="A200" s="2"/>
      <c r="B200" s="106" t="s">
        <v>188</v>
      </c>
      <c r="C200" s="40"/>
      <c r="D200" s="69"/>
      <c r="E200" s="69"/>
      <c r="F200" s="69"/>
      <c r="G200" s="105"/>
      <c r="H200" s="69"/>
      <c r="I200" s="69"/>
      <c r="J200" s="25"/>
      <c r="K200" s="76"/>
      <c r="L200" s="25"/>
    </row>
    <row r="201" spans="1:13">
      <c r="A201" s="2"/>
      <c r="B201" s="32"/>
      <c r="C201" s="40"/>
      <c r="D201" s="97"/>
      <c r="E201" s="69"/>
      <c r="F201" s="69"/>
      <c r="G201" s="105"/>
      <c r="H201" s="69"/>
      <c r="I201" s="97"/>
      <c r="J201" s="25"/>
      <c r="K201" s="76"/>
    </row>
    <row r="202" spans="1:13">
      <c r="A202" s="2">
        <v>29</v>
      </c>
      <c r="B202" s="32" t="s">
        <v>187</v>
      </c>
      <c r="C202" s="25"/>
      <c r="D202" s="97">
        <f>+D199+D197+D182+D171+D165</f>
        <v>653739242.97450805</v>
      </c>
      <c r="E202" s="69"/>
      <c r="F202" s="69"/>
      <c r="G202" s="69"/>
      <c r="H202" s="69"/>
      <c r="I202" s="97">
        <f>+I199+I197+I182+I171+I165</f>
        <v>637410111.89561868</v>
      </c>
      <c r="J202" s="31"/>
      <c r="K202" s="769"/>
      <c r="L202" s="452"/>
      <c r="M202" s="767"/>
    </row>
    <row r="203" spans="1:13">
      <c r="A203" s="2"/>
      <c r="B203" s="32"/>
      <c r="C203" s="25"/>
      <c r="D203" s="97"/>
      <c r="E203" s="69"/>
      <c r="F203" s="69"/>
      <c r="G203" s="69"/>
      <c r="H203" s="69"/>
      <c r="I203" s="97"/>
      <c r="J203" s="31"/>
      <c r="K203" s="769"/>
      <c r="L203" s="141"/>
    </row>
    <row r="204" spans="1:13">
      <c r="A204" s="38">
        <v>30</v>
      </c>
      <c r="B204" s="446" t="s">
        <v>549</v>
      </c>
      <c r="C204" s="69"/>
      <c r="D204" s="101"/>
      <c r="E204" s="102"/>
      <c r="F204" s="102"/>
      <c r="G204" s="102"/>
      <c r="H204" s="102"/>
      <c r="I204" s="101"/>
      <c r="J204" s="31"/>
      <c r="K204" s="769"/>
      <c r="L204" s="31"/>
    </row>
    <row r="205" spans="1:13">
      <c r="A205" s="38"/>
      <c r="B205" s="862" t="s">
        <v>184</v>
      </c>
      <c r="C205" s="862"/>
      <c r="D205" s="35"/>
      <c r="E205" s="35"/>
      <c r="F205" s="35"/>
      <c r="G205" s="35"/>
      <c r="H205" s="35"/>
      <c r="I205" s="35"/>
      <c r="J205" s="31"/>
      <c r="K205" s="769"/>
      <c r="L205" s="31"/>
    </row>
    <row r="206" spans="1:13">
      <c r="A206" s="38"/>
      <c r="B206" s="103" t="s">
        <v>186</v>
      </c>
      <c r="C206" s="69"/>
      <c r="D206" s="506">
        <f>'ATC Attach GG ER13-2297'!N103</f>
        <v>85372458.202566653</v>
      </c>
      <c r="E206" s="69"/>
      <c r="F206" s="69"/>
      <c r="G206" s="69"/>
      <c r="H206" s="69"/>
      <c r="I206" s="483">
        <f>+D206</f>
        <v>85372458.202566653</v>
      </c>
      <c r="J206" s="31"/>
      <c r="K206" s="769"/>
      <c r="L206" s="452"/>
    </row>
    <row r="207" spans="1:13">
      <c r="A207" s="2"/>
      <c r="B207" s="32"/>
      <c r="C207" s="25"/>
      <c r="D207" s="97"/>
      <c r="E207" s="69"/>
      <c r="F207" s="69"/>
      <c r="G207" s="69"/>
      <c r="H207" s="69"/>
      <c r="I207" s="97"/>
      <c r="J207" s="31"/>
      <c r="K207" s="769"/>
      <c r="L207" s="31"/>
    </row>
    <row r="208" spans="1:13" s="35" customFormat="1" ht="15.75" customHeight="1">
      <c r="A208" s="38" t="s">
        <v>185</v>
      </c>
      <c r="B208" s="446" t="s">
        <v>548</v>
      </c>
      <c r="C208" s="69"/>
      <c r="D208" s="101"/>
      <c r="E208" s="102"/>
      <c r="F208" s="102"/>
      <c r="G208" s="102"/>
      <c r="H208" s="102"/>
      <c r="I208" s="101"/>
      <c r="J208" s="100"/>
      <c r="K208" s="770"/>
    </row>
    <row r="209" spans="1:12" s="35" customFormat="1">
      <c r="A209" s="38"/>
      <c r="B209" s="862" t="s">
        <v>184</v>
      </c>
      <c r="C209" s="862"/>
      <c r="J209" s="100"/>
      <c r="K209" s="770"/>
    </row>
    <row r="210" spans="1:12" s="35" customFormat="1" ht="16.5" thickBot="1">
      <c r="A210" s="38"/>
      <c r="B210" s="103" t="s">
        <v>183</v>
      </c>
      <c r="C210" s="69"/>
      <c r="D210" s="507">
        <f>'ATC Attach MM ER13-12'!R100</f>
        <v>9618319.5842303559</v>
      </c>
      <c r="E210" s="69"/>
      <c r="F210" s="69"/>
      <c r="G210" s="69"/>
      <c r="H210" s="69"/>
      <c r="I210" s="484">
        <f>+D210</f>
        <v>9618319.5842303559</v>
      </c>
      <c r="J210" s="100"/>
      <c r="K210" s="769"/>
      <c r="L210" s="452"/>
    </row>
    <row r="211" spans="1:12" s="35" customFormat="1" ht="16.5" customHeight="1" thickBot="1">
      <c r="A211" s="38">
        <v>31</v>
      </c>
      <c r="B211" s="34" t="s">
        <v>182</v>
      </c>
      <c r="C211" s="102"/>
      <c r="D211" s="104">
        <f>+D202-D206-D210</f>
        <v>558748465.18771112</v>
      </c>
      <c r="E211" s="69"/>
      <c r="F211" s="69"/>
      <c r="G211" s="69"/>
      <c r="H211" s="69"/>
      <c r="I211" s="104">
        <f>+I202-I206-I210</f>
        <v>542419334.10882175</v>
      </c>
      <c r="J211" s="100"/>
      <c r="K211" s="775"/>
      <c r="L211" s="452"/>
    </row>
    <row r="212" spans="1:12" s="35" customFormat="1" ht="16.5" thickTop="1">
      <c r="A212" s="38"/>
      <c r="B212" s="103" t="s">
        <v>181</v>
      </c>
      <c r="C212" s="102"/>
      <c r="D212" s="101"/>
      <c r="E212" s="102"/>
      <c r="F212" s="102"/>
      <c r="G212" s="102"/>
      <c r="H212" s="102"/>
      <c r="I212" s="101"/>
      <c r="J212" s="100"/>
      <c r="K212" s="99"/>
    </row>
    <row r="213" spans="1:12">
      <c r="A213" s="2"/>
      <c r="B213" s="32"/>
      <c r="C213" s="25"/>
      <c r="D213" s="97"/>
      <c r="E213" s="69"/>
      <c r="F213" s="69"/>
      <c r="G213" s="98"/>
      <c r="H213" s="69"/>
      <c r="I213" s="97"/>
      <c r="J213" s="25"/>
      <c r="K213" s="76"/>
      <c r="L213" s="25"/>
    </row>
    <row r="214" spans="1:12">
      <c r="A214" s="2"/>
      <c r="B214" s="32"/>
      <c r="C214" s="25"/>
      <c r="D214" s="97"/>
      <c r="E214" s="69"/>
      <c r="F214" s="69"/>
      <c r="G214" s="98"/>
      <c r="H214" s="69"/>
      <c r="I214" s="97"/>
      <c r="J214" s="25"/>
      <c r="K214" s="76"/>
      <c r="L214" s="25"/>
    </row>
    <row r="215" spans="1:12">
      <c r="A215" s="2"/>
      <c r="B215" s="32"/>
      <c r="C215" s="25"/>
      <c r="D215" s="97"/>
      <c r="E215" s="69"/>
      <c r="F215" s="69"/>
      <c r="G215" s="98"/>
      <c r="H215" s="69"/>
      <c r="I215" s="97"/>
      <c r="J215" s="25"/>
      <c r="K215" s="76"/>
      <c r="L215" s="25"/>
    </row>
    <row r="216" spans="1:12">
      <c r="A216" s="2"/>
      <c r="B216" s="40"/>
      <c r="C216" s="40"/>
      <c r="D216" s="40"/>
      <c r="E216" s="40"/>
      <c r="F216" s="40"/>
      <c r="G216" s="40"/>
      <c r="H216" s="40"/>
      <c r="I216" s="40"/>
      <c r="J216" s="25"/>
      <c r="K216" s="33" t="s">
        <v>180</v>
      </c>
      <c r="L216" s="25"/>
    </row>
    <row r="217" spans="1:12">
      <c r="A217" s="2"/>
      <c r="B217" s="40"/>
      <c r="C217" s="40"/>
      <c r="D217" s="40"/>
      <c r="E217" s="40"/>
      <c r="F217" s="40"/>
      <c r="G217" s="40"/>
      <c r="H217" s="40"/>
      <c r="I217" s="40"/>
      <c r="J217" s="25"/>
      <c r="K217" s="25"/>
      <c r="L217" s="25"/>
    </row>
    <row r="218" spans="1:12">
      <c r="A218" s="2"/>
      <c r="B218" s="32" t="s">
        <v>95</v>
      </c>
      <c r="C218" s="40"/>
      <c r="D218" s="40" t="s">
        <v>94</v>
      </c>
      <c r="E218" s="40"/>
      <c r="F218" s="40"/>
      <c r="G218" s="40"/>
      <c r="H218" s="40"/>
      <c r="J218" s="25"/>
      <c r="K218" s="132" t="str">
        <f>$K$3</f>
        <v>For the 12 months ended 12/31/2014</v>
      </c>
      <c r="L218" s="25"/>
    </row>
    <row r="219" spans="1:12">
      <c r="A219" s="2"/>
      <c r="B219" s="32"/>
      <c r="C219" s="40"/>
      <c r="D219" s="40" t="s">
        <v>93</v>
      </c>
      <c r="E219" s="40"/>
      <c r="F219" s="40"/>
      <c r="G219" s="40"/>
      <c r="H219" s="40"/>
      <c r="I219" s="40"/>
      <c r="J219" s="25"/>
      <c r="K219" s="25"/>
      <c r="L219" s="25"/>
    </row>
    <row r="220" spans="1:12">
      <c r="A220" s="2"/>
      <c r="B220" s="40"/>
      <c r="C220" s="40"/>
      <c r="D220" s="40"/>
      <c r="E220" s="40"/>
      <c r="F220" s="40"/>
      <c r="G220" s="40"/>
      <c r="H220" s="40"/>
      <c r="I220" s="40"/>
      <c r="J220" s="25"/>
      <c r="K220" s="25"/>
      <c r="L220" s="25"/>
    </row>
    <row r="221" spans="1:12">
      <c r="A221" s="861" t="str">
        <f>A6</f>
        <v>American Transmission Company LLC</v>
      </c>
      <c r="B221" s="861"/>
      <c r="C221" s="861"/>
      <c r="D221" s="861"/>
      <c r="E221" s="861"/>
      <c r="F221" s="861"/>
      <c r="G221" s="861"/>
      <c r="H221" s="861"/>
      <c r="I221" s="861"/>
      <c r="J221" s="861"/>
      <c r="K221" s="861"/>
      <c r="L221" s="25"/>
    </row>
    <row r="222" spans="1:12">
      <c r="A222" s="2"/>
      <c r="B222" s="40"/>
      <c r="C222" s="32"/>
      <c r="D222" s="32"/>
      <c r="E222" s="32"/>
      <c r="F222" s="32"/>
      <c r="G222" s="32"/>
      <c r="H222" s="32"/>
      <c r="I222" s="32"/>
      <c r="J222" s="32"/>
      <c r="K222" s="32"/>
      <c r="L222" s="32"/>
    </row>
    <row r="223" spans="1:12">
      <c r="A223" s="2"/>
      <c r="B223" s="40"/>
      <c r="C223" s="96" t="s">
        <v>179</v>
      </c>
      <c r="D223" s="40"/>
      <c r="E223" s="31"/>
      <c r="F223" s="31"/>
      <c r="G223" s="31"/>
      <c r="H223" s="31"/>
      <c r="I223" s="31"/>
      <c r="J223" s="25"/>
      <c r="K223" s="25"/>
      <c r="L223" s="31"/>
    </row>
    <row r="224" spans="1:12">
      <c r="A224" s="2" t="s">
        <v>8</v>
      </c>
      <c r="B224" s="96"/>
      <c r="C224" s="31"/>
      <c r="D224" s="31"/>
      <c r="E224" s="31"/>
      <c r="F224" s="31"/>
      <c r="G224" s="31"/>
      <c r="H224" s="31"/>
      <c r="I224" s="31"/>
      <c r="J224" s="25"/>
      <c r="K224" s="25"/>
      <c r="L224" s="31"/>
    </row>
    <row r="225" spans="1:12" ht="16.5" thickBot="1">
      <c r="A225" s="409" t="s">
        <v>178</v>
      </c>
      <c r="B225" s="95" t="s">
        <v>177</v>
      </c>
      <c r="C225" s="16"/>
      <c r="D225" s="16"/>
      <c r="E225" s="16"/>
      <c r="F225" s="16"/>
      <c r="G225" s="16"/>
      <c r="H225" s="82"/>
      <c r="I225" s="82"/>
      <c r="J225" s="67"/>
      <c r="K225" s="25"/>
      <c r="L225" s="31"/>
    </row>
    <row r="226" spans="1:12">
      <c r="A226" s="2">
        <v>1</v>
      </c>
      <c r="B226" s="19" t="s">
        <v>176</v>
      </c>
      <c r="C226" s="16"/>
      <c r="D226" s="67"/>
      <c r="E226" s="67"/>
      <c r="F226" s="67"/>
      <c r="G226" s="67"/>
      <c r="H226" s="67"/>
      <c r="I226" s="86">
        <f>D87</f>
        <v>4219250657</v>
      </c>
      <c r="J226" s="67"/>
      <c r="K226" s="25"/>
      <c r="L226" s="452"/>
    </row>
    <row r="227" spans="1:12">
      <c r="A227" s="2">
        <v>2</v>
      </c>
      <c r="B227" s="19" t="s">
        <v>175</v>
      </c>
      <c r="C227" s="82"/>
      <c r="D227" s="82"/>
      <c r="E227" s="82"/>
      <c r="F227" s="82"/>
      <c r="G227" s="82"/>
      <c r="H227" s="82"/>
      <c r="I227" s="73">
        <v>0</v>
      </c>
      <c r="J227" s="67"/>
      <c r="K227" s="25"/>
      <c r="L227" s="452"/>
    </row>
    <row r="228" spans="1:12" ht="16.5" thickBot="1">
      <c r="A228" s="2">
        <v>3</v>
      </c>
      <c r="B228" s="420" t="s">
        <v>174</v>
      </c>
      <c r="C228" s="419"/>
      <c r="E228" s="67"/>
      <c r="F228" s="67"/>
      <c r="G228" s="60"/>
      <c r="H228" s="67"/>
      <c r="I228" s="416">
        <v>0</v>
      </c>
      <c r="J228" s="67"/>
      <c r="K228" s="25"/>
      <c r="L228" s="452"/>
    </row>
    <row r="229" spans="1:12">
      <c r="A229" s="2">
        <v>4</v>
      </c>
      <c r="B229" s="19" t="s">
        <v>173</v>
      </c>
      <c r="C229" s="16"/>
      <c r="D229" s="67"/>
      <c r="E229" s="67"/>
      <c r="F229" s="67"/>
      <c r="G229" s="60"/>
      <c r="H229" s="67"/>
      <c r="I229" s="86">
        <f>I226-I227-I228</f>
        <v>4219250657</v>
      </c>
      <c r="J229" s="67"/>
      <c r="K229" s="25"/>
      <c r="L229" s="452"/>
    </row>
    <row r="230" spans="1:12" ht="11.25" customHeight="1">
      <c r="A230" s="2"/>
      <c r="B230" s="82"/>
      <c r="C230" s="16"/>
      <c r="D230" s="67"/>
      <c r="E230" s="67"/>
      <c r="F230" s="67"/>
      <c r="G230" s="60"/>
      <c r="H230" s="67"/>
      <c r="I230" s="82"/>
      <c r="J230" s="67"/>
      <c r="K230" s="25"/>
      <c r="L230" s="31"/>
    </row>
    <row r="231" spans="1:12">
      <c r="A231" s="2">
        <v>5</v>
      </c>
      <c r="B231" s="19" t="s">
        <v>172</v>
      </c>
      <c r="C231" s="89"/>
      <c r="D231" s="87"/>
      <c r="E231" s="87"/>
      <c r="F231" s="87"/>
      <c r="G231" s="88"/>
      <c r="H231" s="67" t="s">
        <v>171</v>
      </c>
      <c r="I231" s="94">
        <f>IF(I226&gt;0,I229/I226,0)</f>
        <v>1</v>
      </c>
      <c r="J231" s="67"/>
      <c r="K231" s="25"/>
      <c r="L231" s="31"/>
    </row>
    <row r="232" spans="1:12" ht="11.25" customHeight="1">
      <c r="A232" s="2"/>
      <c r="B232" s="82"/>
      <c r="C232" s="82"/>
      <c r="D232" s="82"/>
      <c r="E232" s="82"/>
      <c r="F232" s="82"/>
      <c r="G232" s="82"/>
      <c r="H232" s="82"/>
      <c r="I232" s="82"/>
      <c r="J232" s="67"/>
      <c r="K232" s="25"/>
      <c r="L232" s="31"/>
    </row>
    <row r="233" spans="1:12">
      <c r="A233" s="2"/>
      <c r="B233" s="93" t="s">
        <v>170</v>
      </c>
      <c r="C233" s="82"/>
      <c r="D233" s="82"/>
      <c r="E233" s="82"/>
      <c r="F233" s="82"/>
      <c r="G233" s="82"/>
      <c r="H233" s="82"/>
      <c r="I233" s="82"/>
      <c r="J233" s="67"/>
      <c r="K233" s="25"/>
      <c r="L233" s="31"/>
    </row>
    <row r="234" spans="1:12">
      <c r="A234" s="2">
        <v>6</v>
      </c>
      <c r="B234" s="82" t="s">
        <v>169</v>
      </c>
      <c r="C234" s="92"/>
      <c r="D234" s="16"/>
      <c r="E234" s="16"/>
      <c r="F234" s="16"/>
      <c r="G234" s="91"/>
      <c r="H234" s="16"/>
      <c r="I234" s="86">
        <f>D156</f>
        <v>118677017.17999999</v>
      </c>
      <c r="J234" s="67"/>
      <c r="K234" s="25"/>
      <c r="L234" s="452"/>
    </row>
    <row r="235" spans="1:12" ht="16.5" thickBot="1">
      <c r="A235" s="2">
        <v>7</v>
      </c>
      <c r="B235" s="420" t="s">
        <v>168</v>
      </c>
      <c r="C235" s="419"/>
      <c r="E235" s="90"/>
      <c r="F235" s="67"/>
      <c r="G235" s="67"/>
      <c r="H235" s="67"/>
      <c r="I235" s="416">
        <f>'ATC Sch 1 - True up Adjustment'!G20</f>
        <v>15972177.52</v>
      </c>
      <c r="J235" s="67"/>
      <c r="K235" s="443"/>
      <c r="L235" s="452"/>
    </row>
    <row r="236" spans="1:12">
      <c r="A236" s="2">
        <v>8</v>
      </c>
      <c r="B236" s="19" t="s">
        <v>167</v>
      </c>
      <c r="C236" s="89"/>
      <c r="D236" s="87"/>
      <c r="E236" s="87"/>
      <c r="F236" s="87"/>
      <c r="G236" s="88"/>
      <c r="H236" s="87"/>
      <c r="I236" s="86">
        <f>+I234-I235</f>
        <v>102704839.66</v>
      </c>
      <c r="J236" s="82"/>
      <c r="K236" s="40"/>
      <c r="L236" s="452"/>
    </row>
    <row r="237" spans="1:12" ht="11.25" customHeight="1">
      <c r="A237" s="2"/>
      <c r="B237" s="19"/>
      <c r="C237" s="16"/>
      <c r="D237" s="67"/>
      <c r="E237" s="67"/>
      <c r="F237" s="67"/>
      <c r="G237" s="67"/>
      <c r="H237" s="82"/>
      <c r="I237" s="82"/>
      <c r="J237" s="82"/>
      <c r="K237" s="40"/>
      <c r="L237" s="25"/>
    </row>
    <row r="238" spans="1:12">
      <c r="A238" s="2">
        <v>9</v>
      </c>
      <c r="B238" s="19" t="s">
        <v>166</v>
      </c>
      <c r="C238" s="16"/>
      <c r="D238" s="67"/>
      <c r="E238" s="67"/>
      <c r="F238" s="67"/>
      <c r="G238" s="67"/>
      <c r="H238" s="67"/>
      <c r="I238" s="85">
        <f>IF(I234&gt;0,I236/I234,0)</f>
        <v>0.86541473741478814</v>
      </c>
      <c r="J238" s="82"/>
      <c r="K238" s="40"/>
      <c r="L238" s="452"/>
    </row>
    <row r="239" spans="1:12">
      <c r="A239" s="2">
        <v>10</v>
      </c>
      <c r="B239" s="19" t="s">
        <v>165</v>
      </c>
      <c r="C239" s="16"/>
      <c r="D239" s="67"/>
      <c r="E239" s="67"/>
      <c r="F239" s="67"/>
      <c r="G239" s="67"/>
      <c r="H239" s="16" t="s">
        <v>160</v>
      </c>
      <c r="I239" s="84">
        <f>I231</f>
        <v>1</v>
      </c>
      <c r="J239" s="82"/>
      <c r="K239" s="40"/>
      <c r="L239" s="452"/>
    </row>
    <row r="240" spans="1:12">
      <c r="A240" s="2">
        <v>11</v>
      </c>
      <c r="B240" s="19" t="s">
        <v>164</v>
      </c>
      <c r="C240" s="16"/>
      <c r="D240" s="16"/>
      <c r="E240" s="16"/>
      <c r="F240" s="16"/>
      <c r="G240" s="16"/>
      <c r="H240" s="16" t="s">
        <v>163</v>
      </c>
      <c r="I240" s="83">
        <f>+I239*I238</f>
        <v>0.86541473741478814</v>
      </c>
      <c r="J240" s="82"/>
      <c r="K240" s="40"/>
      <c r="L240" s="452"/>
    </row>
    <row r="241" spans="1:12" ht="11.25" customHeight="1">
      <c r="A241" s="2"/>
      <c r="B241" s="40"/>
      <c r="C241" s="40"/>
      <c r="D241" s="40"/>
      <c r="E241" s="40"/>
      <c r="F241" s="40"/>
      <c r="G241" s="40"/>
      <c r="H241" s="40"/>
      <c r="I241" s="40"/>
      <c r="J241" s="40"/>
      <c r="K241" s="40"/>
      <c r="L241" s="25"/>
    </row>
    <row r="242" spans="1:12">
      <c r="A242" s="2" t="s">
        <v>68</v>
      </c>
      <c r="B242" s="32" t="s">
        <v>162</v>
      </c>
      <c r="C242" s="25"/>
      <c r="D242" s="25"/>
      <c r="E242" s="25"/>
      <c r="F242" s="25"/>
      <c r="G242" s="25"/>
      <c r="H242" s="25"/>
      <c r="I242" s="25"/>
      <c r="J242" s="25"/>
      <c r="K242" s="25"/>
      <c r="L242" s="25"/>
    </row>
    <row r="243" spans="1:12" ht="16.5" thickBot="1">
      <c r="A243" s="2" t="s">
        <v>68</v>
      </c>
      <c r="B243" s="32"/>
      <c r="C243" s="417" t="s">
        <v>161</v>
      </c>
      <c r="D243" s="414" t="s">
        <v>122</v>
      </c>
      <c r="E243" s="414" t="s">
        <v>160</v>
      </c>
      <c r="F243" s="25"/>
      <c r="G243" s="414" t="s">
        <v>159</v>
      </c>
      <c r="H243" s="25"/>
      <c r="I243" s="25"/>
      <c r="J243" s="25"/>
      <c r="K243" s="25"/>
      <c r="L243" s="25"/>
    </row>
    <row r="244" spans="1:12">
      <c r="A244" s="2">
        <v>12</v>
      </c>
      <c r="B244" s="32" t="s">
        <v>158</v>
      </c>
      <c r="C244" s="25" t="s">
        <v>157</v>
      </c>
      <c r="D244" s="73">
        <v>0</v>
      </c>
      <c r="E244" s="79">
        <v>0</v>
      </c>
      <c r="F244" s="79"/>
      <c r="G244" s="69">
        <f>D244*E244</f>
        <v>0</v>
      </c>
      <c r="H244" s="69"/>
      <c r="I244" s="69"/>
      <c r="J244" s="25"/>
      <c r="K244" s="25"/>
      <c r="L244" s="25"/>
    </row>
    <row r="245" spans="1:12">
      <c r="A245" s="2">
        <v>13</v>
      </c>
      <c r="B245" s="32" t="s">
        <v>156</v>
      </c>
      <c r="C245" s="25" t="s">
        <v>155</v>
      </c>
      <c r="D245" s="73">
        <v>57649072</v>
      </c>
      <c r="E245" s="81">
        <f>+I231</f>
        <v>1</v>
      </c>
      <c r="F245" s="79"/>
      <c r="G245" s="69">
        <f>D245*E245</f>
        <v>57649072</v>
      </c>
      <c r="H245" s="69"/>
      <c r="I245" s="69"/>
      <c r="J245" s="25"/>
      <c r="K245" s="25"/>
      <c r="L245" s="443"/>
    </row>
    <row r="246" spans="1:12">
      <c r="A246" s="2">
        <v>14</v>
      </c>
      <c r="B246" s="32" t="s">
        <v>154</v>
      </c>
      <c r="C246" s="25" t="s">
        <v>153</v>
      </c>
      <c r="D246" s="73">
        <v>0</v>
      </c>
      <c r="E246" s="79">
        <v>0</v>
      </c>
      <c r="F246" s="79"/>
      <c r="G246" s="69">
        <f>D246*E246</f>
        <v>0</v>
      </c>
      <c r="H246" s="69"/>
      <c r="I246" s="80" t="s">
        <v>145</v>
      </c>
      <c r="J246" s="25"/>
      <c r="K246" s="25"/>
      <c r="L246" s="25"/>
    </row>
    <row r="247" spans="1:12" ht="16.5" thickBot="1">
      <c r="A247" s="2">
        <v>15</v>
      </c>
      <c r="B247" s="32" t="s">
        <v>152</v>
      </c>
      <c r="C247" s="25" t="s">
        <v>151</v>
      </c>
      <c r="D247" s="416">
        <v>0</v>
      </c>
      <c r="E247" s="79">
        <v>0</v>
      </c>
      <c r="F247" s="79"/>
      <c r="G247" s="445">
        <f>D247*E247</f>
        <v>0</v>
      </c>
      <c r="H247" s="69"/>
      <c r="I247" s="444" t="s">
        <v>150</v>
      </c>
      <c r="J247" s="25"/>
      <c r="K247" s="25"/>
      <c r="L247" s="25"/>
    </row>
    <row r="248" spans="1:12">
      <c r="A248" s="2">
        <v>16</v>
      </c>
      <c r="B248" s="32" t="s">
        <v>149</v>
      </c>
      <c r="C248" s="25"/>
      <c r="D248" s="69">
        <f>SUM(D244:D247)</f>
        <v>57649072</v>
      </c>
      <c r="E248" s="25"/>
      <c r="F248" s="25"/>
      <c r="G248" s="69">
        <f>SUM(G244:G247)</f>
        <v>57649072</v>
      </c>
      <c r="H248" s="38" t="s">
        <v>136</v>
      </c>
      <c r="I248" s="78">
        <f>IF(G248&gt;0,G248/D248,0)</f>
        <v>1</v>
      </c>
      <c r="J248" s="44" t="s">
        <v>136</v>
      </c>
      <c r="K248" s="25" t="s">
        <v>148</v>
      </c>
      <c r="L248" s="25"/>
    </row>
    <row r="249" spans="1:12">
      <c r="A249" s="2" t="s">
        <v>68</v>
      </c>
      <c r="B249" s="32" t="s">
        <v>68</v>
      </c>
      <c r="C249" s="25" t="s">
        <v>68</v>
      </c>
      <c r="D249" s="40"/>
      <c r="E249" s="25"/>
      <c r="F249" s="25"/>
      <c r="G249" s="40"/>
      <c r="H249" s="40"/>
      <c r="I249" s="40"/>
      <c r="J249" s="40"/>
      <c r="K249" s="25"/>
      <c r="L249" s="25"/>
    </row>
    <row r="250" spans="1:12">
      <c r="A250" s="2"/>
      <c r="B250" s="32" t="s">
        <v>147</v>
      </c>
      <c r="C250" s="25"/>
      <c r="D250" s="77" t="s">
        <v>122</v>
      </c>
      <c r="E250" s="25"/>
      <c r="F250" s="25"/>
      <c r="G250" s="44" t="s">
        <v>146</v>
      </c>
      <c r="H250" s="71"/>
      <c r="I250" s="76" t="s">
        <v>145</v>
      </c>
      <c r="J250" s="25"/>
      <c r="K250" s="25"/>
      <c r="L250" s="25"/>
    </row>
    <row r="251" spans="1:12">
      <c r="A251" s="2">
        <v>17</v>
      </c>
      <c r="B251" s="32" t="s">
        <v>144</v>
      </c>
      <c r="C251" s="25" t="s">
        <v>143</v>
      </c>
      <c r="D251" s="73">
        <v>3990905765.7899995</v>
      </c>
      <c r="E251" s="25"/>
      <c r="F251" s="40"/>
      <c r="G251" s="2" t="s">
        <v>142</v>
      </c>
      <c r="H251" s="75"/>
      <c r="I251" s="2" t="s">
        <v>141</v>
      </c>
      <c r="J251" s="25"/>
      <c r="K251" s="74" t="s">
        <v>140</v>
      </c>
      <c r="L251" s="35"/>
    </row>
    <row r="252" spans="1:12">
      <c r="A252" s="2">
        <v>18</v>
      </c>
      <c r="B252" s="32" t="s">
        <v>139</v>
      </c>
      <c r="C252" s="25" t="s">
        <v>138</v>
      </c>
      <c r="D252" s="73">
        <v>0</v>
      </c>
      <c r="E252" s="25"/>
      <c r="F252" s="40"/>
      <c r="G252" s="70">
        <f>IF(D254&gt;0,D251/D254,0)</f>
        <v>1</v>
      </c>
      <c r="H252" s="44" t="s">
        <v>137</v>
      </c>
      <c r="I252" s="72">
        <f>I248</f>
        <v>1</v>
      </c>
      <c r="J252" s="71" t="s">
        <v>136</v>
      </c>
      <c r="K252" s="70">
        <f>I252*G252</f>
        <v>1</v>
      </c>
      <c r="L252" s="25"/>
    </row>
    <row r="253" spans="1:12" ht="16.5" thickBot="1">
      <c r="A253" s="2">
        <v>19</v>
      </c>
      <c r="B253" s="418" t="s">
        <v>135</v>
      </c>
      <c r="C253" s="417" t="s">
        <v>134</v>
      </c>
      <c r="D253" s="416">
        <v>0</v>
      </c>
      <c r="E253" s="25"/>
      <c r="F253" s="25"/>
      <c r="G253" s="25" t="s">
        <v>68</v>
      </c>
      <c r="H253" s="25"/>
      <c r="I253" s="25"/>
      <c r="J253" s="25"/>
      <c r="K253" s="25"/>
      <c r="L253" s="25"/>
    </row>
    <row r="254" spans="1:12">
      <c r="A254" s="2">
        <v>20</v>
      </c>
      <c r="B254" s="32" t="s">
        <v>133</v>
      </c>
      <c r="C254" s="25"/>
      <c r="D254" s="69">
        <f>D251+D252+D253</f>
        <v>3990905765.7899995</v>
      </c>
      <c r="E254" s="25"/>
      <c r="F254" s="25"/>
      <c r="G254" s="25"/>
      <c r="H254" s="25"/>
      <c r="I254" s="25"/>
      <c r="J254" s="25"/>
      <c r="K254" s="25"/>
      <c r="L254" s="25"/>
    </row>
    <row r="255" spans="1:12" ht="11.25" customHeight="1">
      <c r="A255" s="2"/>
      <c r="B255" s="32"/>
      <c r="C255" s="25"/>
      <c r="D255" s="40"/>
      <c r="E255" s="25"/>
      <c r="F255" s="25"/>
      <c r="G255" s="25"/>
      <c r="H255" s="25"/>
      <c r="I255" s="25"/>
      <c r="J255" s="25"/>
      <c r="K255" s="25"/>
      <c r="L255" s="25"/>
    </row>
    <row r="256" spans="1:12" ht="16.5" thickBot="1">
      <c r="A256" s="2"/>
      <c r="B256" s="26" t="s">
        <v>132</v>
      </c>
      <c r="C256" s="25"/>
      <c r="D256" s="25"/>
      <c r="E256" s="25"/>
      <c r="F256" s="25"/>
      <c r="G256" s="25"/>
      <c r="H256" s="25"/>
      <c r="I256" s="414" t="s">
        <v>122</v>
      </c>
      <c r="J256" s="25"/>
      <c r="K256" s="25"/>
      <c r="L256" s="25"/>
    </row>
    <row r="257" spans="1:12">
      <c r="A257" s="2">
        <v>21</v>
      </c>
      <c r="B257" s="6"/>
      <c r="C257" s="25" t="s">
        <v>131</v>
      </c>
      <c r="D257" s="25"/>
      <c r="E257" s="25"/>
      <c r="F257" s="25"/>
      <c r="G257" s="25"/>
      <c r="H257" s="25"/>
      <c r="I257" s="68" t="s">
        <v>11</v>
      </c>
      <c r="J257" s="25"/>
      <c r="K257" s="25"/>
      <c r="L257" s="25"/>
    </row>
    <row r="258" spans="1:12" ht="11.25" customHeight="1">
      <c r="A258" s="2"/>
      <c r="B258" s="32"/>
      <c r="C258" s="25"/>
      <c r="D258" s="25"/>
      <c r="E258" s="25"/>
      <c r="F258" s="25"/>
      <c r="G258" s="25"/>
      <c r="H258" s="25"/>
      <c r="I258" s="44"/>
      <c r="J258" s="25"/>
      <c r="K258" s="25"/>
      <c r="L258" s="25"/>
    </row>
    <row r="259" spans="1:12">
      <c r="A259" s="2">
        <v>22</v>
      </c>
      <c r="B259" s="26"/>
      <c r="C259" s="25" t="s">
        <v>130</v>
      </c>
      <c r="D259" s="25"/>
      <c r="E259" s="25"/>
      <c r="F259" s="25"/>
      <c r="G259" s="25"/>
      <c r="H259" s="67"/>
      <c r="I259" s="66" t="s">
        <v>11</v>
      </c>
      <c r="J259" s="25"/>
      <c r="K259" s="25"/>
      <c r="L259" s="25"/>
    </row>
    <row r="260" spans="1:12" ht="11.25" customHeight="1">
      <c r="A260" s="2"/>
      <c r="B260" s="26"/>
      <c r="C260" s="25"/>
      <c r="D260" s="25"/>
      <c r="E260" s="25"/>
      <c r="F260" s="25"/>
      <c r="G260" s="25"/>
      <c r="H260" s="25"/>
      <c r="I260" s="25"/>
      <c r="J260" s="25"/>
      <c r="K260" s="25"/>
      <c r="L260" s="25"/>
    </row>
    <row r="261" spans="1:12">
      <c r="A261" s="2"/>
      <c r="B261" s="26" t="s">
        <v>129</v>
      </c>
      <c r="C261" s="25"/>
      <c r="D261" s="25"/>
      <c r="E261" s="25"/>
      <c r="F261" s="25"/>
      <c r="G261" s="25"/>
      <c r="H261" s="25"/>
      <c r="I261" s="25"/>
      <c r="J261" s="25"/>
      <c r="K261" s="25"/>
      <c r="L261" s="25"/>
    </row>
    <row r="262" spans="1:12">
      <c r="A262" s="2">
        <v>23</v>
      </c>
      <c r="B262" s="26"/>
      <c r="C262" s="25" t="s">
        <v>128</v>
      </c>
      <c r="D262" s="6"/>
      <c r="E262" s="25"/>
      <c r="F262" s="25"/>
      <c r="G262" s="25"/>
      <c r="H262" s="25"/>
      <c r="I262" s="64" t="s">
        <v>11</v>
      </c>
      <c r="J262" s="25"/>
      <c r="K262" s="25"/>
      <c r="L262" s="25"/>
    </row>
    <row r="263" spans="1:12">
      <c r="A263" s="2">
        <v>24</v>
      </c>
      <c r="B263" s="26"/>
      <c r="C263" s="25" t="s">
        <v>127</v>
      </c>
      <c r="D263" s="25"/>
      <c r="E263" s="25"/>
      <c r="F263" s="25"/>
      <c r="G263" s="25"/>
      <c r="H263" s="25"/>
      <c r="I263" s="65" t="s">
        <v>11</v>
      </c>
      <c r="J263" s="25"/>
      <c r="K263" s="25"/>
      <c r="L263" s="25"/>
    </row>
    <row r="264" spans="1:12" ht="16.5" thickBot="1">
      <c r="A264" s="2">
        <v>25</v>
      </c>
      <c r="B264" s="26"/>
      <c r="C264" s="25" t="s">
        <v>126</v>
      </c>
      <c r="D264" s="25"/>
      <c r="E264" s="25"/>
      <c r="F264" s="25"/>
      <c r="G264" s="25"/>
      <c r="H264" s="25"/>
      <c r="I264" s="415" t="s">
        <v>11</v>
      </c>
      <c r="J264" s="25"/>
      <c r="K264" s="25"/>
      <c r="L264" s="25"/>
    </row>
    <row r="265" spans="1:12">
      <c r="A265" s="2">
        <v>26</v>
      </c>
      <c r="B265" s="6"/>
      <c r="C265" s="25" t="s">
        <v>125</v>
      </c>
      <c r="D265" s="6" t="s">
        <v>124</v>
      </c>
      <c r="E265" s="6"/>
      <c r="F265" s="6"/>
      <c r="G265" s="6"/>
      <c r="H265" s="6"/>
      <c r="I265" s="44" t="s">
        <v>11</v>
      </c>
      <c r="J265" s="25"/>
      <c r="K265" s="25"/>
      <c r="L265" s="25"/>
    </row>
    <row r="266" spans="1:12">
      <c r="A266" s="2"/>
      <c r="B266" s="32"/>
      <c r="C266" s="25"/>
      <c r="D266" s="25"/>
      <c r="E266" s="25"/>
      <c r="F266" s="25"/>
      <c r="G266" s="44" t="s">
        <v>123</v>
      </c>
      <c r="H266" s="25"/>
      <c r="I266" s="25"/>
      <c r="J266" s="25"/>
      <c r="K266" s="25"/>
      <c r="L266" s="25"/>
    </row>
    <row r="267" spans="1:12" ht="16.5" thickBot="1">
      <c r="A267" s="2"/>
      <c r="B267" s="32"/>
      <c r="C267" s="25"/>
      <c r="D267" s="409" t="s">
        <v>122</v>
      </c>
      <c r="E267" s="409" t="s">
        <v>121</v>
      </c>
      <c r="F267" s="25"/>
      <c r="G267" s="409" t="s">
        <v>120</v>
      </c>
      <c r="H267" s="25"/>
      <c r="I267" s="409" t="s">
        <v>119</v>
      </c>
      <c r="J267" s="25"/>
      <c r="K267" s="25"/>
      <c r="L267" s="25"/>
    </row>
    <row r="268" spans="1:12">
      <c r="A268" s="2">
        <v>27</v>
      </c>
      <c r="B268" s="26" t="s">
        <v>118</v>
      </c>
      <c r="C268" s="40"/>
      <c r="D268" s="64">
        <v>0</v>
      </c>
      <c r="E268" s="62">
        <v>0.5</v>
      </c>
      <c r="F268" s="59"/>
      <c r="G268" s="486">
        <f>'Calc. of Wgt. Avg. Debt Rate'!H39</f>
        <v>4.7403862396077391E-2</v>
      </c>
      <c r="H268" s="40"/>
      <c r="I268" s="59">
        <f>E268*G268</f>
        <v>2.3701931198038696E-2</v>
      </c>
      <c r="J268" s="58" t="s">
        <v>117</v>
      </c>
      <c r="K268" s="40"/>
      <c r="L268" s="836"/>
    </row>
    <row r="269" spans="1:12">
      <c r="A269" s="2">
        <v>28</v>
      </c>
      <c r="B269" s="26" t="s">
        <v>116</v>
      </c>
      <c r="C269" s="40"/>
      <c r="D269" s="64">
        <v>0</v>
      </c>
      <c r="E269" s="62">
        <v>0</v>
      </c>
      <c r="F269" s="59"/>
      <c r="G269" s="63">
        <f>IF(D269&gt;0,I259/D269,0)</f>
        <v>0</v>
      </c>
      <c r="H269" s="40"/>
      <c r="I269" s="59">
        <f>E269*G269</f>
        <v>0</v>
      </c>
      <c r="J269" s="25"/>
      <c r="K269" s="40"/>
      <c r="L269" s="836"/>
    </row>
    <row r="270" spans="1:12" ht="16.5" thickBot="1">
      <c r="A270" s="2">
        <v>29</v>
      </c>
      <c r="B270" s="26" t="s">
        <v>115</v>
      </c>
      <c r="C270" s="40"/>
      <c r="D270" s="414">
        <v>0</v>
      </c>
      <c r="E270" s="62">
        <v>0.5</v>
      </c>
      <c r="F270" s="59"/>
      <c r="G270" s="61">
        <v>0.122</v>
      </c>
      <c r="H270" s="40"/>
      <c r="I270" s="413">
        <f>E270*G270</f>
        <v>6.0999999999999999E-2</v>
      </c>
      <c r="J270" s="25"/>
      <c r="K270" s="40"/>
      <c r="L270" s="836"/>
    </row>
    <row r="271" spans="1:12">
      <c r="A271" s="2">
        <v>30</v>
      </c>
      <c r="B271" s="32" t="s">
        <v>114</v>
      </c>
      <c r="C271" s="40"/>
      <c r="D271" s="60">
        <f>SUM(D268:D270)</f>
        <v>0</v>
      </c>
      <c r="E271" s="25" t="s">
        <v>68</v>
      </c>
      <c r="F271" s="25"/>
      <c r="G271" s="25"/>
      <c r="H271" s="25"/>
      <c r="I271" s="59">
        <f>SUM(I268:I270)</f>
        <v>8.4701931198038691E-2</v>
      </c>
      <c r="J271" s="58" t="s">
        <v>113</v>
      </c>
      <c r="K271" s="40"/>
      <c r="L271" s="836"/>
    </row>
    <row r="272" spans="1:12" ht="11.25" customHeight="1">
      <c r="A272" s="40"/>
      <c r="B272" s="40"/>
      <c r="C272" s="40"/>
      <c r="D272" s="40"/>
      <c r="E272" s="25"/>
      <c r="F272" s="25"/>
      <c r="G272" s="25"/>
      <c r="H272" s="25"/>
      <c r="I272" s="40"/>
      <c r="J272" s="40"/>
      <c r="K272" s="40"/>
      <c r="L272" s="25"/>
    </row>
    <row r="273" spans="1:12">
      <c r="A273" s="2"/>
      <c r="B273" s="26" t="s">
        <v>112</v>
      </c>
      <c r="C273" s="6"/>
      <c r="D273" s="6"/>
      <c r="E273" s="6"/>
      <c r="F273" s="6"/>
      <c r="G273" s="6"/>
      <c r="H273" s="6"/>
      <c r="I273" s="6"/>
      <c r="J273" s="6"/>
      <c r="K273" s="6"/>
      <c r="L273" s="44"/>
    </row>
    <row r="274" spans="1:12" ht="11.25" customHeight="1" thickBot="1">
      <c r="A274" s="2"/>
      <c r="B274" s="26"/>
      <c r="C274" s="26"/>
      <c r="D274" s="26"/>
      <c r="E274" s="26"/>
      <c r="F274" s="26"/>
      <c r="G274" s="26"/>
      <c r="H274" s="26"/>
      <c r="I274" s="409" t="s">
        <v>111</v>
      </c>
      <c r="J274" s="57"/>
      <c r="K274" s="40"/>
      <c r="L274" s="40"/>
    </row>
    <row r="275" spans="1:12">
      <c r="A275" s="2"/>
      <c r="B275" s="26" t="s">
        <v>110</v>
      </c>
      <c r="C275" s="6"/>
      <c r="D275" s="6" t="s">
        <v>109</v>
      </c>
      <c r="E275" s="6" t="s">
        <v>108</v>
      </c>
      <c r="F275" s="6"/>
      <c r="G275" s="56" t="s">
        <v>68</v>
      </c>
      <c r="H275" s="55"/>
      <c r="I275" s="28"/>
      <c r="J275" s="28"/>
      <c r="K275" s="40"/>
      <c r="L275" s="40"/>
    </row>
    <row r="276" spans="1:12">
      <c r="A276" s="2">
        <v>31</v>
      </c>
      <c r="B276" s="40" t="s">
        <v>107</v>
      </c>
      <c r="C276" s="6"/>
      <c r="D276" s="6"/>
      <c r="E276" s="40"/>
      <c r="F276" s="6"/>
      <c r="G276" s="40"/>
      <c r="H276" s="55"/>
      <c r="I276" s="54">
        <v>0</v>
      </c>
      <c r="J276" s="50"/>
      <c r="K276" s="40"/>
      <c r="L276" s="40"/>
    </row>
    <row r="277" spans="1:12" ht="16.5" thickBot="1">
      <c r="A277" s="2">
        <v>32</v>
      </c>
      <c r="B277" s="412" t="s">
        <v>106</v>
      </c>
      <c r="C277" s="411"/>
      <c r="D277" s="53"/>
      <c r="E277" s="42"/>
      <c r="F277" s="42"/>
      <c r="G277" s="42"/>
      <c r="H277" s="6"/>
      <c r="I277" s="410">
        <v>0</v>
      </c>
      <c r="J277" s="52"/>
      <c r="K277" s="40"/>
      <c r="L277" s="40"/>
    </row>
    <row r="278" spans="1:12">
      <c r="A278" s="2">
        <v>33</v>
      </c>
      <c r="B278" s="40" t="s">
        <v>105</v>
      </c>
      <c r="C278" s="31"/>
      <c r="D278" s="40"/>
      <c r="E278" s="6"/>
      <c r="F278" s="6"/>
      <c r="G278" s="6"/>
      <c r="H278" s="6"/>
      <c r="I278" s="51">
        <f>I276-I277</f>
        <v>0</v>
      </c>
      <c r="J278" s="50"/>
      <c r="K278" s="40"/>
      <c r="L278" s="40"/>
    </row>
    <row r="279" spans="1:12" ht="11.25" customHeight="1">
      <c r="A279" s="2"/>
      <c r="B279" s="40"/>
      <c r="C279" s="31"/>
      <c r="D279" s="40"/>
      <c r="E279" s="6"/>
      <c r="F279" s="6"/>
      <c r="G279" s="6"/>
      <c r="H279" s="6"/>
      <c r="I279" s="47"/>
      <c r="J279" s="28"/>
      <c r="K279" s="40"/>
      <c r="L279" s="40"/>
    </row>
    <row r="280" spans="1:12">
      <c r="A280" s="2">
        <v>34</v>
      </c>
      <c r="B280" s="26" t="s">
        <v>104</v>
      </c>
      <c r="C280" s="31"/>
      <c r="D280" s="40"/>
      <c r="E280" s="6"/>
      <c r="F280" s="6"/>
      <c r="G280" s="49"/>
      <c r="H280" s="6"/>
      <c r="I280" s="48">
        <f>'Revenue Breakout'!C8</f>
        <v>1482742</v>
      </c>
      <c r="J280" s="28"/>
      <c r="K280" s="776"/>
      <c r="L280" s="452"/>
    </row>
    <row r="281" spans="1:12" ht="11.25" customHeight="1">
      <c r="A281" s="2"/>
      <c r="B281" s="40"/>
      <c r="C281" s="6"/>
      <c r="D281" s="6"/>
      <c r="E281" s="6"/>
      <c r="F281" s="6"/>
      <c r="G281" s="6"/>
      <c r="H281" s="6"/>
      <c r="I281" s="47"/>
      <c r="J281" s="28"/>
      <c r="K281" s="46"/>
      <c r="L281" s="44"/>
    </row>
    <row r="282" spans="1:12">
      <c r="A282" s="40"/>
      <c r="B282" s="26" t="s">
        <v>103</v>
      </c>
      <c r="C282" s="6"/>
      <c r="D282" s="6" t="s">
        <v>102</v>
      </c>
      <c r="E282" s="6"/>
      <c r="F282" s="6"/>
      <c r="G282" s="6"/>
      <c r="H282" s="6"/>
      <c r="I282" s="40"/>
      <c r="J282" s="40"/>
      <c r="K282" s="45"/>
      <c r="L282" s="44"/>
    </row>
    <row r="283" spans="1:12">
      <c r="A283" s="2">
        <v>35</v>
      </c>
      <c r="B283" s="26" t="s">
        <v>101</v>
      </c>
      <c r="C283" s="25"/>
      <c r="D283" s="25"/>
      <c r="E283" s="25"/>
      <c r="F283" s="25"/>
      <c r="G283" s="25"/>
      <c r="H283" s="25"/>
      <c r="I283" s="485">
        <f>'Revenue Breakout'!C24-'Revenue Breakout'!C20</f>
        <v>635927370.14999998</v>
      </c>
      <c r="J283" s="4"/>
      <c r="K283" s="45"/>
      <c r="L283" s="452"/>
    </row>
    <row r="284" spans="1:12">
      <c r="A284" s="2">
        <v>36</v>
      </c>
      <c r="B284" s="43" t="s">
        <v>100</v>
      </c>
      <c r="C284" s="42"/>
      <c r="D284" s="42"/>
      <c r="E284" s="42"/>
      <c r="F284" s="42"/>
      <c r="G284" s="6"/>
      <c r="H284" s="6"/>
      <c r="I284" s="41">
        <f>'Revenue Breakout'!C25</f>
        <v>531811966.70000005</v>
      </c>
      <c r="J284" s="40"/>
      <c r="K284" s="776"/>
      <c r="L284" s="452"/>
    </row>
    <row r="285" spans="1:12">
      <c r="A285" s="38" t="s">
        <v>99</v>
      </c>
      <c r="B285" s="442" t="s">
        <v>547</v>
      </c>
      <c r="C285" s="37"/>
      <c r="D285" s="42"/>
      <c r="E285" s="42"/>
      <c r="F285" s="42"/>
      <c r="G285" s="6"/>
      <c r="H285" s="6"/>
      <c r="I285" s="527">
        <f>'Revenue Breakout'!C26</f>
        <v>85372458.210000008</v>
      </c>
      <c r="J285" s="40"/>
      <c r="K285" s="39"/>
      <c r="L285" s="452"/>
    </row>
    <row r="286" spans="1:12" s="35" customFormat="1" ht="16.5" thickBot="1">
      <c r="A286" s="38" t="s">
        <v>98</v>
      </c>
      <c r="B286" s="441" t="s">
        <v>546</v>
      </c>
      <c r="C286" s="440"/>
      <c r="D286" s="37"/>
      <c r="E286" s="37"/>
      <c r="F286" s="37"/>
      <c r="G286" s="37"/>
      <c r="H286" s="7"/>
      <c r="I286" s="528">
        <f>'Revenue Breakout'!C27</f>
        <v>9618319.5800000001</v>
      </c>
      <c r="J286" s="34"/>
      <c r="K286" s="36"/>
      <c r="L286" s="452"/>
    </row>
    <row r="287" spans="1:12">
      <c r="A287" s="2">
        <v>37</v>
      </c>
      <c r="B287" s="34" t="s">
        <v>97</v>
      </c>
      <c r="C287" s="2"/>
      <c r="D287" s="25"/>
      <c r="E287" s="25"/>
      <c r="F287" s="25"/>
      <c r="G287" s="25"/>
      <c r="H287" s="6"/>
      <c r="I287" s="5">
        <f>I283-I284-I285-I286</f>
        <v>9124625.6599999201</v>
      </c>
      <c r="J287" s="4"/>
      <c r="K287" s="3"/>
      <c r="L287" s="452"/>
    </row>
    <row r="288" spans="1:12">
      <c r="A288" s="2"/>
      <c r="B288" s="30"/>
      <c r="C288" s="2"/>
      <c r="D288" s="25"/>
      <c r="E288" s="25"/>
      <c r="F288" s="25"/>
      <c r="G288" s="25"/>
      <c r="H288" s="6"/>
      <c r="I288" s="5"/>
      <c r="J288" s="4"/>
      <c r="K288" s="3"/>
      <c r="L288" s="2"/>
    </row>
    <row r="289" spans="1:12">
      <c r="A289" s="2"/>
      <c r="B289" s="30"/>
      <c r="C289" s="2"/>
      <c r="D289" s="25"/>
      <c r="E289" s="25"/>
      <c r="F289" s="25"/>
      <c r="G289" s="25"/>
      <c r="H289" s="6"/>
      <c r="I289" s="5"/>
      <c r="J289" s="4"/>
      <c r="K289" s="3"/>
      <c r="L289" s="2"/>
    </row>
    <row r="290" spans="1:12">
      <c r="A290" s="2"/>
      <c r="B290" s="32"/>
      <c r="C290" s="31"/>
      <c r="D290" s="25"/>
      <c r="E290" s="25"/>
      <c r="F290" s="25"/>
      <c r="G290" s="25"/>
      <c r="H290" s="31"/>
      <c r="I290" s="25"/>
      <c r="J290" s="31"/>
      <c r="K290" s="33" t="s">
        <v>96</v>
      </c>
      <c r="L290" s="31"/>
    </row>
    <row r="291" spans="1:12">
      <c r="A291" s="2"/>
      <c r="B291" s="32"/>
      <c r="C291" s="31"/>
      <c r="D291" s="25"/>
      <c r="E291" s="25"/>
      <c r="F291" s="25"/>
      <c r="G291" s="25"/>
      <c r="H291" s="31"/>
      <c r="I291" s="25"/>
      <c r="J291" s="31"/>
      <c r="K291" s="25"/>
      <c r="L291" s="31"/>
    </row>
    <row r="292" spans="1:12">
      <c r="A292" s="2"/>
      <c r="B292" s="30" t="s">
        <v>95</v>
      </c>
      <c r="C292" s="2"/>
      <c r="D292" s="25" t="s">
        <v>94</v>
      </c>
      <c r="E292" s="25"/>
      <c r="F292" s="25"/>
      <c r="G292" s="25"/>
      <c r="H292" s="6"/>
      <c r="J292" s="28"/>
      <c r="K292" s="132" t="str">
        <f>$K$3</f>
        <v>For the 12 months ended 12/31/2014</v>
      </c>
      <c r="L292" s="2"/>
    </row>
    <row r="293" spans="1:12">
      <c r="A293" s="2"/>
      <c r="B293" s="30"/>
      <c r="C293" s="2"/>
      <c r="D293" s="25" t="s">
        <v>93</v>
      </c>
      <c r="E293" s="25"/>
      <c r="F293" s="25"/>
      <c r="G293" s="25"/>
      <c r="H293" s="6"/>
      <c r="I293" s="29"/>
      <c r="J293" s="28"/>
      <c r="K293" s="3"/>
      <c r="L293" s="2"/>
    </row>
    <row r="294" spans="1:12">
      <c r="A294" s="2"/>
      <c r="B294" s="30"/>
      <c r="C294" s="2"/>
      <c r="D294" s="25"/>
      <c r="E294" s="25"/>
      <c r="F294" s="25"/>
      <c r="G294" s="25"/>
      <c r="H294" s="6"/>
      <c r="I294" s="29"/>
      <c r="J294" s="28"/>
      <c r="K294" s="3"/>
      <c r="L294" s="2"/>
    </row>
    <row r="295" spans="1:12">
      <c r="A295" s="861" t="str">
        <f>A6</f>
        <v>American Transmission Company LLC</v>
      </c>
      <c r="B295" s="861"/>
      <c r="C295" s="861"/>
      <c r="D295" s="861"/>
      <c r="E295" s="861"/>
      <c r="F295" s="861"/>
      <c r="G295" s="861"/>
      <c r="H295" s="861"/>
      <c r="I295" s="861"/>
      <c r="J295" s="861"/>
      <c r="K295" s="861"/>
      <c r="L295" s="2"/>
    </row>
    <row r="296" spans="1:12">
      <c r="A296" s="2"/>
      <c r="B296" s="30"/>
      <c r="C296" s="2"/>
      <c r="D296" s="25"/>
      <c r="E296" s="25"/>
      <c r="F296" s="25"/>
      <c r="G296" s="25"/>
      <c r="H296" s="6"/>
      <c r="I296" s="29"/>
      <c r="J296" s="28"/>
      <c r="K296" s="3"/>
      <c r="L296" s="2"/>
    </row>
    <row r="297" spans="1:12">
      <c r="A297" s="2"/>
      <c r="B297" s="26" t="s">
        <v>92</v>
      </c>
      <c r="C297" s="2"/>
      <c r="D297" s="25"/>
      <c r="E297" s="25"/>
      <c r="F297" s="25"/>
      <c r="G297" s="25"/>
      <c r="H297" s="6"/>
      <c r="I297" s="25"/>
      <c r="J297" s="6"/>
      <c r="K297" s="25"/>
      <c r="L297" s="2"/>
    </row>
    <row r="298" spans="1:12">
      <c r="A298" s="2"/>
      <c r="B298" s="27" t="s">
        <v>91</v>
      </c>
      <c r="C298" s="2"/>
      <c r="D298" s="25"/>
      <c r="E298" s="25"/>
      <c r="F298" s="25"/>
      <c r="G298" s="25"/>
      <c r="H298" s="6"/>
      <c r="I298" s="25"/>
      <c r="J298" s="6"/>
      <c r="K298" s="25"/>
      <c r="L298" s="2"/>
    </row>
    <row r="299" spans="1:12">
      <c r="A299" s="2" t="s">
        <v>90</v>
      </c>
      <c r="B299" s="26"/>
      <c r="C299" s="6"/>
      <c r="D299" s="25"/>
      <c r="E299" s="25"/>
      <c r="F299" s="25"/>
      <c r="G299" s="25"/>
      <c r="H299" s="6"/>
      <c r="I299" s="25"/>
      <c r="J299" s="6"/>
      <c r="K299" s="25"/>
      <c r="L299" s="2"/>
    </row>
    <row r="300" spans="1:12" ht="16.5" thickBot="1">
      <c r="A300" s="409" t="s">
        <v>89</v>
      </c>
      <c r="B300" s="864"/>
      <c r="C300" s="864"/>
      <c r="D300" s="23"/>
      <c r="E300" s="23"/>
      <c r="F300" s="23"/>
      <c r="G300" s="23"/>
      <c r="H300" s="24"/>
      <c r="I300" s="23"/>
      <c r="J300" s="24"/>
      <c r="K300" s="23"/>
      <c r="L300" s="2"/>
    </row>
    <row r="301" spans="1:12" s="20" customFormat="1">
      <c r="A301" s="21" t="s">
        <v>88</v>
      </c>
      <c r="B301" s="863" t="s">
        <v>87</v>
      </c>
      <c r="C301" s="863"/>
      <c r="D301" s="863"/>
      <c r="E301" s="863"/>
      <c r="F301" s="863"/>
      <c r="G301" s="863"/>
      <c r="H301" s="863"/>
      <c r="I301" s="863"/>
      <c r="J301" s="863"/>
      <c r="K301" s="863"/>
      <c r="L301" s="18"/>
    </row>
    <row r="302" spans="1:12" s="20" customFormat="1">
      <c r="A302" s="21" t="s">
        <v>86</v>
      </c>
      <c r="B302" s="863" t="s">
        <v>85</v>
      </c>
      <c r="C302" s="863"/>
      <c r="D302" s="863"/>
      <c r="E302" s="863"/>
      <c r="F302" s="863"/>
      <c r="G302" s="863"/>
      <c r="H302" s="863"/>
      <c r="I302" s="863"/>
      <c r="J302" s="863"/>
      <c r="K302" s="863"/>
      <c r="L302" s="18"/>
    </row>
    <row r="303" spans="1:12" s="20" customFormat="1">
      <c r="A303" s="21" t="s">
        <v>84</v>
      </c>
      <c r="B303" s="863" t="s">
        <v>82</v>
      </c>
      <c r="C303" s="863"/>
      <c r="D303" s="863"/>
      <c r="E303" s="863"/>
      <c r="F303" s="863"/>
      <c r="G303" s="863"/>
      <c r="H303" s="863"/>
      <c r="I303" s="863"/>
      <c r="J303" s="863"/>
      <c r="K303" s="863"/>
      <c r="L303" s="22"/>
    </row>
    <row r="304" spans="1:12" s="20" customFormat="1">
      <c r="A304" s="21" t="s">
        <v>83</v>
      </c>
      <c r="B304" s="863" t="s">
        <v>82</v>
      </c>
      <c r="C304" s="863"/>
      <c r="D304" s="863"/>
      <c r="E304" s="863"/>
      <c r="F304" s="863"/>
      <c r="G304" s="863"/>
      <c r="H304" s="863"/>
      <c r="I304" s="863"/>
      <c r="J304" s="863"/>
      <c r="K304" s="863"/>
      <c r="L304" s="22"/>
    </row>
    <row r="305" spans="1:12" s="20" customFormat="1">
      <c r="A305" s="21" t="s">
        <v>81</v>
      </c>
      <c r="B305" s="863" t="s">
        <v>80</v>
      </c>
      <c r="C305" s="863"/>
      <c r="D305" s="863"/>
      <c r="E305" s="863"/>
      <c r="F305" s="863"/>
      <c r="G305" s="863"/>
      <c r="H305" s="863"/>
      <c r="I305" s="863"/>
      <c r="J305" s="863"/>
      <c r="K305" s="863"/>
      <c r="L305" s="18"/>
    </row>
    <row r="306" spans="1:12" s="20" customFormat="1" ht="66.75" customHeight="1">
      <c r="A306" s="21" t="s">
        <v>79</v>
      </c>
      <c r="B306" s="863" t="s">
        <v>78</v>
      </c>
      <c r="C306" s="863"/>
      <c r="D306" s="863"/>
      <c r="E306" s="863"/>
      <c r="F306" s="863"/>
      <c r="G306" s="863"/>
      <c r="H306" s="863"/>
      <c r="I306" s="863"/>
      <c r="J306" s="863"/>
      <c r="K306" s="863"/>
      <c r="L306" s="18"/>
    </row>
    <row r="307" spans="1:12" s="20" customFormat="1">
      <c r="A307" s="21" t="s">
        <v>77</v>
      </c>
      <c r="B307" s="863" t="s">
        <v>76</v>
      </c>
      <c r="C307" s="863"/>
      <c r="D307" s="863"/>
      <c r="E307" s="863"/>
      <c r="F307" s="863"/>
      <c r="G307" s="863"/>
      <c r="H307" s="863"/>
      <c r="I307" s="863"/>
      <c r="J307" s="863"/>
      <c r="K307" s="863"/>
      <c r="L307" s="18"/>
    </row>
    <row r="308" spans="1:12" s="20" customFormat="1" ht="32.25" customHeight="1">
      <c r="A308" s="21" t="s">
        <v>75</v>
      </c>
      <c r="B308" s="863" t="s">
        <v>74</v>
      </c>
      <c r="C308" s="863"/>
      <c r="D308" s="863"/>
      <c r="E308" s="863"/>
      <c r="F308" s="863"/>
      <c r="G308" s="863"/>
      <c r="H308" s="863"/>
      <c r="I308" s="863"/>
      <c r="J308" s="863"/>
      <c r="K308" s="863"/>
      <c r="L308" s="18"/>
    </row>
    <row r="309" spans="1:12" s="20" customFormat="1" ht="32.25" customHeight="1">
      <c r="A309" s="21" t="s">
        <v>73</v>
      </c>
      <c r="B309" s="863" t="s">
        <v>72</v>
      </c>
      <c r="C309" s="863"/>
      <c r="D309" s="863"/>
      <c r="E309" s="863"/>
      <c r="F309" s="863"/>
      <c r="G309" s="863"/>
      <c r="H309" s="863"/>
      <c r="I309" s="863"/>
      <c r="J309" s="863"/>
      <c r="K309" s="863"/>
      <c r="L309" s="18"/>
    </row>
    <row r="310" spans="1:12" s="20" customFormat="1" ht="32.25" customHeight="1">
      <c r="A310" s="21" t="s">
        <v>71</v>
      </c>
      <c r="B310" s="863" t="s">
        <v>70</v>
      </c>
      <c r="C310" s="863"/>
      <c r="D310" s="863"/>
      <c r="E310" s="863"/>
      <c r="F310" s="863"/>
      <c r="G310" s="863"/>
      <c r="H310" s="863"/>
      <c r="I310" s="863"/>
      <c r="J310" s="863"/>
      <c r="K310" s="863"/>
      <c r="L310" s="18"/>
    </row>
    <row r="311" spans="1:12" s="20" customFormat="1" ht="94.5" customHeight="1">
      <c r="A311" s="21" t="s">
        <v>69</v>
      </c>
      <c r="B311" s="867" t="s">
        <v>545</v>
      </c>
      <c r="C311" s="863"/>
      <c r="D311" s="863"/>
      <c r="E311" s="863"/>
      <c r="F311" s="863"/>
      <c r="G311" s="863"/>
      <c r="H311" s="863"/>
      <c r="I311" s="863"/>
      <c r="J311" s="863"/>
      <c r="K311" s="863"/>
      <c r="L311" s="18"/>
    </row>
    <row r="312" spans="1:12">
      <c r="A312" s="2" t="s">
        <v>68</v>
      </c>
      <c r="B312" s="19" t="s">
        <v>67</v>
      </c>
      <c r="C312" s="19" t="s">
        <v>16</v>
      </c>
      <c r="D312" s="505">
        <v>0.35</v>
      </c>
      <c r="E312" s="19"/>
      <c r="F312" s="19"/>
      <c r="G312" s="19"/>
      <c r="H312" s="19"/>
      <c r="I312" s="19"/>
      <c r="J312" s="19"/>
      <c r="K312" s="19"/>
      <c r="L312" s="837"/>
    </row>
    <row r="313" spans="1:12">
      <c r="A313" s="2"/>
      <c r="B313" s="19"/>
      <c r="C313" s="19" t="s">
        <v>15</v>
      </c>
      <c r="D313" s="505">
        <f>SIT!D18</f>
        <v>7.3955263099999988E-2</v>
      </c>
      <c r="E313" s="19" t="s">
        <v>66</v>
      </c>
      <c r="F313" s="19"/>
      <c r="G313" s="19"/>
      <c r="H313" s="19"/>
      <c r="I313" s="19"/>
      <c r="J313" s="19"/>
      <c r="K313" s="19"/>
      <c r="L313" s="837"/>
    </row>
    <row r="314" spans="1:12">
      <c r="A314" s="2"/>
      <c r="B314" s="19"/>
      <c r="C314" s="19" t="s">
        <v>65</v>
      </c>
      <c r="D314" s="505">
        <v>0</v>
      </c>
      <c r="E314" s="19" t="s">
        <v>64</v>
      </c>
      <c r="F314" s="19"/>
      <c r="G314" s="19"/>
      <c r="H314" s="19"/>
      <c r="I314" s="19"/>
      <c r="J314" s="19"/>
      <c r="K314" s="19"/>
      <c r="L314" s="837"/>
    </row>
    <row r="315" spans="1:12">
      <c r="A315" s="2"/>
      <c r="B315" s="19"/>
      <c r="C315" s="19" t="s">
        <v>14</v>
      </c>
      <c r="D315" s="505">
        <v>7.5675193848382907E-2</v>
      </c>
      <c r="E315" s="19" t="s">
        <v>63</v>
      </c>
      <c r="F315" s="19"/>
      <c r="G315" s="19"/>
      <c r="H315" s="19"/>
      <c r="I315" s="19"/>
      <c r="J315" s="19"/>
      <c r="K315" s="19"/>
      <c r="L315" s="837"/>
    </row>
    <row r="316" spans="1:12" s="13" customFormat="1" ht="50.25" customHeight="1">
      <c r="A316" s="18" t="s">
        <v>62</v>
      </c>
      <c r="B316" s="867" t="s">
        <v>544</v>
      </c>
      <c r="C316" s="863"/>
      <c r="D316" s="863"/>
      <c r="E316" s="863"/>
      <c r="F316" s="863"/>
      <c r="G316" s="863"/>
      <c r="H316" s="863"/>
      <c r="I316" s="863"/>
      <c r="J316" s="863"/>
      <c r="K316" s="863"/>
      <c r="L316" s="14"/>
    </row>
    <row r="317" spans="1:12" s="13" customFormat="1" ht="32.25" customHeight="1">
      <c r="A317" s="18" t="s">
        <v>61</v>
      </c>
      <c r="B317" s="863" t="s">
        <v>60</v>
      </c>
      <c r="C317" s="863"/>
      <c r="D317" s="863"/>
      <c r="E317" s="863"/>
      <c r="F317" s="863"/>
      <c r="G317" s="863"/>
      <c r="H317" s="863"/>
      <c r="I317" s="863"/>
      <c r="J317" s="863"/>
      <c r="K317" s="863"/>
      <c r="L317" s="14"/>
    </row>
    <row r="318" spans="1:12" s="13" customFormat="1" ht="51" customHeight="1">
      <c r="A318" s="18" t="s">
        <v>59</v>
      </c>
      <c r="B318" s="863" t="s">
        <v>58</v>
      </c>
      <c r="C318" s="863"/>
      <c r="D318" s="863"/>
      <c r="E318" s="863"/>
      <c r="F318" s="863"/>
      <c r="G318" s="863"/>
      <c r="H318" s="863"/>
      <c r="I318" s="863"/>
      <c r="J318" s="863"/>
      <c r="K318" s="863"/>
      <c r="L318" s="14"/>
    </row>
    <row r="319" spans="1:12" s="13" customFormat="1">
      <c r="A319" s="18" t="s">
        <v>57</v>
      </c>
      <c r="B319" s="863" t="s">
        <v>56</v>
      </c>
      <c r="C319" s="863"/>
      <c r="D319" s="863"/>
      <c r="E319" s="863"/>
      <c r="F319" s="863"/>
      <c r="G319" s="863"/>
      <c r="H319" s="863"/>
      <c r="I319" s="863"/>
      <c r="J319" s="863"/>
      <c r="K319" s="863"/>
      <c r="L319" s="14"/>
    </row>
    <row r="320" spans="1:12" s="13" customFormat="1" ht="32.25" customHeight="1">
      <c r="A320" s="18" t="s">
        <v>55</v>
      </c>
      <c r="B320" s="863" t="s">
        <v>54</v>
      </c>
      <c r="C320" s="863"/>
      <c r="D320" s="863"/>
      <c r="E320" s="863"/>
      <c r="F320" s="863"/>
      <c r="G320" s="863"/>
      <c r="H320" s="863"/>
      <c r="I320" s="863"/>
      <c r="J320" s="863"/>
      <c r="K320" s="863"/>
      <c r="L320" s="14"/>
    </row>
    <row r="321" spans="1:12" s="13" customFormat="1" ht="32.25" customHeight="1">
      <c r="A321" s="18" t="s">
        <v>53</v>
      </c>
      <c r="B321" s="863" t="s">
        <v>52</v>
      </c>
      <c r="C321" s="863"/>
      <c r="D321" s="863"/>
      <c r="E321" s="863"/>
      <c r="F321" s="863"/>
      <c r="G321" s="863"/>
      <c r="H321" s="863"/>
      <c r="I321" s="863"/>
      <c r="J321" s="863"/>
      <c r="K321" s="863"/>
      <c r="L321" s="14"/>
    </row>
    <row r="322" spans="1:12" s="13" customFormat="1">
      <c r="A322" s="18" t="s">
        <v>51</v>
      </c>
      <c r="B322" s="863" t="s">
        <v>50</v>
      </c>
      <c r="C322" s="863"/>
      <c r="D322" s="863"/>
      <c r="E322" s="863"/>
      <c r="F322" s="863"/>
      <c r="G322" s="863"/>
      <c r="H322" s="863"/>
      <c r="I322" s="863"/>
      <c r="J322" s="863"/>
      <c r="K322" s="863"/>
      <c r="L322" s="14"/>
    </row>
    <row r="323" spans="1:12" s="13" customFormat="1" ht="48" customHeight="1">
      <c r="A323" s="18" t="s">
        <v>49</v>
      </c>
      <c r="B323" s="863" t="s">
        <v>48</v>
      </c>
      <c r="C323" s="863"/>
      <c r="D323" s="863"/>
      <c r="E323" s="863"/>
      <c r="F323" s="863"/>
      <c r="G323" s="863"/>
      <c r="H323" s="863"/>
      <c r="I323" s="863"/>
      <c r="J323" s="863"/>
      <c r="K323" s="863"/>
      <c r="L323" s="14"/>
    </row>
    <row r="324" spans="1:12" s="13" customFormat="1" ht="62.25" customHeight="1">
      <c r="A324" s="17" t="s">
        <v>47</v>
      </c>
      <c r="B324" s="868" t="s">
        <v>486</v>
      </c>
      <c r="C324" s="869"/>
      <c r="D324" s="869"/>
      <c r="E324" s="869"/>
      <c r="F324" s="869"/>
      <c r="G324" s="869"/>
      <c r="H324" s="869"/>
      <c r="I324" s="869"/>
      <c r="J324" s="869"/>
      <c r="K324" s="869"/>
      <c r="L324" s="16"/>
    </row>
    <row r="325" spans="1:12" s="13" customFormat="1" ht="32.25" customHeight="1">
      <c r="A325" s="17" t="s">
        <v>46</v>
      </c>
      <c r="B325" s="869" t="s">
        <v>45</v>
      </c>
      <c r="C325" s="869"/>
      <c r="D325" s="869"/>
      <c r="E325" s="869"/>
      <c r="F325" s="869"/>
      <c r="G325" s="869"/>
      <c r="H325" s="869"/>
      <c r="I325" s="869"/>
      <c r="J325" s="869"/>
      <c r="K325" s="869"/>
      <c r="L325" s="16"/>
    </row>
    <row r="326" spans="1:12" s="13" customFormat="1">
      <c r="A326" s="15" t="s">
        <v>44</v>
      </c>
      <c r="B326" s="865" t="s">
        <v>43</v>
      </c>
      <c r="C326" s="866"/>
      <c r="D326" s="866"/>
      <c r="E326" s="866"/>
      <c r="F326" s="866"/>
      <c r="G326" s="866"/>
      <c r="H326" s="866"/>
      <c r="I326" s="866"/>
      <c r="J326" s="866"/>
      <c r="K326" s="866"/>
      <c r="L326" s="14"/>
    </row>
    <row r="327" spans="1:12" s="13" customFormat="1">
      <c r="A327" s="15" t="s">
        <v>42</v>
      </c>
      <c r="B327" s="866" t="s">
        <v>487</v>
      </c>
      <c r="C327" s="866"/>
      <c r="D327" s="866"/>
      <c r="E327" s="866"/>
      <c r="F327" s="866"/>
      <c r="G327" s="866"/>
      <c r="H327" s="866"/>
      <c r="I327" s="866"/>
      <c r="J327" s="866"/>
      <c r="K327" s="866"/>
      <c r="L327" s="14"/>
    </row>
    <row r="328" spans="1:12" s="12" customFormat="1" ht="32.25" customHeight="1">
      <c r="A328" s="10" t="s">
        <v>41</v>
      </c>
      <c r="B328" s="865" t="s">
        <v>543</v>
      </c>
      <c r="C328" s="866"/>
      <c r="D328" s="866"/>
      <c r="E328" s="866"/>
      <c r="F328" s="866"/>
      <c r="G328" s="866"/>
      <c r="H328" s="866"/>
      <c r="I328" s="866"/>
      <c r="J328" s="866"/>
      <c r="K328" s="866"/>
      <c r="L328" s="11"/>
    </row>
    <row r="329" spans="1:12" s="11" customFormat="1" ht="32.25" customHeight="1">
      <c r="A329" s="10" t="s">
        <v>40</v>
      </c>
      <c r="B329" s="865" t="s">
        <v>542</v>
      </c>
      <c r="C329" s="866"/>
      <c r="D329" s="866"/>
      <c r="E329" s="866"/>
      <c r="F329" s="866"/>
      <c r="G329" s="866"/>
      <c r="H329" s="866"/>
      <c r="I329" s="866"/>
      <c r="J329" s="866"/>
      <c r="K329" s="866"/>
    </row>
    <row r="330" spans="1:12" ht="15.75" customHeight="1">
      <c r="A330" s="9" t="s">
        <v>39</v>
      </c>
      <c r="B330" s="866" t="s">
        <v>38</v>
      </c>
      <c r="C330" s="866"/>
      <c r="D330" s="866"/>
      <c r="E330" s="866"/>
      <c r="F330" s="866"/>
      <c r="G330" s="866"/>
      <c r="H330" s="866"/>
      <c r="I330" s="866"/>
      <c r="J330" s="866"/>
      <c r="K330" s="866"/>
      <c r="L330" s="2"/>
    </row>
    <row r="331" spans="1:12" ht="33.75" customHeight="1">
      <c r="A331" s="10" t="s">
        <v>37</v>
      </c>
      <c r="B331" s="865" t="s">
        <v>541</v>
      </c>
      <c r="C331" s="866"/>
      <c r="D331" s="866"/>
      <c r="E331" s="866"/>
      <c r="F331" s="866"/>
      <c r="G331" s="866"/>
      <c r="H331" s="866"/>
      <c r="I331" s="866"/>
      <c r="J331" s="866"/>
      <c r="K331" s="866"/>
      <c r="L331" s="2"/>
    </row>
    <row r="332" spans="1:12" ht="36" customHeight="1">
      <c r="A332" s="10" t="s">
        <v>36</v>
      </c>
      <c r="B332" s="865" t="s">
        <v>540</v>
      </c>
      <c r="C332" s="866"/>
      <c r="D332" s="866"/>
      <c r="E332" s="866"/>
      <c r="F332" s="866"/>
      <c r="G332" s="866"/>
      <c r="H332" s="866"/>
      <c r="I332" s="866"/>
      <c r="J332" s="866"/>
      <c r="K332" s="866"/>
      <c r="L332" s="2"/>
    </row>
    <row r="333" spans="1:12">
      <c r="A333" s="10" t="s">
        <v>489</v>
      </c>
      <c r="B333" s="866" t="s">
        <v>488</v>
      </c>
      <c r="C333" s="866"/>
      <c r="D333" s="866"/>
      <c r="E333" s="866"/>
      <c r="F333" s="866"/>
      <c r="G333" s="866"/>
      <c r="H333" s="866"/>
      <c r="I333" s="866"/>
      <c r="J333" s="866"/>
      <c r="K333" s="866"/>
      <c r="L333" s="2"/>
    </row>
    <row r="334" spans="1:12">
      <c r="A334" s="9"/>
      <c r="B334" s="8"/>
      <c r="C334" s="7"/>
      <c r="D334" s="7"/>
      <c r="E334" s="7"/>
      <c r="F334" s="7"/>
      <c r="G334" s="7"/>
      <c r="H334" s="6"/>
      <c r="I334" s="5"/>
      <c r="J334" s="4"/>
      <c r="K334" s="3"/>
      <c r="L334" s="2"/>
    </row>
    <row r="335" spans="1:12">
      <c r="A335" s="9"/>
      <c r="B335" s="8"/>
      <c r="C335" s="7"/>
      <c r="D335" s="7"/>
      <c r="E335" s="7"/>
      <c r="F335" s="7"/>
      <c r="G335" s="7"/>
      <c r="H335" s="6"/>
      <c r="I335" s="5"/>
      <c r="J335" s="4"/>
      <c r="K335" s="3"/>
      <c r="L335" s="2"/>
    </row>
    <row r="336" spans="1:12">
      <c r="A336" s="9"/>
      <c r="B336" s="8"/>
      <c r="C336" s="7"/>
      <c r="D336" s="7"/>
      <c r="E336" s="7"/>
      <c r="F336" s="7"/>
      <c r="G336" s="7"/>
      <c r="H336" s="6"/>
      <c r="I336" s="5"/>
      <c r="J336" s="4"/>
      <c r="K336" s="3"/>
      <c r="L336" s="2"/>
    </row>
    <row r="337" spans="1:12">
      <c r="A337" s="9"/>
      <c r="B337" s="8"/>
      <c r="C337" s="7"/>
      <c r="D337" s="7"/>
      <c r="E337" s="7"/>
      <c r="F337" s="7"/>
      <c r="G337" s="7"/>
      <c r="H337" s="6"/>
      <c r="I337" s="5"/>
      <c r="J337" s="4"/>
      <c r="K337" s="3"/>
      <c r="L337" s="2"/>
    </row>
  </sheetData>
  <mergeCells count="37">
    <mergeCell ref="B331:K331"/>
    <mergeCell ref="B333:K333"/>
    <mergeCell ref="B327:K327"/>
    <mergeCell ref="B328:K328"/>
    <mergeCell ref="B329:K329"/>
    <mergeCell ref="B330:K330"/>
    <mergeCell ref="B332:K332"/>
    <mergeCell ref="B308:K308"/>
    <mergeCell ref="B309:K309"/>
    <mergeCell ref="B326:K326"/>
    <mergeCell ref="B311:K311"/>
    <mergeCell ref="B316:K316"/>
    <mergeCell ref="B317:K317"/>
    <mergeCell ref="B318:K318"/>
    <mergeCell ref="B319:K319"/>
    <mergeCell ref="B320:K320"/>
    <mergeCell ref="B321:K321"/>
    <mergeCell ref="B310:K310"/>
    <mergeCell ref="B322:K322"/>
    <mergeCell ref="B323:K323"/>
    <mergeCell ref="B324:K324"/>
    <mergeCell ref="B325:K325"/>
    <mergeCell ref="B304:K304"/>
    <mergeCell ref="B305:K305"/>
    <mergeCell ref="B306:K306"/>
    <mergeCell ref="B307:K307"/>
    <mergeCell ref="A221:K221"/>
    <mergeCell ref="A295:K295"/>
    <mergeCell ref="B300:C300"/>
    <mergeCell ref="B301:K301"/>
    <mergeCell ref="B302:K302"/>
    <mergeCell ref="B303:K303"/>
    <mergeCell ref="A6:K6"/>
    <mergeCell ref="A80:K80"/>
    <mergeCell ref="A151:K151"/>
    <mergeCell ref="B205:C205"/>
    <mergeCell ref="B209:C209"/>
  </mergeCells>
  <pageMargins left="0.7" right="0.7" top="0.75" bottom="0.75" header="0.3" footer="0.3"/>
  <pageSetup scale="54" fitToHeight="0" orientation="portrait" r:id="rId1"/>
  <rowBreaks count="4" manualBreakCount="4">
    <brk id="74" max="10" man="1"/>
    <brk id="145" max="10" man="1"/>
    <brk id="215" max="10" man="1"/>
    <brk id="28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workbookViewId="0">
      <selection activeCell="B16" sqref="B16"/>
    </sheetView>
  </sheetViews>
  <sheetFormatPr defaultRowHeight="12.75"/>
  <cols>
    <col min="1" max="1" width="4.140625" style="537" customWidth="1"/>
    <col min="2" max="2" width="65.5703125" style="537" customWidth="1"/>
    <col min="3" max="3" width="13.42578125" style="537" bestFit="1" customWidth="1"/>
    <col min="4" max="4" width="71.42578125" style="537" bestFit="1" customWidth="1"/>
    <col min="5" max="5" width="20.7109375" style="537" customWidth="1"/>
    <col min="6" max="7" width="9.140625" style="537"/>
    <col min="8" max="8" width="9.140625" style="541"/>
    <col min="9" max="16384" width="9.140625" style="537"/>
  </cols>
  <sheetData>
    <row r="1" spans="1:8" ht="15.75">
      <c r="A1" s="741" t="s">
        <v>342</v>
      </c>
    </row>
    <row r="2" spans="1:8" ht="15.75">
      <c r="A2" s="741" t="s">
        <v>777</v>
      </c>
    </row>
    <row r="3" spans="1:8" ht="15.75">
      <c r="A3" s="743" t="s">
        <v>576</v>
      </c>
    </row>
    <row r="6" spans="1:8" s="777" customFormat="1">
      <c r="A6" s="806"/>
      <c r="B6" s="792"/>
      <c r="C6" s="792"/>
      <c r="D6" s="792"/>
      <c r="E6" s="792"/>
      <c r="F6" s="791"/>
      <c r="H6" s="799"/>
    </row>
    <row r="7" spans="1:8" s="777" customFormat="1">
      <c r="A7" s="805" t="s">
        <v>776</v>
      </c>
      <c r="C7" s="783"/>
      <c r="D7" s="783"/>
      <c r="E7" s="783"/>
      <c r="F7" s="782"/>
      <c r="H7" s="799"/>
    </row>
    <row r="8" spans="1:8" s="777" customFormat="1">
      <c r="A8" s="796">
        <v>-1</v>
      </c>
      <c r="B8" s="794" t="s">
        <v>775</v>
      </c>
      <c r="C8" s="795">
        <v>1482742</v>
      </c>
      <c r="D8" s="804" t="s">
        <v>774</v>
      </c>
      <c r="E8" s="778"/>
      <c r="F8" s="782"/>
      <c r="H8" s="799"/>
    </row>
    <row r="9" spans="1:8" s="777" customFormat="1">
      <c r="A9" s="796"/>
      <c r="B9" s="790"/>
      <c r="C9" s="801"/>
      <c r="D9" s="783"/>
      <c r="E9" s="783"/>
      <c r="F9" s="782"/>
      <c r="H9" s="799"/>
    </row>
    <row r="10" spans="1:8" s="777" customFormat="1">
      <c r="A10" s="796">
        <f>A8-1</f>
        <v>-2</v>
      </c>
      <c r="B10" s="785" t="s">
        <v>773</v>
      </c>
      <c r="C10" s="795">
        <v>61276</v>
      </c>
      <c r="D10" s="804" t="s">
        <v>772</v>
      </c>
      <c r="E10" s="783"/>
      <c r="F10" s="782"/>
      <c r="H10" s="799"/>
    </row>
    <row r="11" spans="1:8" s="799" customFormat="1">
      <c r="A11" s="796"/>
      <c r="B11" s="803"/>
      <c r="C11" s="601"/>
      <c r="D11" s="802"/>
      <c r="E11" s="801"/>
      <c r="F11" s="800"/>
    </row>
    <row r="12" spans="1:8" s="777" customFormat="1">
      <c r="A12" s="796">
        <f>A10-1</f>
        <v>-3</v>
      </c>
      <c r="B12" s="788" t="s">
        <v>771</v>
      </c>
      <c r="C12" s="795">
        <v>538343533.70000005</v>
      </c>
      <c r="D12" s="785" t="s">
        <v>770</v>
      </c>
      <c r="E12" s="783"/>
      <c r="F12" s="782"/>
      <c r="H12" s="799"/>
    </row>
    <row r="13" spans="1:8" s="777" customFormat="1">
      <c r="A13" s="796">
        <f t="shared" ref="A13:A21" si="0">A12-1</f>
        <v>-4</v>
      </c>
      <c r="B13" s="788" t="s">
        <v>769</v>
      </c>
      <c r="C13" s="601">
        <v>-6531567</v>
      </c>
      <c r="D13" s="785" t="s">
        <v>768</v>
      </c>
      <c r="E13" s="783"/>
      <c r="F13" s="782"/>
      <c r="H13" s="799"/>
    </row>
    <row r="14" spans="1:8" s="777" customFormat="1">
      <c r="A14" s="796">
        <f t="shared" si="0"/>
        <v>-5</v>
      </c>
      <c r="B14" s="788" t="s">
        <v>767</v>
      </c>
      <c r="C14" s="601">
        <v>9063349.6600000001</v>
      </c>
      <c r="D14" s="783" t="s">
        <v>766</v>
      </c>
      <c r="E14" s="783"/>
      <c r="F14" s="782"/>
      <c r="H14" s="799"/>
    </row>
    <row r="15" spans="1:8" s="777" customFormat="1">
      <c r="A15" s="796">
        <f t="shared" si="0"/>
        <v>-6</v>
      </c>
      <c r="B15" s="788" t="s">
        <v>765</v>
      </c>
      <c r="C15" s="601">
        <v>91013686.640000001</v>
      </c>
      <c r="D15" s="785" t="s">
        <v>764</v>
      </c>
      <c r="E15" s="783"/>
      <c r="F15" s="782"/>
      <c r="H15" s="799"/>
    </row>
    <row r="16" spans="1:8" s="777" customFormat="1">
      <c r="A16" s="796">
        <f t="shared" si="0"/>
        <v>-7</v>
      </c>
      <c r="B16" s="788" t="s">
        <v>763</v>
      </c>
      <c r="C16" s="601">
        <v>-5641228.4299999997</v>
      </c>
      <c r="D16" s="785" t="s">
        <v>762</v>
      </c>
      <c r="E16" s="783"/>
      <c r="F16" s="782"/>
      <c r="H16" s="799"/>
    </row>
    <row r="17" spans="1:8" s="777" customFormat="1">
      <c r="A17" s="796">
        <f t="shared" si="0"/>
        <v>-8</v>
      </c>
      <c r="B17" s="788" t="s">
        <v>761</v>
      </c>
      <c r="C17" s="601">
        <v>8132724.1799999997</v>
      </c>
      <c r="D17" s="785" t="s">
        <v>760</v>
      </c>
      <c r="E17" s="783"/>
      <c r="F17" s="782"/>
      <c r="H17" s="799"/>
    </row>
    <row r="18" spans="1:8" s="777" customFormat="1">
      <c r="A18" s="796">
        <f t="shared" si="0"/>
        <v>-9</v>
      </c>
      <c r="B18" s="788" t="s">
        <v>759</v>
      </c>
      <c r="C18" s="838">
        <v>1485595.4</v>
      </c>
      <c r="D18" s="785" t="s">
        <v>758</v>
      </c>
      <c r="E18" s="783"/>
      <c r="F18" s="782"/>
      <c r="H18" s="809"/>
    </row>
    <row r="19" spans="1:8" s="777" customFormat="1">
      <c r="A19" s="796">
        <f t="shared" si="0"/>
        <v>-10</v>
      </c>
      <c r="B19" s="293" t="s">
        <v>844</v>
      </c>
      <c r="C19" s="795">
        <f>SUM(C12:C18)</f>
        <v>635866094.14999998</v>
      </c>
      <c r="D19" s="797"/>
      <c r="E19" s="783"/>
      <c r="F19" s="782"/>
      <c r="H19" s="799"/>
    </row>
    <row r="20" spans="1:8" s="777" customFormat="1">
      <c r="A20" s="796">
        <f t="shared" si="0"/>
        <v>-11</v>
      </c>
      <c r="B20" s="788" t="s">
        <v>757</v>
      </c>
      <c r="C20" s="601">
        <v>-18348268</v>
      </c>
      <c r="D20" s="785" t="s">
        <v>756</v>
      </c>
      <c r="E20" s="783"/>
      <c r="F20" s="782"/>
      <c r="H20" s="799"/>
    </row>
    <row r="21" spans="1:8" s="777" customFormat="1" ht="13.5" thickBot="1">
      <c r="A21" s="796">
        <f t="shared" si="0"/>
        <v>-12</v>
      </c>
      <c r="B21" s="785" t="s">
        <v>845</v>
      </c>
      <c r="C21" s="798">
        <f>SUM(C19:C20)</f>
        <v>617517826.14999998</v>
      </c>
      <c r="D21" s="797" t="s">
        <v>755</v>
      </c>
      <c r="E21" s="783"/>
      <c r="F21" s="782"/>
      <c r="H21" s="799"/>
    </row>
    <row r="22" spans="1:8" s="777" customFormat="1" ht="13.5" thickTop="1">
      <c r="A22" s="796"/>
      <c r="B22" s="785"/>
      <c r="C22" s="807"/>
      <c r="D22" s="797"/>
      <c r="E22" s="783"/>
      <c r="F22" s="782"/>
      <c r="H22" s="799"/>
    </row>
    <row r="23" spans="1:8" s="777" customFormat="1">
      <c r="A23" s="796">
        <f>A21-1</f>
        <v>-13</v>
      </c>
      <c r="B23" s="785" t="s">
        <v>754</v>
      </c>
      <c r="C23" s="795">
        <f>C8</f>
        <v>1482742</v>
      </c>
      <c r="D23" s="797"/>
      <c r="E23" s="783"/>
      <c r="F23" s="782"/>
      <c r="H23" s="808"/>
    </row>
    <row r="24" spans="1:8" s="777" customFormat="1" ht="25.5">
      <c r="A24" s="840">
        <f>A23-1</f>
        <v>-14</v>
      </c>
      <c r="B24" s="839" t="s">
        <v>804</v>
      </c>
      <c r="C24" s="842">
        <f>SUM(C10,C21)</f>
        <v>617579102.14999998</v>
      </c>
      <c r="D24" s="841" t="s">
        <v>753</v>
      </c>
      <c r="E24" s="787"/>
      <c r="F24" s="782"/>
      <c r="H24" s="799"/>
    </row>
    <row r="25" spans="1:8" s="777" customFormat="1">
      <c r="A25" s="796">
        <f>A24-1</f>
        <v>-15</v>
      </c>
      <c r="B25" s="785" t="s">
        <v>752</v>
      </c>
      <c r="C25" s="795">
        <f>SUM(C12:C13)</f>
        <v>531811966.70000005</v>
      </c>
      <c r="D25" s="293"/>
      <c r="E25" s="783"/>
      <c r="F25" s="782"/>
      <c r="H25" s="799"/>
    </row>
    <row r="26" spans="1:8" s="777" customFormat="1">
      <c r="A26" s="796">
        <f>A25-1</f>
        <v>-16</v>
      </c>
      <c r="B26" s="785" t="s">
        <v>751</v>
      </c>
      <c r="C26" s="795">
        <f>SUM(C15:C16)</f>
        <v>85372458.210000008</v>
      </c>
      <c r="D26" s="794" t="s">
        <v>750</v>
      </c>
      <c r="E26" s="783"/>
      <c r="F26" s="782"/>
      <c r="H26" s="799"/>
    </row>
    <row r="27" spans="1:8" s="777" customFormat="1">
      <c r="A27" s="796">
        <f>A26-1</f>
        <v>-17</v>
      </c>
      <c r="B27" s="785" t="s">
        <v>749</v>
      </c>
      <c r="C27" s="795">
        <f>SUM(C17:C18)</f>
        <v>9618319.5800000001</v>
      </c>
      <c r="D27" s="794" t="s">
        <v>748</v>
      </c>
      <c r="E27" s="783"/>
      <c r="F27" s="782"/>
      <c r="H27" s="799"/>
    </row>
    <row r="28" spans="1:8" s="777" customFormat="1">
      <c r="A28" s="796">
        <f>A27-1</f>
        <v>-18</v>
      </c>
      <c r="B28" s="785" t="s">
        <v>747</v>
      </c>
      <c r="C28" s="795">
        <f>SUM(C10,C14)</f>
        <v>9124625.6600000001</v>
      </c>
      <c r="D28" s="794"/>
      <c r="E28" s="783"/>
      <c r="F28" s="782"/>
      <c r="H28" s="799"/>
    </row>
    <row r="29" spans="1:8" s="777" customFormat="1">
      <c r="A29" s="781"/>
      <c r="B29" s="780"/>
      <c r="C29" s="780"/>
      <c r="D29" s="519"/>
      <c r="E29" s="780"/>
      <c r="F29" s="779"/>
      <c r="H29" s="799"/>
    </row>
    <row r="30" spans="1:8" s="777" customFormat="1">
      <c r="A30" s="778"/>
      <c r="B30" s="778"/>
      <c r="C30" s="778"/>
      <c r="D30" s="778"/>
      <c r="E30" s="778"/>
      <c r="F30" s="778"/>
      <c r="H30" s="799"/>
    </row>
    <row r="31" spans="1:8" s="777" customFormat="1">
      <c r="A31" s="793"/>
      <c r="B31" s="792"/>
      <c r="C31" s="792"/>
      <c r="D31" s="792"/>
      <c r="E31" s="792"/>
      <c r="F31" s="791"/>
      <c r="H31" s="799"/>
    </row>
    <row r="32" spans="1:8" s="777" customFormat="1">
      <c r="A32" s="786"/>
      <c r="B32" s="790" t="s">
        <v>746</v>
      </c>
      <c r="C32" s="783"/>
      <c r="D32" s="783"/>
      <c r="E32" s="783"/>
      <c r="F32" s="782"/>
      <c r="H32" s="799"/>
    </row>
    <row r="33" spans="1:8" s="777" customFormat="1">
      <c r="A33" s="786"/>
      <c r="B33" s="785" t="s">
        <v>745</v>
      </c>
      <c r="C33" s="789">
        <f>'Network True-up'!G6</f>
        <v>531811966.44882184</v>
      </c>
      <c r="D33" s="778"/>
      <c r="E33" s="783"/>
      <c r="F33" s="782"/>
      <c r="H33" s="799"/>
    </row>
    <row r="34" spans="1:8" s="777" customFormat="1">
      <c r="A34" s="786"/>
      <c r="B34" s="783"/>
      <c r="C34" s="783"/>
      <c r="D34" s="778"/>
      <c r="E34" s="783"/>
      <c r="F34" s="782"/>
      <c r="H34" s="799"/>
    </row>
    <row r="35" spans="1:8" s="777" customFormat="1">
      <c r="A35" s="786"/>
      <c r="B35" s="788" t="s">
        <v>778</v>
      </c>
      <c r="C35" s="787">
        <f>'Network True-up'!G8</f>
        <v>538343533.70000005</v>
      </c>
      <c r="D35" s="778"/>
      <c r="E35" s="783"/>
      <c r="F35" s="782"/>
      <c r="H35" s="799"/>
    </row>
    <row r="36" spans="1:8" s="777" customFormat="1">
      <c r="A36" s="786"/>
      <c r="B36" s="783"/>
      <c r="C36" s="783"/>
      <c r="D36" s="778"/>
      <c r="E36" s="783"/>
      <c r="F36" s="782"/>
      <c r="H36" s="799"/>
    </row>
    <row r="37" spans="1:8" s="777" customFormat="1" ht="13.5" thickBot="1">
      <c r="A37" s="786"/>
      <c r="B37" s="785" t="s">
        <v>779</v>
      </c>
      <c r="C37" s="784">
        <f>C33-C35</f>
        <v>-6531567.251178205</v>
      </c>
      <c r="D37" s="778"/>
      <c r="E37" s="783"/>
      <c r="F37" s="782"/>
      <c r="H37" s="799"/>
    </row>
    <row r="38" spans="1:8" s="777" customFormat="1" ht="13.5" thickTop="1">
      <c r="A38" s="781"/>
      <c r="B38" s="780"/>
      <c r="C38" s="780"/>
      <c r="D38" s="780"/>
      <c r="E38" s="780"/>
      <c r="F38" s="779"/>
      <c r="H38" s="799"/>
    </row>
    <row r="39" spans="1:8" s="777" customFormat="1">
      <c r="A39" s="778"/>
      <c r="B39" s="778"/>
      <c r="C39" s="778"/>
      <c r="D39" s="778"/>
      <c r="E39" s="778"/>
      <c r="F39" s="778"/>
      <c r="H39" s="799"/>
    </row>
  </sheetData>
  <pageMargins left="0.7" right="0.7" top="0.75" bottom="0.75" header="0.3" footer="0.3"/>
  <pageSetup scale="67" orientation="landscape" verticalDpi="0" r:id="rId1"/>
  <ignoredErrors>
    <ignoredError sqref="C25:C2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X177"/>
  <sheetViews>
    <sheetView zoomScale="70" zoomScaleNormal="70" zoomScaleSheetLayoutView="70" workbookViewId="0">
      <selection activeCell="O75" sqref="O75"/>
    </sheetView>
  </sheetViews>
  <sheetFormatPr defaultRowHeight="15"/>
  <cols>
    <col min="1" max="1" width="10.85546875" style="430" bestFit="1" customWidth="1"/>
    <col min="2" max="2" width="7.7109375" style="326" customWidth="1"/>
    <col min="3" max="3" width="1.85546875" style="326" customWidth="1"/>
    <col min="4" max="4" width="69.42578125" style="326" bestFit="1" customWidth="1"/>
    <col min="5" max="5" width="18.140625" style="326" customWidth="1"/>
    <col min="6" max="6" width="21.7109375" style="326" customWidth="1"/>
    <col min="7" max="8" width="18.140625" style="326" customWidth="1"/>
    <col min="9" max="9" width="17.85546875" style="326" customWidth="1"/>
    <col min="10" max="11" width="16.42578125" style="326" customWidth="1"/>
    <col min="12" max="13" width="17.42578125" style="326" customWidth="1"/>
    <col min="14" max="14" width="20.5703125" style="326" customWidth="1"/>
    <col min="15" max="15" width="16.42578125" style="326" customWidth="1"/>
    <col min="16" max="16" width="17.85546875" style="326" customWidth="1"/>
    <col min="17" max="17" width="11.7109375" style="326" bestFit="1" customWidth="1"/>
    <col min="18" max="18" width="16.7109375" style="430" customWidth="1"/>
    <col min="19" max="20" width="11.7109375" style="326" bestFit="1" customWidth="1"/>
    <col min="21" max="21" width="12" style="326" bestFit="1" customWidth="1"/>
    <col min="22" max="22" width="11.7109375" style="326" bestFit="1" customWidth="1"/>
    <col min="23" max="16384" width="9.140625" style="326"/>
  </cols>
  <sheetData>
    <row r="1" spans="2:20">
      <c r="P1" s="435"/>
    </row>
    <row r="2" spans="2:20">
      <c r="P2" s="435"/>
    </row>
    <row r="4" spans="2:20">
      <c r="P4" s="435" t="s">
        <v>529</v>
      </c>
    </row>
    <row r="5" spans="2:20" ht="15.75">
      <c r="D5" s="374" t="s">
        <v>398</v>
      </c>
      <c r="E5" s="374"/>
      <c r="F5" s="374"/>
      <c r="G5" s="374"/>
      <c r="H5" s="375" t="s">
        <v>397</v>
      </c>
      <c r="I5" s="374"/>
      <c r="J5" s="374"/>
      <c r="K5" s="374"/>
      <c r="L5" s="373"/>
      <c r="M5" s="373"/>
      <c r="N5" s="439"/>
      <c r="O5" s="378"/>
      <c r="P5" s="224" t="s">
        <v>644</v>
      </c>
      <c r="Q5" s="337"/>
      <c r="R5" s="455"/>
      <c r="S5" s="337"/>
      <c r="T5" s="337"/>
    </row>
    <row r="6" spans="2:20">
      <c r="D6" s="374"/>
      <c r="E6" s="374"/>
      <c r="F6" s="317" t="s">
        <v>68</v>
      </c>
      <c r="G6" s="317"/>
      <c r="H6" s="317" t="s">
        <v>504</v>
      </c>
      <c r="I6" s="317"/>
      <c r="J6" s="317"/>
      <c r="K6" s="317"/>
      <c r="L6" s="373"/>
      <c r="M6" s="373"/>
      <c r="O6" s="339"/>
      <c r="P6" s="373"/>
      <c r="Q6" s="337"/>
      <c r="R6" s="456"/>
      <c r="S6" s="337"/>
      <c r="T6" s="337"/>
    </row>
    <row r="7" spans="2:20">
      <c r="D7" s="339"/>
      <c r="E7" s="339"/>
      <c r="F7" s="339"/>
      <c r="G7" s="339"/>
      <c r="H7" s="339"/>
      <c r="I7" s="339"/>
      <c r="J7" s="339"/>
      <c r="K7" s="339"/>
      <c r="L7" s="339"/>
      <c r="M7" s="339"/>
      <c r="O7" s="339"/>
      <c r="P7" s="339" t="s">
        <v>396</v>
      </c>
      <c r="Q7" s="337"/>
      <c r="R7" s="455"/>
      <c r="S7" s="337"/>
      <c r="T7" s="337"/>
    </row>
    <row r="8" spans="2:20">
      <c r="B8" s="433"/>
      <c r="D8" s="339"/>
      <c r="E8" s="339"/>
      <c r="F8" s="339"/>
      <c r="G8" s="378"/>
      <c r="H8" s="379" t="s">
        <v>342</v>
      </c>
      <c r="I8" s="378"/>
      <c r="J8" s="339"/>
      <c r="K8" s="339"/>
      <c r="L8" s="339"/>
      <c r="M8" s="339"/>
      <c r="N8" s="339"/>
      <c r="O8" s="339"/>
      <c r="P8" s="339"/>
      <c r="Q8" s="337"/>
      <c r="R8" s="455"/>
      <c r="S8" s="337"/>
      <c r="T8" s="337"/>
    </row>
    <row r="9" spans="2:20">
      <c r="B9" s="433"/>
      <c r="D9" s="339"/>
      <c r="E9" s="339"/>
      <c r="F9" s="339"/>
      <c r="G9" s="339"/>
      <c r="H9" s="372"/>
      <c r="I9" s="339"/>
      <c r="J9" s="339"/>
      <c r="K9" s="339"/>
      <c r="L9" s="339"/>
      <c r="M9" s="339"/>
      <c r="N9" s="339"/>
      <c r="O9" s="339"/>
      <c r="P9" s="339"/>
      <c r="Q9" s="337"/>
      <c r="R9" s="455"/>
      <c r="S9" s="337"/>
      <c r="T9" s="337"/>
    </row>
    <row r="10" spans="2:20">
      <c r="B10" s="433"/>
      <c r="D10" s="339" t="s">
        <v>520</v>
      </c>
      <c r="E10" s="339"/>
      <c r="F10" s="339"/>
      <c r="G10" s="339"/>
      <c r="H10" s="372"/>
      <c r="I10" s="339"/>
      <c r="J10" s="339"/>
      <c r="K10" s="339"/>
      <c r="L10" s="339"/>
      <c r="M10" s="339"/>
      <c r="N10" s="339"/>
      <c r="O10" s="339"/>
      <c r="P10" s="339"/>
      <c r="Q10" s="337"/>
      <c r="R10" s="455"/>
      <c r="S10" s="337"/>
      <c r="T10" s="337"/>
    </row>
    <row r="11" spans="2:20">
      <c r="B11" s="433"/>
      <c r="D11" s="339"/>
      <c r="E11" s="339"/>
      <c r="F11" s="339"/>
      <c r="G11" s="339"/>
      <c r="H11" s="372"/>
      <c r="N11" s="339"/>
      <c r="O11" s="339"/>
      <c r="P11" s="339"/>
      <c r="Q11" s="337"/>
      <c r="R11" s="455"/>
      <c r="S11" s="337"/>
      <c r="T11" s="337"/>
    </row>
    <row r="12" spans="2:20">
      <c r="B12" s="433"/>
      <c r="D12" s="339"/>
      <c r="E12" s="339"/>
      <c r="F12" s="339"/>
      <c r="G12" s="339"/>
      <c r="H12" s="339"/>
      <c r="N12" s="371"/>
      <c r="O12" s="339"/>
      <c r="P12" s="339"/>
      <c r="Q12" s="337"/>
      <c r="R12" s="455"/>
      <c r="S12" s="337"/>
      <c r="T12" s="337"/>
    </row>
    <row r="13" spans="2:20">
      <c r="D13" s="370" t="s">
        <v>246</v>
      </c>
      <c r="E13" s="370"/>
      <c r="F13" s="370" t="s">
        <v>245</v>
      </c>
      <c r="G13" s="370"/>
      <c r="H13" s="370" t="s">
        <v>244</v>
      </c>
      <c r="N13" s="332" t="s">
        <v>243</v>
      </c>
      <c r="O13" s="317"/>
      <c r="P13" s="332"/>
      <c r="Q13" s="336"/>
      <c r="R13" s="457"/>
      <c r="S13" s="336"/>
      <c r="T13" s="335"/>
    </row>
    <row r="14" spans="2:20" ht="15.75">
      <c r="D14" s="331"/>
      <c r="E14" s="331"/>
      <c r="F14" s="363" t="s">
        <v>518</v>
      </c>
      <c r="G14" s="363"/>
      <c r="H14" s="317"/>
      <c r="O14" s="317"/>
      <c r="Q14" s="336"/>
      <c r="R14" s="456"/>
      <c r="S14" s="358"/>
      <c r="T14" s="335"/>
    </row>
    <row r="15" spans="2:20" ht="15.75">
      <c r="B15" s="433" t="s">
        <v>8</v>
      </c>
      <c r="D15" s="331"/>
      <c r="E15" s="331"/>
      <c r="F15" s="369" t="s">
        <v>240</v>
      </c>
      <c r="G15" s="369"/>
      <c r="H15" s="368" t="s">
        <v>25</v>
      </c>
      <c r="N15" s="368" t="s">
        <v>334</v>
      </c>
      <c r="O15" s="317"/>
      <c r="Q15" s="337"/>
      <c r="R15" s="458"/>
      <c r="S15" s="358"/>
      <c r="T15" s="335"/>
    </row>
    <row r="16" spans="2:20" ht="15.75">
      <c r="B16" s="433" t="s">
        <v>178</v>
      </c>
      <c r="D16" s="356"/>
      <c r="E16" s="356"/>
      <c r="F16" s="317"/>
      <c r="G16" s="317"/>
      <c r="H16" s="317"/>
      <c r="N16" s="317"/>
      <c r="O16" s="317"/>
      <c r="P16" s="317"/>
      <c r="Q16" s="337"/>
      <c r="R16" s="459"/>
      <c r="S16" s="336"/>
      <c r="T16" s="335"/>
    </row>
    <row r="17" spans="2:20" ht="15.75">
      <c r="B17" s="367"/>
      <c r="D17" s="331"/>
      <c r="E17" s="331"/>
      <c r="F17" s="317"/>
      <c r="G17" s="317"/>
      <c r="H17" s="317"/>
      <c r="N17" s="317"/>
      <c r="O17" s="317"/>
      <c r="P17" s="317"/>
      <c r="Q17" s="337"/>
      <c r="R17" s="459"/>
      <c r="S17" s="336"/>
      <c r="T17" s="335"/>
    </row>
    <row r="18" spans="2:20">
      <c r="B18" s="359">
        <v>1</v>
      </c>
      <c r="D18" s="331" t="s">
        <v>395</v>
      </c>
      <c r="E18" s="331"/>
      <c r="F18" s="314" t="s">
        <v>530</v>
      </c>
      <c r="G18" s="314"/>
      <c r="H18" s="208">
        <f>'ATC Attach O ER13-1181'!I87+'ATC Attach O ER13-1181'!I88</f>
        <v>4432968795.8369226</v>
      </c>
      <c r="O18" s="317"/>
      <c r="P18" s="317"/>
      <c r="Q18" s="337"/>
      <c r="R18" s="459"/>
      <c r="S18" s="336"/>
      <c r="T18" s="335"/>
    </row>
    <row r="19" spans="2:20">
      <c r="B19" s="359">
        <v>2</v>
      </c>
      <c r="D19" s="331" t="s">
        <v>394</v>
      </c>
      <c r="E19" s="331"/>
      <c r="F19" s="314" t="s">
        <v>539</v>
      </c>
      <c r="G19" s="314"/>
      <c r="H19" s="208">
        <f>'ATC Attach O ER13-1181'!I105+'ATC Attach O ER13-1181'!I106</f>
        <v>3353873924.8369231</v>
      </c>
      <c r="O19" s="317"/>
      <c r="P19" s="317"/>
      <c r="Q19" s="337"/>
      <c r="R19" s="459"/>
      <c r="S19" s="336"/>
      <c r="T19" s="335"/>
    </row>
    <row r="20" spans="2:20">
      <c r="B20" s="359"/>
      <c r="F20" s="314"/>
      <c r="G20" s="314"/>
      <c r="O20" s="317"/>
      <c r="P20" s="317"/>
      <c r="Q20" s="337"/>
      <c r="R20" s="459"/>
      <c r="S20" s="336"/>
      <c r="T20" s="335"/>
    </row>
    <row r="21" spans="2:20">
      <c r="B21" s="359"/>
      <c r="D21" s="331" t="s">
        <v>393</v>
      </c>
      <c r="E21" s="331"/>
      <c r="F21" s="314"/>
      <c r="G21" s="314"/>
      <c r="H21" s="317"/>
      <c r="N21" s="317"/>
      <c r="O21" s="317"/>
      <c r="P21" s="317"/>
      <c r="Q21" s="336"/>
      <c r="R21" s="459"/>
      <c r="S21" s="336"/>
      <c r="T21" s="335"/>
    </row>
    <row r="22" spans="2:20">
      <c r="B22" s="359">
        <v>3</v>
      </c>
      <c r="D22" s="331" t="s">
        <v>392</v>
      </c>
      <c r="E22" s="331"/>
      <c r="F22" s="314" t="s">
        <v>515</v>
      </c>
      <c r="G22" s="314"/>
      <c r="H22" s="208">
        <f>'ATC Attach O ER13-1181'!I165</f>
        <v>143136929.99188033</v>
      </c>
      <c r="N22" s="317"/>
      <c r="O22" s="317"/>
      <c r="P22" s="317"/>
      <c r="Q22" s="336"/>
      <c r="R22" s="459"/>
      <c r="S22" s="336"/>
      <c r="T22" s="335"/>
    </row>
    <row r="23" spans="2:20">
      <c r="B23" s="359" t="s">
        <v>448</v>
      </c>
      <c r="D23" s="331" t="s">
        <v>538</v>
      </c>
      <c r="E23" s="331"/>
      <c r="F23" s="314" t="s">
        <v>524</v>
      </c>
      <c r="G23" s="314"/>
      <c r="H23" s="407">
        <v>15474432</v>
      </c>
      <c r="N23" s="317"/>
      <c r="O23" s="317"/>
      <c r="P23" s="317"/>
      <c r="Q23" s="336"/>
      <c r="R23" s="459"/>
      <c r="S23" s="336"/>
      <c r="T23" s="335"/>
    </row>
    <row r="24" spans="2:20">
      <c r="B24" s="359" t="s">
        <v>446</v>
      </c>
      <c r="D24" s="331" t="s">
        <v>525</v>
      </c>
      <c r="E24" s="331"/>
      <c r="F24" s="314" t="s">
        <v>527</v>
      </c>
      <c r="G24" s="314"/>
      <c r="H24" s="438">
        <f>+H22-H23</f>
        <v>127662497.99188033</v>
      </c>
      <c r="O24" s="317"/>
      <c r="P24" s="317"/>
      <c r="Q24" s="336"/>
      <c r="R24" s="459"/>
      <c r="S24" s="336"/>
      <c r="T24" s="335"/>
    </row>
    <row r="25" spans="2:20" ht="15.75">
      <c r="B25" s="359">
        <v>4</v>
      </c>
      <c r="D25" s="331" t="s">
        <v>391</v>
      </c>
      <c r="E25" s="331"/>
      <c r="F25" s="314" t="s">
        <v>526</v>
      </c>
      <c r="G25" s="314"/>
      <c r="H25" s="319">
        <f>IF(H24=0,0,H24/H18)</f>
        <v>2.8798420172000846E-2</v>
      </c>
      <c r="N25" s="437">
        <f>H25</f>
        <v>2.8798420172000846E-2</v>
      </c>
      <c r="O25" s="317"/>
      <c r="P25" s="316"/>
      <c r="Q25" s="347"/>
      <c r="R25" s="460"/>
      <c r="S25" s="336"/>
      <c r="T25" s="335"/>
    </row>
    <row r="26" spans="2:20" ht="15.75">
      <c r="B26" s="359"/>
      <c r="D26" s="331"/>
      <c r="E26" s="331"/>
      <c r="F26" s="314"/>
      <c r="G26" s="314"/>
      <c r="H26" s="319"/>
      <c r="N26" s="437"/>
      <c r="O26" s="317"/>
      <c r="P26" s="316"/>
      <c r="Q26" s="347"/>
      <c r="R26" s="460"/>
      <c r="S26" s="336"/>
      <c r="T26" s="335"/>
    </row>
    <row r="27" spans="2:20" ht="15.75">
      <c r="B27" s="321"/>
      <c r="D27" s="331" t="s">
        <v>390</v>
      </c>
      <c r="E27" s="331"/>
      <c r="F27" s="320"/>
      <c r="G27" s="320"/>
      <c r="H27" s="317"/>
      <c r="N27" s="317"/>
      <c r="O27" s="317"/>
      <c r="P27" s="316"/>
      <c r="Q27" s="347"/>
      <c r="R27" s="460"/>
      <c r="S27" s="336"/>
      <c r="T27" s="335"/>
    </row>
    <row r="28" spans="2:20" ht="15.75">
      <c r="B28" s="321" t="s">
        <v>389</v>
      </c>
      <c r="D28" s="331" t="s">
        <v>388</v>
      </c>
      <c r="E28" s="331"/>
      <c r="F28" s="314" t="s">
        <v>508</v>
      </c>
      <c r="G28" s="314"/>
      <c r="H28" s="208">
        <f>'ATC Attach O ER13-1181'!I169+'ATC Attach O ER13-1181'!I170</f>
        <v>8601812</v>
      </c>
      <c r="O28" s="317"/>
      <c r="P28" s="316"/>
      <c r="Q28" s="347"/>
      <c r="R28" s="460"/>
      <c r="S28" s="336"/>
      <c r="T28" s="335"/>
    </row>
    <row r="29" spans="2:20" ht="15.75">
      <c r="B29" s="321" t="s">
        <v>387</v>
      </c>
      <c r="D29" s="331" t="s">
        <v>386</v>
      </c>
      <c r="E29" s="331"/>
      <c r="F29" s="314" t="s">
        <v>385</v>
      </c>
      <c r="G29" s="314"/>
      <c r="H29" s="319">
        <f>IF(H28=0,0,H28/H18)</f>
        <v>1.9404178996428104E-3</v>
      </c>
      <c r="N29" s="437">
        <f>H29</f>
        <v>1.9404178996428104E-3</v>
      </c>
      <c r="O29" s="317"/>
      <c r="P29" s="316"/>
      <c r="Q29" s="347"/>
      <c r="R29" s="460"/>
      <c r="S29" s="336"/>
      <c r="T29" s="335"/>
    </row>
    <row r="30" spans="2:20" ht="15.75">
      <c r="B30" s="359"/>
      <c r="D30" s="331"/>
      <c r="E30" s="331"/>
      <c r="F30" s="314"/>
      <c r="G30" s="314"/>
      <c r="H30" s="319"/>
      <c r="N30" s="437"/>
      <c r="O30" s="317"/>
      <c r="P30" s="316"/>
      <c r="Q30" s="347"/>
      <c r="R30" s="460"/>
      <c r="S30" s="336"/>
      <c r="T30" s="335"/>
    </row>
    <row r="31" spans="2:20">
      <c r="B31" s="321"/>
      <c r="D31" s="331" t="s">
        <v>384</v>
      </c>
      <c r="E31" s="331"/>
      <c r="F31" s="320"/>
      <c r="G31" s="320"/>
      <c r="H31" s="317"/>
      <c r="N31" s="317"/>
      <c r="O31" s="317"/>
      <c r="P31" s="317"/>
      <c r="Q31" s="336"/>
      <c r="R31" s="461"/>
      <c r="S31" s="336"/>
      <c r="T31" s="335"/>
    </row>
    <row r="32" spans="2:20" ht="15.75">
      <c r="B32" s="321" t="s">
        <v>383</v>
      </c>
      <c r="D32" s="331" t="s">
        <v>382</v>
      </c>
      <c r="E32" s="331"/>
      <c r="F32" s="314" t="s">
        <v>507</v>
      </c>
      <c r="G32" s="314"/>
      <c r="H32" s="208">
        <f>'ATC Attach O ER13-1181'!I182</f>
        <v>20406107.91</v>
      </c>
      <c r="O32" s="317"/>
      <c r="P32" s="366"/>
      <c r="Q32" s="336"/>
      <c r="R32" s="462"/>
      <c r="S32" s="358"/>
      <c r="T32" s="335"/>
    </row>
    <row r="33" spans="2:20" ht="15.75">
      <c r="B33" s="321" t="s">
        <v>381</v>
      </c>
      <c r="D33" s="331" t="s">
        <v>380</v>
      </c>
      <c r="E33" s="331"/>
      <c r="F33" s="314" t="s">
        <v>379</v>
      </c>
      <c r="G33" s="314"/>
      <c r="H33" s="319">
        <f>IF(H32=0,0,H32/H18)</f>
        <v>4.6032599934300754E-3</v>
      </c>
      <c r="N33" s="437">
        <f>H33</f>
        <v>4.6032599934300754E-3</v>
      </c>
      <c r="O33" s="317"/>
      <c r="P33" s="316"/>
      <c r="Q33" s="336"/>
      <c r="R33" s="460"/>
      <c r="S33" s="358"/>
      <c r="T33" s="335"/>
    </row>
    <row r="34" spans="2:20">
      <c r="B34" s="321"/>
      <c r="D34" s="331"/>
      <c r="E34" s="331"/>
      <c r="F34" s="314"/>
      <c r="G34" s="314"/>
      <c r="H34" s="317"/>
      <c r="N34" s="317"/>
      <c r="O34" s="317"/>
      <c r="S34" s="336"/>
      <c r="T34" s="335"/>
    </row>
    <row r="35" spans="2:20" ht="15.75">
      <c r="B35" s="365" t="s">
        <v>378</v>
      </c>
      <c r="C35" s="364"/>
      <c r="D35" s="356" t="s">
        <v>10</v>
      </c>
      <c r="E35" s="356"/>
      <c r="F35" s="363" t="s">
        <v>377</v>
      </c>
      <c r="G35" s="363"/>
      <c r="H35" s="362"/>
      <c r="N35" s="200">
        <f>N25+N29+N33</f>
        <v>3.5342098065073733E-2</v>
      </c>
      <c r="O35" s="317"/>
      <c r="S35" s="336"/>
      <c r="T35" s="335"/>
    </row>
    <row r="36" spans="2:20">
      <c r="B36" s="321"/>
      <c r="D36" s="331"/>
      <c r="E36" s="331"/>
      <c r="F36" s="314"/>
      <c r="G36" s="314"/>
      <c r="H36" s="317"/>
      <c r="N36" s="317"/>
      <c r="O36" s="317"/>
      <c r="P36" s="317"/>
      <c r="Q36" s="336"/>
      <c r="R36" s="463"/>
      <c r="S36" s="336"/>
      <c r="T36" s="335"/>
    </row>
    <row r="37" spans="2:20">
      <c r="B37" s="321"/>
      <c r="D37" s="317" t="s">
        <v>376</v>
      </c>
      <c r="E37" s="317"/>
      <c r="F37" s="314"/>
      <c r="G37" s="314"/>
      <c r="H37" s="317"/>
      <c r="N37" s="317"/>
      <c r="O37" s="317"/>
      <c r="S37" s="358"/>
      <c r="T37" s="336" t="s">
        <v>68</v>
      </c>
    </row>
    <row r="38" spans="2:20">
      <c r="B38" s="321" t="s">
        <v>375</v>
      </c>
      <c r="D38" s="317" t="s">
        <v>13</v>
      </c>
      <c r="E38" s="317"/>
      <c r="F38" s="314" t="s">
        <v>506</v>
      </c>
      <c r="G38" s="314"/>
      <c r="H38" s="208">
        <f>'ATC Attach O ER13-1181'!I197</f>
        <v>103489195.10818884</v>
      </c>
      <c r="N38" s="317"/>
      <c r="O38" s="317"/>
      <c r="S38" s="358"/>
      <c r="T38" s="336"/>
    </row>
    <row r="39" spans="2:20" ht="15.75">
      <c r="B39" s="321" t="s">
        <v>374</v>
      </c>
      <c r="D39" s="317" t="s">
        <v>373</v>
      </c>
      <c r="E39" s="317"/>
      <c r="F39" s="314" t="s">
        <v>372</v>
      </c>
      <c r="G39" s="314"/>
      <c r="H39" s="319">
        <f>IF(H38=0,0,H38/H19)</f>
        <v>3.0856614597765727E-2</v>
      </c>
      <c r="N39" s="437">
        <f>H39</f>
        <v>3.0856614597765727E-2</v>
      </c>
      <c r="O39" s="317"/>
      <c r="Q39" s="336"/>
      <c r="R39" s="459"/>
      <c r="S39" s="358"/>
      <c r="T39" s="336"/>
    </row>
    <row r="40" spans="2:20">
      <c r="B40" s="321"/>
      <c r="D40" s="317"/>
      <c r="E40" s="317"/>
      <c r="F40" s="314"/>
      <c r="G40" s="314"/>
      <c r="H40" s="317"/>
      <c r="N40" s="317"/>
      <c r="O40" s="317"/>
      <c r="Q40" s="337"/>
      <c r="R40" s="459"/>
      <c r="S40" s="337"/>
      <c r="T40" s="335"/>
    </row>
    <row r="41" spans="2:20">
      <c r="B41" s="321"/>
      <c r="D41" s="331" t="s">
        <v>190</v>
      </c>
      <c r="E41" s="331"/>
      <c r="F41" s="361"/>
      <c r="G41" s="361"/>
      <c r="O41" s="317"/>
      <c r="Q41" s="336"/>
      <c r="R41" s="459"/>
      <c r="S41" s="336"/>
      <c r="T41" s="335"/>
    </row>
    <row r="42" spans="2:20">
      <c r="B42" s="321" t="s">
        <v>371</v>
      </c>
      <c r="D42" s="331" t="s">
        <v>370</v>
      </c>
      <c r="E42" s="331"/>
      <c r="F42" s="314" t="s">
        <v>505</v>
      </c>
      <c r="G42" s="314"/>
      <c r="H42" s="208">
        <f>'ATC Attach O ER13-1181'!I199</f>
        <v>246303484.88554946</v>
      </c>
      <c r="N42" s="317"/>
      <c r="O42" s="317"/>
      <c r="Q42" s="336"/>
      <c r="R42" s="459"/>
      <c r="S42" s="336"/>
      <c r="T42" s="335"/>
    </row>
    <row r="43" spans="2:20" ht="15.75">
      <c r="B43" s="321" t="s">
        <v>369</v>
      </c>
      <c r="D43" s="317" t="s">
        <v>368</v>
      </c>
      <c r="E43" s="317"/>
      <c r="F43" s="314" t="s">
        <v>367</v>
      </c>
      <c r="G43" s="314"/>
      <c r="H43" s="175">
        <f>IF(H42=0,0,H42/H19)</f>
        <v>7.3438504369995231E-2</v>
      </c>
      <c r="N43" s="437">
        <f>H43</f>
        <v>7.3438504369995231E-2</v>
      </c>
      <c r="O43" s="317"/>
      <c r="R43" s="464"/>
      <c r="S43" s="358"/>
      <c r="T43" s="336"/>
    </row>
    <row r="44" spans="2:20">
      <c r="B44" s="321"/>
      <c r="D44" s="331"/>
      <c r="E44" s="331"/>
      <c r="F44" s="314"/>
      <c r="G44" s="314"/>
      <c r="H44" s="317"/>
      <c r="N44" s="317"/>
      <c r="O44" s="317"/>
      <c r="P44" s="361"/>
      <c r="Q44" s="336"/>
      <c r="R44" s="459"/>
      <c r="S44" s="336"/>
      <c r="T44" s="335"/>
    </row>
    <row r="45" spans="2:20" ht="15.75">
      <c r="B45" s="365" t="s">
        <v>366</v>
      </c>
      <c r="C45" s="364"/>
      <c r="D45" s="356" t="s">
        <v>9</v>
      </c>
      <c r="E45" s="356"/>
      <c r="F45" s="363" t="s">
        <v>365</v>
      </c>
      <c r="G45" s="363"/>
      <c r="H45" s="362"/>
      <c r="N45" s="200">
        <f>N39+N43</f>
        <v>0.10429511896776096</v>
      </c>
      <c r="O45" s="317"/>
      <c r="P45" s="361"/>
      <c r="Q45" s="336"/>
      <c r="R45" s="459"/>
      <c r="S45" s="336"/>
      <c r="T45" s="335"/>
    </row>
    <row r="46" spans="2:20">
      <c r="O46" s="339"/>
      <c r="P46" s="339"/>
      <c r="Q46" s="336"/>
      <c r="R46" s="459"/>
      <c r="S46" s="336"/>
      <c r="T46" s="335"/>
    </row>
    <row r="47" spans="2:20">
      <c r="O47" s="339"/>
      <c r="P47" s="339"/>
      <c r="Q47" s="336"/>
      <c r="R47" s="459"/>
      <c r="S47" s="336"/>
      <c r="T47" s="335"/>
    </row>
    <row r="48" spans="2:20">
      <c r="O48" s="339"/>
      <c r="P48" s="339"/>
      <c r="Q48" s="336"/>
      <c r="R48" s="459"/>
      <c r="S48" s="336"/>
      <c r="T48" s="335"/>
    </row>
    <row r="49" spans="2:20">
      <c r="O49" s="339"/>
      <c r="P49" s="339"/>
      <c r="Q49" s="335"/>
      <c r="R49" s="455"/>
      <c r="S49" s="335"/>
      <c r="T49" s="335"/>
    </row>
    <row r="50" spans="2:20">
      <c r="O50" s="317"/>
      <c r="P50" s="317"/>
      <c r="Q50" s="336"/>
      <c r="R50" s="455"/>
      <c r="S50" s="336"/>
      <c r="T50" s="335"/>
    </row>
    <row r="51" spans="2:20" ht="15.75">
      <c r="O51" s="317"/>
      <c r="P51" s="316"/>
      <c r="Q51" s="336"/>
      <c r="R51" s="459"/>
      <c r="S51" s="359"/>
      <c r="T51" s="336"/>
    </row>
    <row r="52" spans="2:20" ht="15.75">
      <c r="O52" s="317"/>
      <c r="P52" s="316"/>
      <c r="Q52" s="336"/>
      <c r="R52" s="459"/>
      <c r="S52" s="359"/>
      <c r="T52" s="336"/>
    </row>
    <row r="53" spans="2:20" ht="15.75">
      <c r="O53" s="317"/>
      <c r="P53" s="316"/>
      <c r="Q53" s="336"/>
      <c r="R53" s="459"/>
      <c r="S53" s="359"/>
      <c r="T53" s="336"/>
    </row>
    <row r="54" spans="2:20" ht="15.75">
      <c r="B54" s="321"/>
      <c r="D54" s="318"/>
      <c r="E54" s="318"/>
      <c r="F54" s="320"/>
      <c r="G54" s="320"/>
      <c r="H54" s="317"/>
      <c r="I54" s="318"/>
      <c r="J54" s="318"/>
      <c r="K54" s="319"/>
      <c r="L54" s="318"/>
      <c r="M54" s="318"/>
      <c r="N54" s="317"/>
      <c r="O54" s="317"/>
      <c r="P54" s="316"/>
      <c r="Q54" s="336"/>
      <c r="R54" s="459"/>
      <c r="S54" s="359"/>
      <c r="T54" s="336"/>
    </row>
    <row r="55" spans="2:20" ht="15.75">
      <c r="B55" s="321"/>
      <c r="D55" s="318"/>
      <c r="E55" s="318"/>
      <c r="F55" s="320"/>
      <c r="G55" s="320"/>
      <c r="H55" s="317"/>
      <c r="I55" s="318"/>
      <c r="J55" s="318"/>
      <c r="K55" s="319"/>
      <c r="L55" s="318"/>
      <c r="M55" s="318"/>
      <c r="N55" s="317"/>
      <c r="O55" s="317"/>
      <c r="P55" s="316"/>
      <c r="Q55" s="336"/>
      <c r="R55" s="459"/>
      <c r="S55" s="359"/>
      <c r="T55" s="336"/>
    </row>
    <row r="56" spans="2:20" ht="15.75">
      <c r="B56" s="324"/>
      <c r="D56" s="321"/>
      <c r="E56" s="321"/>
      <c r="F56" s="320"/>
      <c r="G56" s="320"/>
      <c r="H56" s="317"/>
      <c r="I56" s="318"/>
      <c r="J56" s="318"/>
      <c r="K56" s="319"/>
      <c r="L56" s="318"/>
      <c r="M56" s="318"/>
      <c r="O56" s="317"/>
      <c r="P56" s="325"/>
      <c r="Q56" s="360"/>
      <c r="R56" s="459"/>
      <c r="S56" s="359"/>
      <c r="T56" s="336"/>
    </row>
    <row r="57" spans="2:20" ht="15.75">
      <c r="B57" s="324"/>
      <c r="D57" s="321"/>
      <c r="E57" s="321"/>
      <c r="F57" s="320"/>
      <c r="G57" s="320"/>
      <c r="H57" s="317"/>
      <c r="I57" s="318"/>
      <c r="J57" s="318"/>
      <c r="K57" s="319"/>
      <c r="L57" s="318"/>
      <c r="M57" s="318"/>
      <c r="O57" s="317"/>
      <c r="P57" s="316"/>
      <c r="Q57" s="360"/>
      <c r="R57" s="459"/>
      <c r="S57" s="359"/>
      <c r="T57" s="336"/>
    </row>
    <row r="58" spans="2:20" ht="15.75">
      <c r="B58" s="436"/>
      <c r="D58" s="321"/>
      <c r="E58" s="321"/>
      <c r="F58" s="320"/>
      <c r="G58" s="320"/>
      <c r="H58" s="317"/>
      <c r="I58" s="318"/>
      <c r="J58" s="318"/>
      <c r="K58" s="319"/>
      <c r="L58" s="318"/>
      <c r="M58" s="318"/>
      <c r="O58" s="317"/>
      <c r="P58" s="316"/>
      <c r="Q58" s="360"/>
      <c r="R58" s="459"/>
      <c r="S58" s="359"/>
      <c r="T58" s="336"/>
    </row>
    <row r="59" spans="2:20">
      <c r="B59" s="433"/>
      <c r="D59" s="318"/>
      <c r="E59" s="318"/>
      <c r="F59" s="318"/>
      <c r="G59" s="318"/>
      <c r="H59" s="317"/>
      <c r="I59" s="318"/>
      <c r="J59" s="318"/>
      <c r="K59" s="318"/>
      <c r="L59" s="318"/>
      <c r="M59" s="318"/>
      <c r="O59" s="317"/>
      <c r="P59" s="317"/>
      <c r="Q59" s="336"/>
      <c r="R59" s="459"/>
      <c r="S59" s="358"/>
      <c r="T59" s="336" t="s">
        <v>68</v>
      </c>
    </row>
    <row r="60" spans="2:20">
      <c r="P60" s="435"/>
    </row>
    <row r="61" spans="2:20">
      <c r="P61" s="435"/>
    </row>
    <row r="63" spans="2:20">
      <c r="B63" s="433"/>
      <c r="D63" s="318"/>
      <c r="E63" s="318"/>
      <c r="F63" s="318"/>
      <c r="G63" s="318"/>
      <c r="H63" s="317"/>
      <c r="I63" s="318"/>
      <c r="J63" s="318"/>
      <c r="K63" s="318"/>
      <c r="L63" s="318"/>
      <c r="M63" s="318"/>
      <c r="O63" s="317"/>
      <c r="P63" s="357" t="s">
        <v>529</v>
      </c>
      <c r="Q63" s="336"/>
      <c r="R63" s="455"/>
      <c r="S63" s="336"/>
      <c r="T63" s="335"/>
    </row>
    <row r="64" spans="2:20" ht="15.75">
      <c r="B64" s="433"/>
      <c r="D64" s="331" t="str">
        <f>D5</f>
        <v>Formula Rate calculation</v>
      </c>
      <c r="E64" s="331"/>
      <c r="F64" s="318"/>
      <c r="G64" s="318"/>
      <c r="H64" s="318" t="str">
        <f>H5</f>
        <v xml:space="preserve">     Rate Formula Template</v>
      </c>
      <c r="I64" s="318"/>
      <c r="J64" s="318"/>
      <c r="K64" s="318"/>
      <c r="L64" s="318"/>
      <c r="M64" s="318"/>
      <c r="O64" s="317"/>
      <c r="P64" s="434" t="str">
        <f>$P$5</f>
        <v>For  the 12 months ended 12/31/2014</v>
      </c>
      <c r="Q64" s="336"/>
      <c r="R64" s="455"/>
      <c r="S64" s="336"/>
      <c r="T64" s="335"/>
    </row>
    <row r="65" spans="1:23" ht="15.75">
      <c r="B65" s="433"/>
      <c r="D65" s="331"/>
      <c r="E65" s="331"/>
      <c r="F65" s="318"/>
      <c r="G65" s="318"/>
      <c r="H65" s="318" t="s">
        <v>504</v>
      </c>
      <c r="I65" s="318"/>
      <c r="J65" s="318"/>
      <c r="K65" s="318"/>
      <c r="L65" s="318"/>
      <c r="M65" s="318"/>
      <c r="N65" s="317"/>
      <c r="O65" s="317"/>
      <c r="P65" s="323"/>
      <c r="Q65" s="336"/>
      <c r="R65" s="455"/>
      <c r="S65" s="336"/>
      <c r="T65" s="335"/>
    </row>
    <row r="66" spans="1:23" ht="14.25" customHeight="1">
      <c r="B66" s="433"/>
      <c r="D66" s="318"/>
      <c r="E66" s="318"/>
      <c r="F66" s="318"/>
      <c r="G66" s="318"/>
      <c r="H66" s="318"/>
      <c r="I66" s="318"/>
      <c r="J66" s="318"/>
      <c r="K66" s="318"/>
      <c r="L66" s="318"/>
      <c r="M66" s="318"/>
      <c r="O66" s="317"/>
      <c r="P66" s="318" t="s">
        <v>364</v>
      </c>
      <c r="Q66" s="336"/>
      <c r="R66" s="455"/>
      <c r="S66" s="336"/>
      <c r="T66" s="335"/>
    </row>
    <row r="67" spans="1:23">
      <c r="B67" s="433"/>
      <c r="F67" s="318"/>
      <c r="G67" s="318"/>
      <c r="H67" s="318" t="str">
        <f>H8</f>
        <v>American Transmission Company LLC</v>
      </c>
      <c r="I67" s="318"/>
      <c r="J67" s="318"/>
      <c r="K67" s="318"/>
      <c r="L67" s="318"/>
      <c r="M67" s="318"/>
      <c r="N67" s="318"/>
      <c r="O67" s="317"/>
      <c r="P67" s="317"/>
      <c r="Q67" s="336"/>
      <c r="R67" s="455"/>
      <c r="S67" s="336"/>
      <c r="T67" s="335"/>
    </row>
    <row r="68" spans="1:23">
      <c r="B68" s="433"/>
      <c r="F68" s="331"/>
      <c r="G68" s="331"/>
      <c r="H68" s="331"/>
      <c r="I68" s="331"/>
      <c r="J68" s="331"/>
      <c r="K68" s="331"/>
      <c r="L68" s="331"/>
      <c r="M68" s="331"/>
      <c r="N68" s="331"/>
      <c r="O68" s="331"/>
      <c r="P68" s="331"/>
      <c r="Q68" s="336"/>
      <c r="R68" s="455"/>
      <c r="S68" s="336"/>
      <c r="T68" s="335"/>
    </row>
    <row r="69" spans="1:23" ht="15.75">
      <c r="B69" s="433"/>
      <c r="D69" s="318"/>
      <c r="E69" s="318"/>
      <c r="F69" s="356" t="s">
        <v>363</v>
      </c>
      <c r="G69" s="356"/>
      <c r="I69" s="339"/>
      <c r="J69" s="339"/>
      <c r="K69" s="339"/>
      <c r="L69" s="339"/>
      <c r="M69" s="339"/>
      <c r="N69" s="339"/>
      <c r="O69" s="317"/>
      <c r="P69" s="317"/>
      <c r="Q69" s="336"/>
      <c r="R69" s="455"/>
      <c r="S69" s="336"/>
      <c r="T69" s="335"/>
    </row>
    <row r="70" spans="1:23" ht="15.75">
      <c r="B70" s="433"/>
      <c r="D70" s="318"/>
      <c r="E70" s="318"/>
      <c r="F70" s="356"/>
      <c r="G70" s="356"/>
      <c r="I70" s="339"/>
      <c r="J70" s="339"/>
      <c r="K70" s="339"/>
      <c r="L70" s="339"/>
      <c r="M70" s="339"/>
      <c r="N70" s="339"/>
      <c r="O70" s="317"/>
      <c r="P70" s="317"/>
      <c r="Q70" s="336"/>
      <c r="R70" s="455"/>
      <c r="S70" s="336"/>
      <c r="T70" s="335"/>
    </row>
    <row r="71" spans="1:23" ht="15.75">
      <c r="B71" s="433"/>
      <c r="D71" s="355">
        <v>-1</v>
      </c>
      <c r="E71" s="355">
        <v>-2</v>
      </c>
      <c r="F71" s="355">
        <v>-3</v>
      </c>
      <c r="G71" s="355">
        <v>-4</v>
      </c>
      <c r="H71" s="355">
        <v>-5</v>
      </c>
      <c r="I71" s="355">
        <v>-6</v>
      </c>
      <c r="J71" s="355">
        <v>-7</v>
      </c>
      <c r="K71" s="355">
        <v>-8</v>
      </c>
      <c r="L71" s="355">
        <v>-9</v>
      </c>
      <c r="M71" s="355" t="s">
        <v>528</v>
      </c>
      <c r="N71" s="355">
        <v>-10</v>
      </c>
      <c r="O71" s="355">
        <v>-11</v>
      </c>
      <c r="P71" s="355">
        <v>-12</v>
      </c>
      <c r="Q71" s="336"/>
      <c r="R71" s="455"/>
      <c r="S71" s="336"/>
      <c r="T71" s="335"/>
    </row>
    <row r="72" spans="1:23" ht="63">
      <c r="B72" s="354" t="s">
        <v>362</v>
      </c>
      <c r="C72" s="353"/>
      <c r="D72" s="353" t="s">
        <v>361</v>
      </c>
      <c r="E72" s="352" t="s">
        <v>360</v>
      </c>
      <c r="F72" s="350" t="s">
        <v>359</v>
      </c>
      <c r="G72" s="350" t="s">
        <v>10</v>
      </c>
      <c r="H72" s="351" t="s">
        <v>358</v>
      </c>
      <c r="I72" s="350" t="s">
        <v>357</v>
      </c>
      <c r="J72" s="350" t="s">
        <v>9</v>
      </c>
      <c r="K72" s="351" t="s">
        <v>356</v>
      </c>
      <c r="L72" s="350" t="s">
        <v>2</v>
      </c>
      <c r="M72" s="188" t="s">
        <v>492</v>
      </c>
      <c r="N72" s="348" t="s">
        <v>355</v>
      </c>
      <c r="O72" s="349" t="s">
        <v>354</v>
      </c>
      <c r="P72" s="348" t="s">
        <v>353</v>
      </c>
      <c r="Q72" s="347"/>
      <c r="R72" s="455"/>
      <c r="S72" s="336"/>
      <c r="T72" s="335"/>
    </row>
    <row r="73" spans="1:23" ht="46.5" customHeight="1">
      <c r="B73" s="346"/>
      <c r="C73" s="345"/>
      <c r="D73" s="345"/>
      <c r="E73" s="345"/>
      <c r="F73" s="344" t="s">
        <v>319</v>
      </c>
      <c r="G73" s="344" t="s">
        <v>352</v>
      </c>
      <c r="H73" s="343" t="s">
        <v>351</v>
      </c>
      <c r="I73" s="344" t="s">
        <v>317</v>
      </c>
      <c r="J73" s="344" t="s">
        <v>350</v>
      </c>
      <c r="K73" s="343" t="s">
        <v>349</v>
      </c>
      <c r="L73" s="344" t="s">
        <v>295</v>
      </c>
      <c r="M73" s="408" t="s">
        <v>491</v>
      </c>
      <c r="N73" s="432" t="s">
        <v>537</v>
      </c>
      <c r="O73" s="342" t="s">
        <v>348</v>
      </c>
      <c r="P73" s="341" t="s">
        <v>536</v>
      </c>
      <c r="Q73" s="336"/>
      <c r="R73" s="455"/>
      <c r="S73" s="336"/>
      <c r="T73" s="335"/>
    </row>
    <row r="74" spans="1:23">
      <c r="B74" s="340"/>
      <c r="C74" s="339"/>
      <c r="D74" s="339"/>
      <c r="E74" s="339"/>
      <c r="F74" s="339"/>
      <c r="G74" s="339"/>
      <c r="H74" s="338"/>
      <c r="I74" s="339"/>
      <c r="J74" s="339"/>
      <c r="K74" s="338"/>
      <c r="L74" s="339"/>
      <c r="M74" s="181"/>
      <c r="N74" s="338"/>
      <c r="O74" s="317"/>
      <c r="P74" s="333"/>
      <c r="Q74" s="336"/>
      <c r="R74" s="455"/>
      <c r="S74" s="336"/>
      <c r="T74" s="335"/>
    </row>
    <row r="75" spans="1:23">
      <c r="A75" s="454"/>
      <c r="B75" s="431" t="s">
        <v>235</v>
      </c>
      <c r="C75" s="430"/>
      <c r="D75" s="399" t="s">
        <v>645</v>
      </c>
      <c r="E75" s="313">
        <v>345</v>
      </c>
      <c r="F75" s="397">
        <f>'GG Support Data'!C24</f>
        <v>148563323.00999996</v>
      </c>
      <c r="G75" s="400">
        <f t="shared" ref="G75:G91" si="0">$N$35</f>
        <v>3.5342098065073733E-2</v>
      </c>
      <c r="H75" s="311">
        <f t="shared" ref="H75:H91" si="1">F75*G75</f>
        <v>5250539.5306926435</v>
      </c>
      <c r="I75" s="397">
        <f>'GG Support Data'!C57</f>
        <v>127844694.47000001</v>
      </c>
      <c r="J75" s="400">
        <f t="shared" ref="J75:J91" si="2">$N$45</f>
        <v>0.10429511896776096</v>
      </c>
      <c r="K75" s="311">
        <f t="shared" ref="K75:K91" si="3">I75*J75</f>
        <v>13333577.619145703</v>
      </c>
      <c r="L75" s="397">
        <f>'GG Support Data'!C62</f>
        <v>3847974</v>
      </c>
      <c r="M75" s="397">
        <f>'GG Support Data'!C67</f>
        <v>0</v>
      </c>
      <c r="N75" s="311">
        <f t="shared" ref="N75:N91" si="4">H75+K75+L75+M75</f>
        <v>22432091.149838347</v>
      </c>
      <c r="O75" s="398">
        <f>'2012 Schedule 26 True-up Adj'!AE8</f>
        <v>-1414404.5786856352</v>
      </c>
      <c r="P75" s="311">
        <f t="shared" ref="P75:P91" si="5">N75+O75</f>
        <v>21017686.571152713</v>
      </c>
      <c r="Q75" s="315"/>
      <c r="R75" s="312"/>
      <c r="S75" s="315"/>
      <c r="T75" s="315"/>
      <c r="U75" s="315"/>
      <c r="V75" s="315"/>
      <c r="W75" s="315"/>
    </row>
    <row r="76" spans="1:23">
      <c r="A76" s="454"/>
      <c r="B76" s="431" t="s">
        <v>646</v>
      </c>
      <c r="C76" s="430"/>
      <c r="D76" s="399" t="s">
        <v>647</v>
      </c>
      <c r="E76" s="313">
        <v>1453</v>
      </c>
      <c r="F76" s="397">
        <f>'GG Support Data'!D24</f>
        <v>8751971.6800000034</v>
      </c>
      <c r="G76" s="400">
        <f t="shared" si="0"/>
        <v>3.5342098065073733E-2</v>
      </c>
      <c r="H76" s="311">
        <f t="shared" si="1"/>
        <v>309313.04137730825</v>
      </c>
      <c r="I76" s="397">
        <f>'GG Support Data'!D57</f>
        <v>7312143.3170000007</v>
      </c>
      <c r="J76" s="400">
        <f t="shared" si="2"/>
        <v>0.10429511896776096</v>
      </c>
      <c r="K76" s="311">
        <f t="shared" si="3"/>
        <v>762620.85715583328</v>
      </c>
      <c r="L76" s="397">
        <f>'GG Support Data'!D62</f>
        <v>251596.08</v>
      </c>
      <c r="M76" s="397">
        <f>'GG Support Data'!D67</f>
        <v>0</v>
      </c>
      <c r="N76" s="311">
        <f t="shared" si="4"/>
        <v>1323529.9785331415</v>
      </c>
      <c r="O76" s="398">
        <f>'2012 Schedule 26 True-up Adj'!AE9</f>
        <v>-56535.309259493617</v>
      </c>
      <c r="P76" s="311">
        <f t="shared" si="5"/>
        <v>1266994.6692736479</v>
      </c>
      <c r="Q76" s="315"/>
      <c r="R76" s="312"/>
      <c r="S76" s="315"/>
      <c r="T76" s="315"/>
      <c r="U76" s="315"/>
      <c r="V76" s="315"/>
      <c r="W76" s="315"/>
    </row>
    <row r="77" spans="1:23">
      <c r="A77" s="454"/>
      <c r="B77" s="431" t="s">
        <v>648</v>
      </c>
      <c r="C77" s="430"/>
      <c r="D77" s="399" t="s">
        <v>649</v>
      </c>
      <c r="E77" s="313">
        <v>352</v>
      </c>
      <c r="F77" s="397">
        <f>'GG Support Data'!E24</f>
        <v>88271860.389230788</v>
      </c>
      <c r="G77" s="400">
        <f t="shared" si="0"/>
        <v>3.5342098065073733E-2</v>
      </c>
      <c r="H77" s="311">
        <f t="shared" si="1"/>
        <v>3119712.7462626924</v>
      </c>
      <c r="I77" s="397">
        <f>'GG Support Data'!E57</f>
        <v>76526943.780000001</v>
      </c>
      <c r="J77" s="400">
        <f t="shared" si="2"/>
        <v>0.10429511896776096</v>
      </c>
      <c r="K77" s="311">
        <f t="shared" si="3"/>
        <v>7981386.7057742551</v>
      </c>
      <c r="L77" s="397">
        <f>'GG Support Data'!E62</f>
        <v>2271945.48</v>
      </c>
      <c r="M77" s="397">
        <f>'GG Support Data'!E67</f>
        <v>0</v>
      </c>
      <c r="N77" s="311">
        <f t="shared" si="4"/>
        <v>13373044.932036947</v>
      </c>
      <c r="O77" s="398">
        <f>'2012 Schedule 26 True-up Adj'!AE10</f>
        <v>-809933.08799944294</v>
      </c>
      <c r="P77" s="311">
        <f t="shared" si="5"/>
        <v>12563111.844037505</v>
      </c>
      <c r="Q77" s="315"/>
      <c r="R77" s="312"/>
      <c r="S77" s="315"/>
      <c r="T77" s="315"/>
      <c r="U77" s="315"/>
      <c r="V77" s="315"/>
      <c r="W77" s="315"/>
    </row>
    <row r="78" spans="1:23">
      <c r="A78" s="454"/>
      <c r="B78" s="431" t="s">
        <v>650</v>
      </c>
      <c r="C78" s="430"/>
      <c r="D78" s="399" t="s">
        <v>651</v>
      </c>
      <c r="E78" s="313">
        <v>356</v>
      </c>
      <c r="F78" s="397">
        <f>'GG Support Data'!F24</f>
        <v>140315731.35153845</v>
      </c>
      <c r="G78" s="400">
        <f t="shared" si="0"/>
        <v>3.5342098065073733E-2</v>
      </c>
      <c r="H78" s="311">
        <f t="shared" si="1"/>
        <v>4959052.3374986127</v>
      </c>
      <c r="I78" s="397">
        <f>'GG Support Data'!F57</f>
        <v>135179630.02076924</v>
      </c>
      <c r="J78" s="400">
        <f t="shared" si="2"/>
        <v>0.10429511896776096</v>
      </c>
      <c r="K78" s="311">
        <f t="shared" si="3"/>
        <v>14098575.595034039</v>
      </c>
      <c r="L78" s="397">
        <f>'GG Support Data'!F62</f>
        <v>3571084.2399999993</v>
      </c>
      <c r="M78" s="397">
        <f>'GG Support Data'!F67</f>
        <v>0</v>
      </c>
      <c r="N78" s="311">
        <f t="shared" si="4"/>
        <v>22628712.172532652</v>
      </c>
      <c r="O78" s="398">
        <f>'2012 Schedule 26 True-up Adj'!AE11</f>
        <v>-736883.63231340342</v>
      </c>
      <c r="P78" s="311">
        <f t="shared" si="5"/>
        <v>21891828.540219247</v>
      </c>
      <c r="Q78" s="315"/>
      <c r="R78" s="312"/>
      <c r="S78" s="315"/>
      <c r="T78" s="315"/>
      <c r="U78" s="315"/>
      <c r="V78" s="315"/>
      <c r="W78" s="315"/>
    </row>
    <row r="79" spans="1:23">
      <c r="A79" s="454"/>
      <c r="B79" s="431" t="s">
        <v>652</v>
      </c>
      <c r="C79" s="430"/>
      <c r="D79" s="399" t="s">
        <v>653</v>
      </c>
      <c r="E79" s="313">
        <v>1616</v>
      </c>
      <c r="F79" s="397">
        <f>'GG Support Data'!G24</f>
        <v>1379725.8599999996</v>
      </c>
      <c r="G79" s="400">
        <f t="shared" si="0"/>
        <v>3.5342098065073733E-2</v>
      </c>
      <c r="H79" s="311">
        <f t="shared" si="1"/>
        <v>48762.40664703818</v>
      </c>
      <c r="I79" s="397">
        <f>'GG Support Data'!G57</f>
        <v>1161315.4100000001</v>
      </c>
      <c r="J79" s="400">
        <f t="shared" si="2"/>
        <v>0.10429511896776096</v>
      </c>
      <c r="K79" s="311">
        <f t="shared" si="3"/>
        <v>121119.52884504411</v>
      </c>
      <c r="L79" s="397">
        <f>'GG Support Data'!G62</f>
        <v>76292.639999999999</v>
      </c>
      <c r="M79" s="397">
        <f>'GG Support Data'!G67</f>
        <v>0</v>
      </c>
      <c r="N79" s="311">
        <f t="shared" si="4"/>
        <v>246174.57549208228</v>
      </c>
      <c r="O79" s="398">
        <f>'2012 Schedule 26 True-up Adj'!AE14</f>
        <v>45412.024753281323</v>
      </c>
      <c r="P79" s="311">
        <f t="shared" si="5"/>
        <v>291586.6002453636</v>
      </c>
      <c r="Q79" s="315"/>
      <c r="R79" s="312"/>
      <c r="S79" s="315"/>
      <c r="T79" s="315"/>
      <c r="U79" s="315"/>
      <c r="V79" s="315"/>
      <c r="W79" s="315"/>
    </row>
    <row r="80" spans="1:23">
      <c r="A80" s="454"/>
      <c r="B80" s="431" t="s">
        <v>654</v>
      </c>
      <c r="C80" s="430"/>
      <c r="D80" s="399" t="s">
        <v>655</v>
      </c>
      <c r="E80" s="313" t="s">
        <v>472</v>
      </c>
      <c r="F80" s="397">
        <f>'GG Support Data'!H24</f>
        <v>2147722.77</v>
      </c>
      <c r="G80" s="400">
        <f t="shared" si="0"/>
        <v>3.5342098065073733E-2</v>
      </c>
      <c r="H80" s="311">
        <f t="shared" si="1"/>
        <v>75905.028753931794</v>
      </c>
      <c r="I80" s="397">
        <f>'GG Support Data'!H57</f>
        <v>2007484.7450000006</v>
      </c>
      <c r="J80" s="400">
        <f t="shared" si="2"/>
        <v>0.10429511896776096</v>
      </c>
      <c r="K80" s="311">
        <f t="shared" si="3"/>
        <v>209370.86030574032</v>
      </c>
      <c r="L80" s="397">
        <f>'GG Support Data'!H62</f>
        <v>119407.43999999999</v>
      </c>
      <c r="M80" s="397">
        <f>'GG Support Data'!H67</f>
        <v>0</v>
      </c>
      <c r="N80" s="311">
        <f t="shared" si="4"/>
        <v>404683.32905967213</v>
      </c>
      <c r="O80" s="398">
        <f>'2012 Schedule 26 True-up Adj'!AE15</f>
        <v>76673.341300502361</v>
      </c>
      <c r="P80" s="311">
        <f t="shared" si="5"/>
        <v>481356.6703601745</v>
      </c>
      <c r="Q80" s="315"/>
      <c r="R80" s="312"/>
      <c r="S80" s="315"/>
      <c r="T80" s="315"/>
      <c r="U80" s="315"/>
      <c r="V80" s="315"/>
      <c r="W80" s="315"/>
    </row>
    <row r="81" spans="1:23">
      <c r="A81" s="454"/>
      <c r="B81" s="431" t="s">
        <v>656</v>
      </c>
      <c r="C81" s="430"/>
      <c r="D81" s="399" t="s">
        <v>657</v>
      </c>
      <c r="E81" s="313">
        <v>1950</v>
      </c>
      <c r="F81" s="397">
        <f>'GG Support Data'!K24</f>
        <v>15402302.789999994</v>
      </c>
      <c r="G81" s="400">
        <f t="shared" si="0"/>
        <v>3.5342098065073733E-2</v>
      </c>
      <c r="H81" s="311">
        <f t="shared" si="1"/>
        <v>544349.69563213852</v>
      </c>
      <c r="I81" s="397">
        <f>'GG Support Data'!K57</f>
        <v>14058672.426153848</v>
      </c>
      <c r="J81" s="400">
        <f t="shared" si="2"/>
        <v>0.10429511896776096</v>
      </c>
      <c r="K81" s="311">
        <f t="shared" si="3"/>
        <v>1466250.9132144961</v>
      </c>
      <c r="L81" s="397">
        <f>'GG Support Data'!K62</f>
        <v>456122.31000000006</v>
      </c>
      <c r="M81" s="397">
        <f>'GG Support Data'!K67</f>
        <v>0</v>
      </c>
      <c r="N81" s="311">
        <f t="shared" si="4"/>
        <v>2466722.9188466347</v>
      </c>
      <c r="O81" s="398">
        <f>'2012 Schedule 26 True-up Adj'!AE18</f>
        <v>-83320.166499888772</v>
      </c>
      <c r="P81" s="311">
        <f t="shared" si="5"/>
        <v>2383402.7523467457</v>
      </c>
      <c r="Q81" s="315"/>
      <c r="R81" s="312"/>
      <c r="S81" s="315"/>
      <c r="T81" s="315"/>
      <c r="U81" s="315"/>
      <c r="V81" s="315"/>
      <c r="W81" s="315"/>
    </row>
    <row r="82" spans="1:23">
      <c r="A82" s="454"/>
      <c r="B82" s="431" t="s">
        <v>658</v>
      </c>
      <c r="C82" s="430"/>
      <c r="D82" s="399" t="s">
        <v>659</v>
      </c>
      <c r="E82" s="313">
        <v>2846</v>
      </c>
      <c r="F82" s="397">
        <f>'GG Support Data'!M24</f>
        <v>113481349.04846154</v>
      </c>
      <c r="G82" s="400">
        <f t="shared" si="0"/>
        <v>3.5342098065073733E-2</v>
      </c>
      <c r="H82" s="311">
        <f t="shared" si="1"/>
        <v>4010668.9666275894</v>
      </c>
      <c r="I82" s="397">
        <f>'GG Support Data'!M57</f>
        <v>112737667.08615385</v>
      </c>
      <c r="J82" s="400">
        <f t="shared" si="2"/>
        <v>0.10429511896776096</v>
      </c>
      <c r="K82" s="311">
        <f t="shared" si="3"/>
        <v>11757988.400898244</v>
      </c>
      <c r="L82" s="397">
        <f>'GG Support Data'!M62</f>
        <v>1491012.5700000003</v>
      </c>
      <c r="M82" s="397">
        <f>'GG Support Data'!M67</f>
        <v>0</v>
      </c>
      <c r="N82" s="311">
        <f t="shared" si="4"/>
        <v>17259669.937525835</v>
      </c>
      <c r="O82" s="398">
        <f>'2012 Schedule 26 True-up Adj'!AE20</f>
        <v>1496787.8018154723</v>
      </c>
      <c r="P82" s="311">
        <f t="shared" si="5"/>
        <v>18756457.739341307</v>
      </c>
      <c r="Q82" s="315"/>
      <c r="R82" s="312"/>
      <c r="S82" s="315"/>
      <c r="T82" s="315"/>
      <c r="U82" s="315"/>
      <c r="V82" s="315"/>
      <c r="W82" s="315"/>
    </row>
    <row r="83" spans="1:23">
      <c r="A83" s="454"/>
      <c r="B83" s="431" t="s">
        <v>660</v>
      </c>
      <c r="C83" s="430"/>
      <c r="D83" s="399" t="s">
        <v>661</v>
      </c>
      <c r="E83" s="313">
        <v>2837</v>
      </c>
      <c r="F83" s="397">
        <f>'GG Support Data'!I24</f>
        <v>626602.79500000004</v>
      </c>
      <c r="G83" s="400">
        <f t="shared" si="0"/>
        <v>3.5342098065073733E-2</v>
      </c>
      <c r="H83" s="311">
        <f t="shared" si="1"/>
        <v>22145.457428739293</v>
      </c>
      <c r="I83" s="397">
        <f>'GG Support Data'!I57</f>
        <v>582303.17000000004</v>
      </c>
      <c r="J83" s="400">
        <f t="shared" si="2"/>
        <v>0.10429511896776096</v>
      </c>
      <c r="K83" s="311">
        <f t="shared" si="3"/>
        <v>60731.378390454338</v>
      </c>
      <c r="L83" s="397">
        <f>'GG Support Data'!I62</f>
        <v>36557.87999999999</v>
      </c>
      <c r="M83" s="397">
        <f>'GG Support Data'!I67</f>
        <v>0</v>
      </c>
      <c r="N83" s="311">
        <f t="shared" si="4"/>
        <v>119434.71581919362</v>
      </c>
      <c r="O83" s="398">
        <f>'2012 Schedule 26 True-up Adj'!AE16</f>
        <v>25990.300548957122</v>
      </c>
      <c r="P83" s="311">
        <f t="shared" si="5"/>
        <v>145425.01636815074</v>
      </c>
      <c r="Q83" s="315"/>
      <c r="R83" s="312"/>
      <c r="S83" s="315"/>
      <c r="T83" s="315"/>
      <c r="U83" s="315"/>
      <c r="V83" s="315"/>
      <c r="W83" s="315"/>
    </row>
    <row r="84" spans="1:23">
      <c r="A84" s="454"/>
      <c r="B84" s="431" t="s">
        <v>662</v>
      </c>
      <c r="C84" s="430"/>
      <c r="D84" s="399" t="s">
        <v>663</v>
      </c>
      <c r="E84" s="313">
        <v>2793</v>
      </c>
      <c r="F84" s="397">
        <f>'GG Support Data'!J24</f>
        <v>405929.96499999991</v>
      </c>
      <c r="G84" s="400">
        <f t="shared" si="0"/>
        <v>3.5342098065073733E-2</v>
      </c>
      <c r="H84" s="311">
        <f t="shared" si="1"/>
        <v>14346.416630581945</v>
      </c>
      <c r="I84" s="397">
        <f>'GG Support Data'!J57</f>
        <v>363158.44500000001</v>
      </c>
      <c r="J84" s="400">
        <f t="shared" si="2"/>
        <v>0.10429511896776096</v>
      </c>
      <c r="K84" s="311">
        <f t="shared" si="3"/>
        <v>37875.653225422073</v>
      </c>
      <c r="L84" s="397">
        <f>'GG Support Data'!J62</f>
        <v>35397.12000000001</v>
      </c>
      <c r="M84" s="397">
        <f>'GG Support Data'!J67</f>
        <v>0</v>
      </c>
      <c r="N84" s="311">
        <f t="shared" si="4"/>
        <v>87619.189856004028</v>
      </c>
      <c r="O84" s="398">
        <f>'2012 Schedule 26 True-up Adj'!AE17</f>
        <v>28215.115541198622</v>
      </c>
      <c r="P84" s="311">
        <f t="shared" si="5"/>
        <v>115834.30539720265</v>
      </c>
      <c r="Q84" s="315"/>
      <c r="R84" s="312"/>
      <c r="S84" s="315"/>
      <c r="T84" s="315"/>
      <c r="U84" s="315"/>
      <c r="V84" s="315"/>
      <c r="W84" s="315"/>
    </row>
    <row r="85" spans="1:23">
      <c r="A85" s="454"/>
      <c r="B85" s="431" t="s">
        <v>664</v>
      </c>
      <c r="C85" s="430"/>
      <c r="D85" s="399" t="s">
        <v>665</v>
      </c>
      <c r="E85" s="313">
        <v>1270</v>
      </c>
      <c r="F85" s="397">
        <f>'GG Support Data'!N24</f>
        <v>0</v>
      </c>
      <c r="G85" s="400">
        <f t="shared" si="0"/>
        <v>3.5342098065073733E-2</v>
      </c>
      <c r="H85" s="311">
        <f t="shared" si="1"/>
        <v>0</v>
      </c>
      <c r="I85" s="397">
        <f>'GG Support Data'!N57</f>
        <v>0</v>
      </c>
      <c r="J85" s="400">
        <f t="shared" si="2"/>
        <v>0.10429511896776096</v>
      </c>
      <c r="K85" s="311">
        <f t="shared" si="3"/>
        <v>0</v>
      </c>
      <c r="L85" s="397">
        <f>'GG Support Data'!N62</f>
        <v>0</v>
      </c>
      <c r="M85" s="397">
        <f>'GG Support Data'!N67</f>
        <v>0</v>
      </c>
      <c r="N85" s="311">
        <f t="shared" si="4"/>
        <v>0</v>
      </c>
      <c r="O85" s="398">
        <f>'2012 Schedule 26 True-up Adj'!AE24</f>
        <v>3184.1869014711292</v>
      </c>
      <c r="P85" s="311">
        <f t="shared" si="5"/>
        <v>3184.1869014711292</v>
      </c>
      <c r="Q85" s="315"/>
      <c r="R85" s="312"/>
      <c r="S85" s="315"/>
      <c r="T85" s="315"/>
      <c r="U85" s="315"/>
      <c r="V85" s="315"/>
      <c r="W85" s="315"/>
    </row>
    <row r="86" spans="1:23">
      <c r="A86" s="454"/>
      <c r="B86" s="431" t="s">
        <v>666</v>
      </c>
      <c r="C86" s="430"/>
      <c r="D86" s="399" t="s">
        <v>667</v>
      </c>
      <c r="E86" s="313">
        <v>3125</v>
      </c>
      <c r="F86" s="397">
        <f>'GG Support Data'!O24</f>
        <v>10459716.731538463</v>
      </c>
      <c r="G86" s="400">
        <f t="shared" si="0"/>
        <v>3.5342098065073733E-2</v>
      </c>
      <c r="H86" s="311">
        <f t="shared" si="1"/>
        <v>369668.33445892489</v>
      </c>
      <c r="I86" s="397">
        <f>'GG Support Data'!O57</f>
        <v>10459716.731538463</v>
      </c>
      <c r="J86" s="400">
        <f t="shared" si="2"/>
        <v>0.10429511896776096</v>
      </c>
      <c r="K86" s="311">
        <f t="shared" si="3"/>
        <v>1090897.4008848839</v>
      </c>
      <c r="L86" s="397">
        <f>'GG Support Data'!O62</f>
        <v>0</v>
      </c>
      <c r="M86" s="397">
        <f>'GG Support Data'!O67</f>
        <v>0</v>
      </c>
      <c r="N86" s="311">
        <f t="shared" si="4"/>
        <v>1460565.7353438088</v>
      </c>
      <c r="O86" s="398">
        <f>'2012 Schedule 26 True-up Adj'!AE25</f>
        <v>18332.937070787306</v>
      </c>
      <c r="P86" s="311">
        <f t="shared" si="5"/>
        <v>1478898.6724145962</v>
      </c>
      <c r="Q86" s="315"/>
      <c r="R86" s="312"/>
      <c r="S86" s="315"/>
      <c r="T86" s="315"/>
      <c r="U86" s="315"/>
      <c r="V86" s="315"/>
      <c r="W86" s="315"/>
    </row>
    <row r="87" spans="1:23">
      <c r="A87" s="454"/>
      <c r="B87" s="431" t="s">
        <v>668</v>
      </c>
      <c r="C87" s="430"/>
      <c r="D87" s="399" t="s">
        <v>669</v>
      </c>
      <c r="E87" s="313">
        <v>3206</v>
      </c>
      <c r="F87" s="397">
        <f>'GG Support Data'!L24</f>
        <v>0</v>
      </c>
      <c r="G87" s="400">
        <f t="shared" si="0"/>
        <v>3.5342098065073733E-2</v>
      </c>
      <c r="H87" s="311">
        <f t="shared" si="1"/>
        <v>0</v>
      </c>
      <c r="I87" s="397">
        <f>'GG Support Data'!L57</f>
        <v>0</v>
      </c>
      <c r="J87" s="400">
        <f t="shared" si="2"/>
        <v>0.10429511896776096</v>
      </c>
      <c r="K87" s="311">
        <f t="shared" si="3"/>
        <v>0</v>
      </c>
      <c r="L87" s="397">
        <f>'GG Support Data'!L62</f>
        <v>0</v>
      </c>
      <c r="M87" s="397">
        <f>'GG Support Data'!L67</f>
        <v>859167.39</v>
      </c>
      <c r="N87" s="311">
        <f t="shared" si="4"/>
        <v>859167.39</v>
      </c>
      <c r="O87" s="398">
        <f>'2012 Schedule 26 True-up Adj'!AE19</f>
        <v>-149780.17964734379</v>
      </c>
      <c r="P87" s="311">
        <f t="shared" si="5"/>
        <v>709387.2103526562</v>
      </c>
      <c r="Q87" s="315"/>
      <c r="R87" s="312"/>
      <c r="S87" s="315"/>
      <c r="T87" s="315"/>
      <c r="U87" s="315"/>
      <c r="V87" s="315"/>
      <c r="W87" s="315"/>
    </row>
    <row r="88" spans="1:23" ht="30">
      <c r="A88" s="454"/>
      <c r="B88" s="431" t="s">
        <v>670</v>
      </c>
      <c r="C88" s="430"/>
      <c r="D88" s="399" t="s">
        <v>671</v>
      </c>
      <c r="E88" s="313">
        <v>3679</v>
      </c>
      <c r="F88" s="397">
        <f>'GG Support Data'!P24</f>
        <v>3702498.4790461534</v>
      </c>
      <c r="G88" s="400">
        <f t="shared" si="0"/>
        <v>3.5342098065073733E-2</v>
      </c>
      <c r="H88" s="311">
        <f t="shared" si="1"/>
        <v>130854.0643322355</v>
      </c>
      <c r="I88" s="397">
        <f>'GG Support Data'!P57</f>
        <v>3702498.4790461534</v>
      </c>
      <c r="J88" s="400">
        <f t="shared" si="2"/>
        <v>0.10429511896776096</v>
      </c>
      <c r="K88" s="311">
        <f t="shared" si="3"/>
        <v>386152.5193500726</v>
      </c>
      <c r="L88" s="397">
        <f>'GG Support Data'!P62</f>
        <v>0</v>
      </c>
      <c r="M88" s="397">
        <f>'GG Support Data'!P67</f>
        <v>2194035.5940000005</v>
      </c>
      <c r="N88" s="311">
        <f t="shared" si="4"/>
        <v>2711042.1776823085</v>
      </c>
      <c r="O88" s="398">
        <v>0</v>
      </c>
      <c r="P88" s="311">
        <f t="shared" si="5"/>
        <v>2711042.1776823085</v>
      </c>
      <c r="Q88" s="315"/>
      <c r="R88" s="312"/>
      <c r="S88" s="315"/>
      <c r="T88" s="315"/>
      <c r="U88" s="315"/>
      <c r="V88" s="315"/>
      <c r="W88" s="315"/>
    </row>
    <row r="89" spans="1:23">
      <c r="A89" s="454"/>
      <c r="B89" s="431"/>
      <c r="C89" s="430"/>
      <c r="D89" s="399"/>
      <c r="E89" s="313"/>
      <c r="F89" s="397">
        <v>0</v>
      </c>
      <c r="G89" s="400">
        <f t="shared" si="0"/>
        <v>3.5342098065073733E-2</v>
      </c>
      <c r="H89" s="311">
        <f t="shared" si="1"/>
        <v>0</v>
      </c>
      <c r="I89" s="397">
        <v>0</v>
      </c>
      <c r="J89" s="400">
        <f t="shared" si="2"/>
        <v>0.10429511896776096</v>
      </c>
      <c r="K89" s="311">
        <f t="shared" si="3"/>
        <v>0</v>
      </c>
      <c r="L89" s="397">
        <v>0</v>
      </c>
      <c r="M89" s="397">
        <v>0</v>
      </c>
      <c r="N89" s="311">
        <f t="shared" si="4"/>
        <v>0</v>
      </c>
      <c r="O89" s="398">
        <v>0</v>
      </c>
      <c r="P89" s="311">
        <f t="shared" si="5"/>
        <v>0</v>
      </c>
      <c r="Q89" s="315"/>
      <c r="R89" s="312"/>
      <c r="S89" s="315"/>
      <c r="T89" s="315"/>
      <c r="U89" s="315"/>
      <c r="V89" s="315"/>
      <c r="W89" s="315"/>
    </row>
    <row r="90" spans="1:23" ht="15" customHeight="1">
      <c r="A90" s="454"/>
      <c r="B90" s="431"/>
      <c r="C90" s="430"/>
      <c r="D90" s="399"/>
      <c r="E90" s="313"/>
      <c r="F90" s="397">
        <v>0</v>
      </c>
      <c r="G90" s="400">
        <f t="shared" si="0"/>
        <v>3.5342098065073733E-2</v>
      </c>
      <c r="H90" s="311">
        <f t="shared" si="1"/>
        <v>0</v>
      </c>
      <c r="I90" s="397">
        <v>0</v>
      </c>
      <c r="J90" s="400">
        <f t="shared" si="2"/>
        <v>0.10429511896776096</v>
      </c>
      <c r="K90" s="311">
        <f t="shared" si="3"/>
        <v>0</v>
      </c>
      <c r="L90" s="397">
        <v>0</v>
      </c>
      <c r="M90" s="397">
        <v>0</v>
      </c>
      <c r="N90" s="311">
        <f t="shared" si="4"/>
        <v>0</v>
      </c>
      <c r="O90" s="398">
        <v>0</v>
      </c>
      <c r="P90" s="311">
        <f t="shared" si="5"/>
        <v>0</v>
      </c>
      <c r="Q90" s="315"/>
      <c r="R90" s="312"/>
      <c r="S90" s="315"/>
      <c r="T90" s="315"/>
      <c r="U90" s="315"/>
      <c r="V90" s="315"/>
      <c r="W90" s="315"/>
    </row>
    <row r="91" spans="1:23">
      <c r="A91" s="454"/>
      <c r="B91" s="431"/>
      <c r="C91" s="430"/>
      <c r="D91" s="399"/>
      <c r="E91" s="313"/>
      <c r="F91" s="397">
        <v>0</v>
      </c>
      <c r="G91" s="400">
        <f t="shared" si="0"/>
        <v>3.5342098065073733E-2</v>
      </c>
      <c r="H91" s="311">
        <f t="shared" si="1"/>
        <v>0</v>
      </c>
      <c r="I91" s="397">
        <v>0</v>
      </c>
      <c r="J91" s="400">
        <f t="shared" si="2"/>
        <v>0.10429511896776096</v>
      </c>
      <c r="K91" s="311">
        <f t="shared" si="3"/>
        <v>0</v>
      </c>
      <c r="L91" s="397">
        <v>0</v>
      </c>
      <c r="M91" s="397">
        <v>0</v>
      </c>
      <c r="N91" s="311">
        <f t="shared" si="4"/>
        <v>0</v>
      </c>
      <c r="O91" s="398">
        <v>0</v>
      </c>
      <c r="P91" s="311">
        <f t="shared" si="5"/>
        <v>0</v>
      </c>
      <c r="Q91" s="315"/>
      <c r="R91" s="312"/>
      <c r="S91" s="315"/>
      <c r="T91" s="315"/>
      <c r="U91" s="315"/>
      <c r="V91" s="315"/>
      <c r="W91" s="315"/>
    </row>
    <row r="92" spans="1:23">
      <c r="A92" s="454"/>
      <c r="B92" s="431"/>
      <c r="C92" s="430"/>
      <c r="D92" s="399"/>
      <c r="E92" s="313"/>
      <c r="F92" s="427"/>
      <c r="G92" s="400"/>
      <c r="H92" s="311"/>
      <c r="I92" s="427"/>
      <c r="J92" s="400"/>
      <c r="K92" s="311"/>
      <c r="L92" s="427"/>
      <c r="M92" s="427"/>
      <c r="N92" s="311"/>
      <c r="O92" s="426"/>
      <c r="P92" s="311"/>
      <c r="Q92" s="315"/>
      <c r="R92" s="312"/>
      <c r="S92" s="315"/>
      <c r="T92" s="315"/>
      <c r="U92" s="315"/>
      <c r="V92" s="315"/>
      <c r="W92" s="315"/>
    </row>
    <row r="93" spans="1:23">
      <c r="A93" s="454"/>
      <c r="B93" s="431"/>
      <c r="C93" s="430"/>
      <c r="D93" s="429"/>
      <c r="E93" s="428"/>
      <c r="F93" s="427"/>
      <c r="G93" s="400"/>
      <c r="H93" s="311"/>
      <c r="I93" s="427"/>
      <c r="J93" s="400"/>
      <c r="K93" s="311"/>
      <c r="L93" s="427"/>
      <c r="M93" s="427"/>
      <c r="N93" s="311"/>
      <c r="O93" s="426"/>
      <c r="P93" s="311"/>
      <c r="Q93" s="315"/>
      <c r="R93" s="312"/>
      <c r="S93" s="315"/>
      <c r="T93" s="315"/>
      <c r="U93" s="315"/>
      <c r="V93" s="315"/>
      <c r="W93" s="315"/>
    </row>
    <row r="94" spans="1:23">
      <c r="A94" s="454"/>
      <c r="B94" s="431"/>
      <c r="C94" s="430"/>
      <c r="D94" s="429"/>
      <c r="E94" s="428"/>
      <c r="F94" s="427"/>
      <c r="G94" s="400"/>
      <c r="H94" s="311"/>
      <c r="I94" s="427"/>
      <c r="J94" s="400"/>
      <c r="K94" s="311"/>
      <c r="L94" s="427"/>
      <c r="M94" s="427"/>
      <c r="N94" s="311"/>
      <c r="O94" s="426"/>
      <c r="P94" s="311"/>
      <c r="Q94" s="315"/>
      <c r="R94" s="312"/>
      <c r="S94" s="315"/>
      <c r="T94" s="315"/>
      <c r="U94" s="315"/>
      <c r="V94" s="315"/>
      <c r="W94" s="315"/>
    </row>
    <row r="95" spans="1:23">
      <c r="A95" s="454"/>
      <c r="B95" s="431"/>
      <c r="C95" s="430"/>
      <c r="D95" s="429"/>
      <c r="E95" s="428"/>
      <c r="F95" s="427"/>
      <c r="G95" s="400"/>
      <c r="H95" s="311"/>
      <c r="I95" s="427"/>
      <c r="J95" s="400"/>
      <c r="K95" s="311"/>
      <c r="L95" s="427"/>
      <c r="M95" s="427"/>
      <c r="N95" s="311"/>
      <c r="O95" s="426"/>
      <c r="P95" s="311"/>
      <c r="Q95" s="315"/>
      <c r="R95" s="312"/>
      <c r="S95" s="315"/>
      <c r="T95" s="315"/>
      <c r="U95" s="315"/>
      <c r="V95" s="315"/>
      <c r="W95" s="315"/>
    </row>
    <row r="96" spans="1:23">
      <c r="A96" s="454"/>
      <c r="B96" s="431"/>
      <c r="C96" s="430"/>
      <c r="D96" s="429"/>
      <c r="E96" s="428"/>
      <c r="F96" s="427"/>
      <c r="G96" s="400"/>
      <c r="H96" s="311"/>
      <c r="I96" s="427"/>
      <c r="J96" s="400"/>
      <c r="K96" s="311"/>
      <c r="L96" s="427"/>
      <c r="M96" s="427"/>
      <c r="N96" s="311"/>
      <c r="O96" s="426"/>
      <c r="P96" s="311"/>
      <c r="Q96" s="315"/>
      <c r="R96" s="312"/>
      <c r="S96" s="315"/>
      <c r="T96" s="315"/>
      <c r="U96" s="315"/>
      <c r="V96" s="315"/>
      <c r="W96" s="315"/>
    </row>
    <row r="97" spans="1:23">
      <c r="A97" s="454"/>
      <c r="B97" s="431"/>
      <c r="C97" s="430"/>
      <c r="D97" s="429"/>
      <c r="E97" s="428"/>
      <c r="F97" s="427"/>
      <c r="G97" s="400"/>
      <c r="H97" s="311"/>
      <c r="I97" s="427"/>
      <c r="J97" s="400"/>
      <c r="K97" s="311"/>
      <c r="L97" s="427"/>
      <c r="M97" s="427"/>
      <c r="N97" s="311"/>
      <c r="O97" s="426"/>
      <c r="P97" s="311"/>
      <c r="Q97" s="315"/>
      <c r="R97" s="312"/>
      <c r="S97" s="315"/>
      <c r="T97" s="315"/>
      <c r="U97" s="315"/>
      <c r="V97" s="315"/>
      <c r="W97" s="315"/>
    </row>
    <row r="98" spans="1:23">
      <c r="A98" s="454"/>
      <c r="B98" s="431"/>
      <c r="C98" s="430"/>
      <c r="D98" s="429"/>
      <c r="E98" s="428"/>
      <c r="F98" s="427"/>
      <c r="G98" s="400"/>
      <c r="H98" s="311"/>
      <c r="I98" s="427"/>
      <c r="J98" s="400"/>
      <c r="K98" s="311"/>
      <c r="L98" s="427"/>
      <c r="M98" s="427"/>
      <c r="N98" s="311"/>
      <c r="O98" s="426"/>
      <c r="P98" s="311"/>
      <c r="Q98" s="315"/>
      <c r="R98" s="312"/>
      <c r="S98" s="315"/>
      <c r="T98" s="315"/>
      <c r="U98" s="315"/>
      <c r="V98" s="315"/>
      <c r="W98" s="315"/>
    </row>
    <row r="99" spans="1:23">
      <c r="A99" s="454"/>
      <c r="B99" s="431"/>
      <c r="C99" s="430"/>
      <c r="D99" s="429"/>
      <c r="E99" s="428"/>
      <c r="F99" s="427"/>
      <c r="G99" s="400"/>
      <c r="H99" s="311"/>
      <c r="I99" s="427"/>
      <c r="J99" s="400"/>
      <c r="K99" s="311"/>
      <c r="L99" s="427"/>
      <c r="M99" s="427"/>
      <c r="N99" s="311"/>
      <c r="O99" s="426"/>
      <c r="P99" s="311"/>
      <c r="Q99" s="315"/>
      <c r="R99" s="312"/>
      <c r="S99" s="315"/>
      <c r="T99" s="315"/>
      <c r="U99" s="315"/>
      <c r="V99" s="315"/>
      <c r="W99" s="315"/>
    </row>
    <row r="100" spans="1:23">
      <c r="A100" s="376"/>
      <c r="B100" s="425"/>
      <c r="C100" s="424"/>
      <c r="D100" s="401"/>
      <c r="E100" s="401"/>
      <c r="F100" s="401"/>
      <c r="G100" s="401"/>
      <c r="H100" s="402"/>
      <c r="I100" s="401"/>
      <c r="J100" s="401"/>
      <c r="K100" s="402"/>
      <c r="L100" s="401"/>
      <c r="M100" s="401"/>
      <c r="N100" s="402"/>
      <c r="O100" s="401"/>
      <c r="P100" s="402"/>
      <c r="Q100" s="315"/>
      <c r="R100" s="312"/>
      <c r="S100" s="315"/>
      <c r="T100" s="315"/>
      <c r="U100" s="315"/>
      <c r="V100" s="315"/>
      <c r="W100" s="315"/>
    </row>
    <row r="101" spans="1:23">
      <c r="B101" s="332" t="s">
        <v>347</v>
      </c>
      <c r="D101" s="331" t="s">
        <v>346</v>
      </c>
      <c r="E101" s="331"/>
      <c r="F101" s="320"/>
      <c r="G101" s="320"/>
      <c r="H101" s="317"/>
      <c r="I101" s="317"/>
      <c r="J101" s="317"/>
      <c r="K101" s="317"/>
      <c r="L101" s="317"/>
      <c r="M101" s="329">
        <f>SUM(M75:M100)</f>
        <v>3053202.9840000006</v>
      </c>
      <c r="N101" s="329">
        <f>SUM(N75:N100)</f>
        <v>85372458.202566653</v>
      </c>
      <c r="O101" s="377">
        <f>SUM(O75:O100)</f>
        <v>-1556261.2464735373</v>
      </c>
      <c r="P101" s="329">
        <f>SUM(P75:P100)</f>
        <v>83816196.956093088</v>
      </c>
      <c r="Q101" s="315"/>
      <c r="R101" s="465"/>
      <c r="S101" s="315"/>
      <c r="T101" s="315"/>
      <c r="U101" s="315"/>
      <c r="V101" s="315"/>
      <c r="W101" s="315"/>
    </row>
    <row r="102" spans="1:23">
      <c r="B102" s="330"/>
      <c r="C102" s="315"/>
      <c r="D102" s="315"/>
      <c r="E102" s="315"/>
      <c r="F102" s="315"/>
      <c r="G102" s="315"/>
      <c r="H102" s="315"/>
      <c r="I102" s="315"/>
      <c r="J102" s="315"/>
      <c r="K102" s="315"/>
      <c r="L102" s="315"/>
      <c r="M102" s="315"/>
      <c r="N102" s="315"/>
      <c r="O102" s="315"/>
      <c r="P102" s="315"/>
      <c r="Q102" s="315"/>
      <c r="R102" s="465"/>
      <c r="S102" s="315"/>
      <c r="T102" s="315"/>
      <c r="U102" s="315"/>
      <c r="V102" s="315"/>
      <c r="W102" s="315"/>
    </row>
    <row r="103" spans="1:23">
      <c r="B103" s="170">
        <v>3</v>
      </c>
      <c r="C103" s="315"/>
      <c r="D103" s="318" t="s">
        <v>490</v>
      </c>
      <c r="E103" s="315"/>
      <c r="F103" s="315"/>
      <c r="G103" s="315"/>
      <c r="H103" s="315"/>
      <c r="I103" s="315"/>
      <c r="J103" s="315"/>
      <c r="K103" s="315"/>
      <c r="L103" s="315"/>
      <c r="M103" s="315"/>
      <c r="N103" s="329">
        <f>N101</f>
        <v>85372458.202566653</v>
      </c>
      <c r="O103" s="315"/>
      <c r="P103" s="772"/>
      <c r="Q103" s="315"/>
      <c r="R103" s="465"/>
      <c r="S103" s="315"/>
      <c r="T103" s="315"/>
      <c r="U103" s="315"/>
      <c r="V103" s="315"/>
      <c r="W103" s="315"/>
    </row>
    <row r="104" spans="1:23">
      <c r="B104" s="315"/>
      <c r="C104" s="315"/>
      <c r="D104" s="315"/>
      <c r="E104" s="315"/>
      <c r="F104" s="315"/>
      <c r="G104" s="315"/>
      <c r="H104" s="315"/>
      <c r="I104" s="315"/>
      <c r="J104" s="315"/>
      <c r="K104" s="315"/>
      <c r="L104" s="315"/>
      <c r="M104" s="315"/>
      <c r="N104" s="315"/>
      <c r="O104" s="315"/>
      <c r="P104" s="315"/>
      <c r="Q104" s="315"/>
      <c r="R104" s="465"/>
      <c r="S104" s="315"/>
      <c r="T104" s="315"/>
      <c r="U104" s="315"/>
      <c r="V104" s="315"/>
      <c r="W104" s="315"/>
    </row>
    <row r="105" spans="1:23">
      <c r="B105" s="315"/>
      <c r="C105" s="315"/>
      <c r="D105" s="315"/>
      <c r="E105" s="315"/>
      <c r="F105" s="315"/>
      <c r="G105" s="315"/>
      <c r="H105" s="315"/>
      <c r="I105" s="315"/>
      <c r="J105" s="315"/>
      <c r="K105" s="315"/>
      <c r="L105" s="315"/>
      <c r="M105" s="315"/>
      <c r="N105" s="315"/>
      <c r="O105" s="315"/>
      <c r="P105" s="315"/>
      <c r="Q105" s="315"/>
      <c r="R105" s="465"/>
      <c r="S105" s="315"/>
      <c r="T105" s="315"/>
      <c r="U105" s="315"/>
      <c r="V105" s="315"/>
      <c r="W105" s="315"/>
    </row>
    <row r="106" spans="1:23">
      <c r="B106" s="318" t="s">
        <v>90</v>
      </c>
      <c r="C106" s="315"/>
      <c r="D106" s="315"/>
      <c r="E106" s="315"/>
      <c r="F106" s="315"/>
      <c r="G106" s="315"/>
      <c r="H106" s="315"/>
      <c r="I106" s="315"/>
      <c r="J106" s="315"/>
      <c r="K106" s="315"/>
      <c r="L106" s="315"/>
      <c r="M106" s="315"/>
      <c r="N106" s="315"/>
      <c r="O106" s="315"/>
      <c r="P106" s="315"/>
      <c r="Q106" s="315"/>
      <c r="R106" s="465"/>
      <c r="S106" s="315"/>
      <c r="T106" s="315"/>
      <c r="U106" s="315"/>
      <c r="V106" s="315"/>
      <c r="W106" s="315"/>
    </row>
    <row r="107" spans="1:23" ht="15.75" thickBot="1">
      <c r="B107" s="423" t="s">
        <v>89</v>
      </c>
      <c r="C107" s="315"/>
      <c r="D107" s="315"/>
      <c r="E107" s="315"/>
      <c r="F107" s="315"/>
      <c r="G107" s="315"/>
      <c r="H107" s="315"/>
      <c r="I107" s="315"/>
      <c r="J107" s="315"/>
      <c r="K107" s="315"/>
      <c r="L107" s="315"/>
      <c r="M107" s="315"/>
      <c r="N107" s="315"/>
      <c r="O107" s="315"/>
      <c r="P107" s="315"/>
      <c r="Q107" s="315"/>
      <c r="R107" s="465"/>
      <c r="S107" s="315"/>
      <c r="T107" s="315"/>
      <c r="U107" s="315"/>
      <c r="V107" s="315"/>
      <c r="W107" s="315"/>
    </row>
    <row r="108" spans="1:23">
      <c r="B108" s="328" t="s">
        <v>88</v>
      </c>
      <c r="D108" s="870" t="s">
        <v>535</v>
      </c>
      <c r="E108" s="870"/>
      <c r="F108" s="870"/>
      <c r="G108" s="870"/>
      <c r="H108" s="870"/>
      <c r="I108" s="870"/>
      <c r="J108" s="870"/>
      <c r="K108" s="870"/>
      <c r="L108" s="870"/>
      <c r="M108" s="870"/>
      <c r="N108" s="870"/>
      <c r="O108" s="870"/>
      <c r="P108" s="870"/>
      <c r="Q108" s="315"/>
      <c r="R108" s="465"/>
      <c r="S108" s="315"/>
      <c r="T108" s="315"/>
      <c r="U108" s="315"/>
      <c r="V108" s="315"/>
      <c r="W108" s="315"/>
    </row>
    <row r="109" spans="1:23">
      <c r="B109" s="328" t="s">
        <v>86</v>
      </c>
      <c r="D109" s="870" t="s">
        <v>534</v>
      </c>
      <c r="E109" s="870"/>
      <c r="F109" s="870"/>
      <c r="G109" s="870"/>
      <c r="H109" s="870"/>
      <c r="I109" s="870"/>
      <c r="J109" s="870"/>
      <c r="K109" s="870"/>
      <c r="L109" s="870"/>
      <c r="M109" s="870"/>
      <c r="N109" s="870"/>
      <c r="O109" s="870"/>
      <c r="P109" s="870"/>
      <c r="Q109" s="315"/>
      <c r="R109" s="465"/>
      <c r="S109" s="315"/>
      <c r="T109" s="315"/>
      <c r="U109" s="315"/>
      <c r="V109" s="315"/>
      <c r="W109" s="315"/>
    </row>
    <row r="110" spans="1:23" ht="33" customHeight="1">
      <c r="B110" s="328" t="s">
        <v>84</v>
      </c>
      <c r="D110" s="870" t="s">
        <v>473</v>
      </c>
      <c r="E110" s="870"/>
      <c r="F110" s="870"/>
      <c r="G110" s="870"/>
      <c r="H110" s="870"/>
      <c r="I110" s="870"/>
      <c r="J110" s="870"/>
      <c r="K110" s="870"/>
      <c r="L110" s="870"/>
      <c r="M110" s="870"/>
      <c r="N110" s="870"/>
      <c r="O110" s="870"/>
      <c r="P110" s="870"/>
      <c r="Q110" s="315"/>
      <c r="R110" s="465"/>
      <c r="S110" s="315"/>
      <c r="T110" s="315"/>
      <c r="U110" s="315"/>
      <c r="V110" s="315"/>
      <c r="W110" s="315"/>
    </row>
    <row r="111" spans="1:23">
      <c r="B111" s="328" t="s">
        <v>83</v>
      </c>
      <c r="D111" s="871" t="s">
        <v>345</v>
      </c>
      <c r="E111" s="871"/>
      <c r="F111" s="871"/>
      <c r="G111" s="871"/>
      <c r="H111" s="871"/>
      <c r="I111" s="871"/>
      <c r="J111" s="871"/>
      <c r="K111" s="871"/>
      <c r="L111" s="871"/>
      <c r="M111" s="871"/>
      <c r="N111" s="871"/>
      <c r="O111" s="871"/>
      <c r="P111" s="871"/>
      <c r="Q111" s="315"/>
      <c r="R111" s="465"/>
      <c r="S111" s="315"/>
      <c r="T111" s="315"/>
      <c r="U111" s="315"/>
      <c r="V111" s="315"/>
      <c r="W111" s="315"/>
    </row>
    <row r="112" spans="1:23">
      <c r="B112" s="327" t="s">
        <v>81</v>
      </c>
      <c r="D112" s="872" t="s">
        <v>500</v>
      </c>
      <c r="E112" s="872"/>
      <c r="F112" s="872"/>
      <c r="G112" s="872"/>
      <c r="H112" s="872"/>
      <c r="I112" s="872"/>
      <c r="J112" s="872"/>
      <c r="K112" s="872"/>
      <c r="L112" s="872"/>
      <c r="M112" s="872"/>
      <c r="N112" s="872"/>
      <c r="O112" s="872"/>
      <c r="P112" s="872"/>
      <c r="Q112" s="315"/>
      <c r="R112" s="465"/>
      <c r="S112" s="315"/>
      <c r="T112" s="315"/>
      <c r="U112" s="315"/>
      <c r="V112" s="315"/>
      <c r="W112" s="315"/>
    </row>
    <row r="113" spans="2:24">
      <c r="B113" s="327" t="s">
        <v>79</v>
      </c>
      <c r="D113" s="872" t="s">
        <v>474</v>
      </c>
      <c r="E113" s="872"/>
      <c r="F113" s="872"/>
      <c r="G113" s="872"/>
      <c r="H113" s="872"/>
      <c r="I113" s="872"/>
      <c r="J113" s="872"/>
      <c r="K113" s="872"/>
      <c r="L113" s="872"/>
      <c r="M113" s="872"/>
      <c r="N113" s="872"/>
      <c r="O113" s="872"/>
      <c r="P113" s="872"/>
      <c r="Q113" s="315"/>
      <c r="R113" s="465"/>
      <c r="S113" s="315"/>
      <c r="T113" s="315"/>
      <c r="U113" s="315"/>
      <c r="V113" s="315"/>
      <c r="W113" s="315"/>
    </row>
    <row r="114" spans="2:24">
      <c r="B114" s="327" t="s">
        <v>77</v>
      </c>
      <c r="D114" s="872" t="s">
        <v>533</v>
      </c>
      <c r="E114" s="872"/>
      <c r="F114" s="872"/>
      <c r="G114" s="872"/>
      <c r="H114" s="872"/>
      <c r="I114" s="872"/>
      <c r="J114" s="872"/>
      <c r="K114" s="872"/>
      <c r="L114" s="872"/>
      <c r="M114" s="872"/>
      <c r="N114" s="872"/>
      <c r="O114" s="872"/>
      <c r="P114" s="872"/>
      <c r="Q114" s="315"/>
      <c r="R114" s="465"/>
      <c r="S114" s="315"/>
      <c r="T114" s="315"/>
      <c r="U114" s="315"/>
      <c r="V114" s="315"/>
      <c r="W114" s="315"/>
    </row>
    <row r="115" spans="2:24">
      <c r="B115" s="327" t="s">
        <v>75</v>
      </c>
      <c r="D115" s="872" t="s">
        <v>344</v>
      </c>
      <c r="E115" s="872"/>
      <c r="F115" s="872"/>
      <c r="G115" s="872"/>
      <c r="H115" s="872"/>
      <c r="I115" s="872"/>
      <c r="J115" s="872"/>
      <c r="K115" s="872"/>
      <c r="L115" s="872"/>
      <c r="M115" s="872"/>
      <c r="N115" s="872"/>
      <c r="O115" s="872"/>
      <c r="P115" s="872"/>
      <c r="Q115" s="315"/>
      <c r="R115" s="465"/>
      <c r="S115" s="315"/>
      <c r="T115" s="315"/>
      <c r="U115" s="315"/>
      <c r="V115" s="315"/>
      <c r="W115" s="315"/>
    </row>
    <row r="116" spans="2:24">
      <c r="B116" s="169" t="s">
        <v>73</v>
      </c>
      <c r="C116" s="167"/>
      <c r="D116" s="873" t="s">
        <v>498</v>
      </c>
      <c r="E116" s="873"/>
      <c r="F116" s="873"/>
      <c r="G116" s="873"/>
      <c r="H116" s="873"/>
      <c r="I116" s="873"/>
      <c r="J116" s="873"/>
      <c r="K116" s="873"/>
      <c r="L116" s="873"/>
      <c r="M116" s="873"/>
      <c r="N116" s="873"/>
      <c r="O116" s="873"/>
      <c r="P116" s="873"/>
      <c r="Q116" s="167"/>
      <c r="R116" s="308"/>
      <c r="S116" s="167"/>
      <c r="T116" s="167"/>
      <c r="U116" s="167"/>
      <c r="V116" s="315"/>
      <c r="W116" s="315"/>
    </row>
    <row r="117" spans="2:24">
      <c r="B117" s="169" t="s">
        <v>71</v>
      </c>
      <c r="C117" s="157"/>
      <c r="D117" s="873" t="s">
        <v>531</v>
      </c>
      <c r="E117" s="873"/>
      <c r="F117" s="873"/>
      <c r="G117" s="873"/>
      <c r="H117" s="873"/>
      <c r="I117" s="873"/>
      <c r="J117" s="873"/>
      <c r="K117" s="873"/>
      <c r="L117" s="873"/>
      <c r="M117" s="873"/>
      <c r="N117" s="873"/>
      <c r="O117" s="873"/>
      <c r="P117" s="873"/>
      <c r="Q117" s="167"/>
      <c r="R117" s="308"/>
      <c r="S117" s="167"/>
      <c r="T117" s="167"/>
      <c r="U117" s="167"/>
      <c r="V117" s="315"/>
      <c r="W117" s="315"/>
    </row>
    <row r="118" spans="2:24" ht="15.75">
      <c r="B118" s="324"/>
      <c r="C118" s="323"/>
      <c r="D118" s="322"/>
      <c r="E118" s="321"/>
      <c r="F118" s="320"/>
      <c r="G118" s="320"/>
      <c r="H118" s="317"/>
      <c r="I118" s="318"/>
      <c r="J118" s="318"/>
      <c r="K118" s="319"/>
      <c r="L118" s="318"/>
      <c r="M118" s="318"/>
      <c r="O118" s="317"/>
      <c r="P118" s="316"/>
      <c r="Q118" s="315"/>
      <c r="R118" s="465"/>
      <c r="S118" s="315"/>
      <c r="T118" s="315"/>
      <c r="U118" s="315"/>
      <c r="V118" s="315"/>
      <c r="W118" s="315"/>
    </row>
    <row r="119" spans="2:24">
      <c r="D119" s="315"/>
      <c r="E119" s="315"/>
      <c r="F119" s="315"/>
      <c r="G119" s="315"/>
      <c r="H119" s="315"/>
      <c r="I119" s="315"/>
      <c r="J119" s="315"/>
      <c r="K119" s="315"/>
      <c r="L119" s="315"/>
      <c r="M119" s="315"/>
      <c r="N119" s="315"/>
      <c r="O119" s="315"/>
      <c r="P119" s="315"/>
      <c r="Q119" s="315"/>
      <c r="R119" s="465"/>
      <c r="S119" s="315"/>
      <c r="T119" s="315"/>
      <c r="U119" s="315"/>
      <c r="V119" s="315"/>
      <c r="W119" s="315"/>
    </row>
    <row r="120" spans="2:24">
      <c r="D120" s="315"/>
      <c r="E120" s="315"/>
      <c r="F120" s="315"/>
      <c r="G120" s="315"/>
      <c r="H120" s="315"/>
      <c r="I120" s="315"/>
      <c r="J120" s="315"/>
      <c r="K120" s="315"/>
      <c r="L120" s="315"/>
      <c r="M120" s="315"/>
      <c r="N120" s="315"/>
      <c r="O120" s="315"/>
      <c r="P120" s="315"/>
      <c r="Q120" s="315"/>
      <c r="R120" s="465"/>
      <c r="S120" s="315"/>
      <c r="T120" s="315"/>
      <c r="U120" s="315"/>
      <c r="V120" s="315"/>
      <c r="W120" s="315"/>
    </row>
    <row r="121" spans="2:24">
      <c r="D121" s="315"/>
      <c r="E121" s="315"/>
      <c r="F121" s="315"/>
      <c r="G121" s="315"/>
      <c r="H121" s="315"/>
      <c r="I121" s="315"/>
      <c r="J121" s="315"/>
      <c r="K121" s="315"/>
      <c r="L121" s="315"/>
      <c r="M121" s="315"/>
      <c r="N121" s="315"/>
      <c r="O121" s="315"/>
      <c r="P121" s="315"/>
      <c r="Q121" s="315"/>
      <c r="R121" s="465"/>
      <c r="S121" s="315"/>
      <c r="T121" s="315"/>
      <c r="U121" s="315"/>
      <c r="V121" s="315"/>
      <c r="W121" s="315"/>
    </row>
    <row r="122" spans="2:24">
      <c r="B122" s="631"/>
      <c r="C122" s="631"/>
      <c r="D122" s="535"/>
      <c r="E122" s="535"/>
      <c r="F122" s="535"/>
      <c r="G122" s="535"/>
      <c r="H122" s="535"/>
      <c r="I122" s="535"/>
      <c r="J122" s="535"/>
      <c r="K122" s="535"/>
      <c r="L122" s="535"/>
      <c r="M122" s="535"/>
      <c r="N122" s="536"/>
      <c r="O122" s="535"/>
      <c r="P122" s="535"/>
      <c r="Q122" s="535"/>
      <c r="R122" s="535"/>
      <c r="S122" s="535"/>
      <c r="T122" s="630"/>
      <c r="U122" s="630"/>
      <c r="V122" s="630"/>
      <c r="W122" s="315"/>
      <c r="X122" s="315"/>
    </row>
    <row r="123" spans="2:24">
      <c r="D123" s="315"/>
      <c r="E123" s="315"/>
      <c r="F123" s="315"/>
      <c r="G123" s="315"/>
      <c r="H123" s="315"/>
      <c r="I123" s="315"/>
      <c r="J123" s="315"/>
      <c r="K123" s="315"/>
      <c r="L123" s="315"/>
      <c r="M123" s="315"/>
      <c r="N123" s="315"/>
      <c r="O123" s="315"/>
      <c r="P123" s="315"/>
      <c r="Q123" s="315"/>
      <c r="R123" s="465"/>
      <c r="S123" s="315"/>
      <c r="T123" s="315"/>
      <c r="U123" s="315"/>
      <c r="V123" s="315"/>
      <c r="W123" s="315"/>
    </row>
    <row r="124" spans="2:24">
      <c r="D124" s="315"/>
      <c r="E124" s="315"/>
      <c r="F124" s="315"/>
      <c r="G124" s="315"/>
      <c r="H124" s="315"/>
      <c r="I124" s="315"/>
      <c r="J124" s="315"/>
      <c r="K124" s="315"/>
      <c r="L124" s="315"/>
      <c r="M124" s="315"/>
      <c r="N124" s="315"/>
      <c r="O124" s="315"/>
      <c r="P124" s="315"/>
      <c r="Q124" s="315"/>
      <c r="R124" s="465"/>
      <c r="S124" s="315"/>
      <c r="T124" s="315"/>
      <c r="U124" s="315"/>
      <c r="V124" s="315"/>
      <c r="W124" s="315"/>
    </row>
    <row r="125" spans="2:24">
      <c r="D125" s="315"/>
      <c r="E125" s="315"/>
      <c r="F125" s="315"/>
      <c r="G125" s="315"/>
      <c r="H125" s="315"/>
      <c r="I125" s="315"/>
      <c r="J125" s="315"/>
      <c r="K125" s="315"/>
      <c r="L125" s="315"/>
      <c r="M125" s="315"/>
      <c r="N125" s="315"/>
      <c r="O125" s="315"/>
      <c r="P125" s="315"/>
      <c r="Q125" s="315"/>
      <c r="R125" s="465"/>
      <c r="S125" s="315"/>
      <c r="T125" s="315"/>
      <c r="U125" s="315"/>
      <c r="V125" s="315"/>
      <c r="W125" s="315"/>
    </row>
    <row r="126" spans="2:24">
      <c r="D126" s="315"/>
      <c r="E126" s="315"/>
      <c r="F126" s="315"/>
      <c r="G126" s="315"/>
      <c r="H126" s="315"/>
      <c r="I126" s="315"/>
      <c r="J126" s="315"/>
      <c r="K126" s="315"/>
      <c r="L126" s="315"/>
      <c r="M126" s="315"/>
      <c r="N126" s="315"/>
      <c r="O126" s="315"/>
      <c r="P126" s="315"/>
      <c r="Q126" s="315"/>
      <c r="R126" s="465"/>
      <c r="S126" s="315"/>
      <c r="T126" s="315"/>
      <c r="U126" s="315"/>
      <c r="V126" s="315"/>
      <c r="W126" s="315"/>
    </row>
    <row r="127" spans="2:24">
      <c r="D127" s="315"/>
      <c r="E127" s="315"/>
      <c r="F127" s="315"/>
      <c r="G127" s="315"/>
      <c r="H127" s="315"/>
      <c r="I127" s="315"/>
      <c r="J127" s="315"/>
      <c r="K127" s="315"/>
      <c r="L127" s="315"/>
      <c r="M127" s="315"/>
      <c r="N127" s="315"/>
      <c r="O127" s="315"/>
      <c r="P127" s="315"/>
      <c r="Q127" s="315"/>
      <c r="R127" s="465"/>
      <c r="S127" s="315"/>
      <c r="T127" s="315"/>
      <c r="U127" s="315"/>
      <c r="V127" s="315"/>
      <c r="W127" s="315"/>
    </row>
    <row r="128" spans="2:24">
      <c r="D128" s="315"/>
      <c r="E128" s="315"/>
      <c r="F128" s="315"/>
      <c r="G128" s="315"/>
      <c r="H128" s="315"/>
      <c r="I128" s="315"/>
      <c r="J128" s="315"/>
      <c r="K128" s="315"/>
      <c r="L128" s="315"/>
      <c r="M128" s="315"/>
      <c r="N128" s="315"/>
      <c r="O128" s="315"/>
      <c r="P128" s="315"/>
      <c r="Q128" s="315"/>
      <c r="R128" s="465"/>
      <c r="S128" s="315"/>
      <c r="T128" s="315"/>
      <c r="U128" s="315"/>
      <c r="V128" s="315"/>
      <c r="W128" s="315"/>
    </row>
    <row r="129" spans="4:23">
      <c r="D129" s="315"/>
      <c r="E129" s="315"/>
      <c r="F129" s="315"/>
      <c r="G129" s="315"/>
      <c r="H129" s="315"/>
      <c r="I129" s="315"/>
      <c r="J129" s="315"/>
      <c r="K129" s="315"/>
      <c r="L129" s="315"/>
      <c r="M129" s="315"/>
      <c r="N129" s="315"/>
      <c r="O129" s="315"/>
      <c r="P129" s="315"/>
      <c r="Q129" s="315"/>
      <c r="R129" s="465"/>
      <c r="S129" s="315"/>
      <c r="T129" s="315"/>
      <c r="U129" s="315"/>
      <c r="V129" s="315"/>
      <c r="W129" s="315"/>
    </row>
    <row r="130" spans="4:23">
      <c r="D130" s="315"/>
      <c r="E130" s="315"/>
      <c r="F130" s="315"/>
      <c r="G130" s="315"/>
      <c r="H130" s="315"/>
      <c r="I130" s="315"/>
      <c r="J130" s="315"/>
      <c r="K130" s="315"/>
      <c r="L130" s="315"/>
      <c r="M130" s="315"/>
      <c r="N130" s="315"/>
      <c r="O130" s="315"/>
      <c r="P130" s="315"/>
      <c r="Q130" s="315"/>
      <c r="R130" s="465"/>
      <c r="S130" s="315"/>
      <c r="T130" s="315"/>
      <c r="U130" s="315"/>
      <c r="V130" s="315"/>
      <c r="W130" s="315"/>
    </row>
    <row r="131" spans="4:23">
      <c r="D131" s="315"/>
      <c r="E131" s="315"/>
      <c r="F131" s="315"/>
      <c r="G131" s="315"/>
      <c r="H131" s="315"/>
      <c r="I131" s="315"/>
      <c r="J131" s="315"/>
      <c r="K131" s="315"/>
      <c r="L131" s="315"/>
      <c r="M131" s="315"/>
      <c r="N131" s="315"/>
      <c r="O131" s="315"/>
      <c r="P131" s="315"/>
      <c r="Q131" s="315"/>
      <c r="R131" s="465"/>
      <c r="S131" s="315"/>
      <c r="T131" s="315"/>
      <c r="U131" s="315"/>
      <c r="V131" s="315"/>
      <c r="W131" s="315"/>
    </row>
    <row r="132" spans="4:23">
      <c r="D132" s="315"/>
      <c r="E132" s="315"/>
      <c r="F132" s="315"/>
      <c r="G132" s="315"/>
      <c r="H132" s="315"/>
      <c r="I132" s="315"/>
      <c r="J132" s="315"/>
      <c r="K132" s="315"/>
      <c r="L132" s="315"/>
      <c r="M132" s="315"/>
      <c r="N132" s="315"/>
      <c r="O132" s="315"/>
      <c r="P132" s="315"/>
      <c r="Q132" s="315"/>
      <c r="R132" s="465"/>
      <c r="S132" s="315"/>
      <c r="T132" s="315"/>
      <c r="U132" s="315"/>
      <c r="V132" s="315"/>
      <c r="W132" s="315"/>
    </row>
    <row r="133" spans="4:23">
      <c r="D133" s="315"/>
      <c r="E133" s="315"/>
      <c r="F133" s="315"/>
      <c r="G133" s="315"/>
      <c r="H133" s="315"/>
      <c r="I133" s="315"/>
      <c r="J133" s="315"/>
      <c r="K133" s="315"/>
      <c r="L133" s="315"/>
      <c r="M133" s="315"/>
      <c r="N133" s="315"/>
      <c r="O133" s="315"/>
      <c r="P133" s="315"/>
      <c r="Q133" s="315"/>
      <c r="R133" s="465"/>
      <c r="S133" s="315"/>
      <c r="T133" s="315"/>
      <c r="U133" s="315"/>
      <c r="V133" s="315"/>
      <c r="W133" s="315"/>
    </row>
    <row r="134" spans="4:23">
      <c r="D134" s="315"/>
      <c r="E134" s="315"/>
      <c r="F134" s="315"/>
      <c r="G134" s="315"/>
      <c r="H134" s="315"/>
      <c r="I134" s="315"/>
      <c r="J134" s="315"/>
      <c r="K134" s="315"/>
      <c r="L134" s="315"/>
      <c r="M134" s="315"/>
      <c r="N134" s="315"/>
      <c r="O134" s="315"/>
      <c r="P134" s="315"/>
      <c r="Q134" s="315"/>
      <c r="R134" s="465"/>
      <c r="S134" s="315"/>
      <c r="T134" s="315"/>
      <c r="U134" s="315"/>
      <c r="V134" s="315"/>
      <c r="W134" s="315"/>
    </row>
    <row r="135" spans="4:23">
      <c r="D135" s="315"/>
      <c r="E135" s="315"/>
      <c r="F135" s="315"/>
      <c r="G135" s="315"/>
      <c r="H135" s="315"/>
      <c r="I135" s="315"/>
      <c r="J135" s="315"/>
      <c r="K135" s="315"/>
      <c r="L135" s="315"/>
      <c r="M135" s="315"/>
      <c r="N135" s="315"/>
      <c r="O135" s="315"/>
      <c r="P135" s="315"/>
      <c r="Q135" s="315"/>
      <c r="R135" s="465"/>
      <c r="S135" s="315"/>
      <c r="T135" s="315"/>
      <c r="U135" s="315"/>
      <c r="V135" s="315"/>
      <c r="W135" s="315"/>
    </row>
    <row r="136" spans="4:23">
      <c r="D136" s="315"/>
      <c r="E136" s="315"/>
      <c r="F136" s="315"/>
      <c r="G136" s="315"/>
      <c r="H136" s="315"/>
      <c r="I136" s="315"/>
      <c r="J136" s="315"/>
      <c r="K136" s="315"/>
      <c r="L136" s="315"/>
      <c r="M136" s="315"/>
      <c r="N136" s="315"/>
      <c r="O136" s="315"/>
      <c r="P136" s="315"/>
      <c r="Q136" s="315"/>
      <c r="R136" s="465"/>
      <c r="S136" s="315"/>
      <c r="T136" s="315"/>
      <c r="U136" s="315"/>
      <c r="V136" s="315"/>
      <c r="W136" s="315"/>
    </row>
    <row r="137" spans="4:23">
      <c r="D137" s="315"/>
      <c r="E137" s="315"/>
      <c r="F137" s="315"/>
      <c r="G137" s="315"/>
      <c r="H137" s="315"/>
      <c r="I137" s="315"/>
      <c r="J137" s="315"/>
      <c r="K137" s="315"/>
      <c r="L137" s="315"/>
      <c r="M137" s="315"/>
      <c r="N137" s="315"/>
      <c r="O137" s="315"/>
      <c r="P137" s="315"/>
      <c r="Q137" s="315"/>
      <c r="R137" s="465"/>
      <c r="S137" s="315"/>
      <c r="T137" s="315"/>
      <c r="U137" s="315"/>
      <c r="V137" s="315"/>
      <c r="W137" s="315"/>
    </row>
    <row r="138" spans="4:23">
      <c r="D138" s="315"/>
      <c r="E138" s="315"/>
      <c r="F138" s="315"/>
      <c r="G138" s="315"/>
      <c r="H138" s="315"/>
      <c r="I138" s="315"/>
      <c r="J138" s="315"/>
      <c r="K138" s="315"/>
      <c r="L138" s="315"/>
      <c r="M138" s="315"/>
      <c r="N138" s="315"/>
      <c r="O138" s="315"/>
      <c r="P138" s="315"/>
      <c r="Q138" s="315"/>
      <c r="R138" s="465"/>
      <c r="S138" s="315"/>
      <c r="T138" s="315"/>
      <c r="U138" s="315"/>
      <c r="V138" s="315"/>
      <c r="W138" s="315"/>
    </row>
    <row r="139" spans="4:23">
      <c r="D139" s="315"/>
      <c r="E139" s="315"/>
      <c r="F139" s="315"/>
      <c r="G139" s="315"/>
      <c r="H139" s="315"/>
      <c r="I139" s="315"/>
      <c r="J139" s="315"/>
      <c r="K139" s="315"/>
      <c r="L139" s="315"/>
      <c r="M139" s="315"/>
      <c r="N139" s="315"/>
      <c r="O139" s="315"/>
      <c r="P139" s="315"/>
      <c r="Q139" s="315"/>
      <c r="R139" s="465"/>
      <c r="S139" s="315"/>
      <c r="T139" s="315"/>
      <c r="U139" s="315"/>
      <c r="V139" s="315"/>
      <c r="W139" s="315"/>
    </row>
    <row r="140" spans="4:23">
      <c r="D140" s="315"/>
      <c r="E140" s="315"/>
      <c r="F140" s="315"/>
      <c r="G140" s="315"/>
      <c r="H140" s="315"/>
      <c r="I140" s="315"/>
      <c r="J140" s="315"/>
      <c r="K140" s="315"/>
      <c r="L140" s="315"/>
      <c r="M140" s="315"/>
      <c r="N140" s="315"/>
      <c r="O140" s="315"/>
      <c r="P140" s="315"/>
      <c r="Q140" s="315"/>
      <c r="R140" s="465"/>
      <c r="S140" s="315"/>
      <c r="T140" s="315"/>
      <c r="U140" s="315"/>
      <c r="V140" s="315"/>
      <c r="W140" s="315"/>
    </row>
    <row r="141" spans="4:23">
      <c r="D141" s="315"/>
      <c r="E141" s="315"/>
      <c r="F141" s="315"/>
      <c r="G141" s="315"/>
      <c r="H141" s="315"/>
      <c r="I141" s="315"/>
      <c r="J141" s="315"/>
      <c r="K141" s="315"/>
      <c r="L141" s="315"/>
      <c r="M141" s="315"/>
      <c r="N141" s="315"/>
      <c r="O141" s="315"/>
      <c r="P141" s="315"/>
      <c r="Q141" s="315"/>
      <c r="R141" s="465"/>
      <c r="S141" s="315"/>
      <c r="T141" s="315"/>
      <c r="U141" s="315"/>
      <c r="V141" s="315"/>
      <c r="W141" s="315"/>
    </row>
    <row r="142" spans="4:23">
      <c r="D142" s="315"/>
      <c r="E142" s="315"/>
      <c r="F142" s="315"/>
      <c r="G142" s="315"/>
      <c r="H142" s="315"/>
      <c r="I142" s="315"/>
      <c r="J142" s="315"/>
      <c r="K142" s="315"/>
      <c r="L142" s="315"/>
      <c r="M142" s="315"/>
      <c r="N142" s="315"/>
      <c r="O142" s="315"/>
      <c r="P142" s="315"/>
      <c r="Q142" s="315"/>
      <c r="R142" s="465"/>
      <c r="S142" s="315"/>
      <c r="T142" s="315"/>
      <c r="U142" s="315"/>
      <c r="V142" s="315"/>
      <c r="W142" s="315"/>
    </row>
    <row r="143" spans="4:23">
      <c r="D143" s="315"/>
      <c r="E143" s="315"/>
      <c r="F143" s="315"/>
      <c r="G143" s="315"/>
      <c r="H143" s="315"/>
      <c r="I143" s="315"/>
      <c r="J143" s="315"/>
      <c r="K143" s="315"/>
      <c r="L143" s="315"/>
      <c r="M143" s="315"/>
      <c r="N143" s="315"/>
      <c r="O143" s="315"/>
      <c r="P143" s="315"/>
      <c r="Q143" s="315"/>
      <c r="R143" s="465"/>
      <c r="S143" s="315"/>
      <c r="T143" s="315"/>
      <c r="U143" s="315"/>
      <c r="V143" s="315"/>
      <c r="W143" s="315"/>
    </row>
    <row r="144" spans="4:23">
      <c r="D144" s="315"/>
      <c r="E144" s="315"/>
      <c r="F144" s="315"/>
      <c r="G144" s="315"/>
      <c r="H144" s="315"/>
      <c r="I144" s="315"/>
      <c r="J144" s="315"/>
      <c r="K144" s="315"/>
      <c r="L144" s="315"/>
      <c r="M144" s="315"/>
      <c r="N144" s="315"/>
      <c r="O144" s="315"/>
      <c r="P144" s="315"/>
      <c r="Q144" s="315"/>
      <c r="R144" s="465"/>
      <c r="S144" s="315"/>
      <c r="T144" s="315"/>
      <c r="U144" s="315"/>
      <c r="V144" s="315"/>
      <c r="W144" s="315"/>
    </row>
    <row r="145" spans="4:23">
      <c r="D145" s="315"/>
      <c r="E145" s="315"/>
      <c r="F145" s="315"/>
      <c r="G145" s="315"/>
      <c r="H145" s="315"/>
      <c r="I145" s="315"/>
      <c r="J145" s="315"/>
      <c r="K145" s="315"/>
      <c r="L145" s="315"/>
      <c r="M145" s="315"/>
      <c r="N145" s="315"/>
      <c r="O145" s="315"/>
      <c r="P145" s="315"/>
      <c r="Q145" s="315"/>
      <c r="R145" s="465"/>
      <c r="S145" s="315"/>
      <c r="T145" s="315"/>
      <c r="U145" s="315"/>
      <c r="V145" s="315"/>
      <c r="W145" s="315"/>
    </row>
    <row r="146" spans="4:23">
      <c r="D146" s="315"/>
      <c r="E146" s="315"/>
      <c r="F146" s="315"/>
      <c r="G146" s="315"/>
      <c r="H146" s="315"/>
      <c r="I146" s="315"/>
      <c r="J146" s="315"/>
      <c r="K146" s="315"/>
      <c r="L146" s="315"/>
      <c r="M146" s="315"/>
      <c r="N146" s="315"/>
      <c r="O146" s="315"/>
      <c r="P146" s="315"/>
      <c r="Q146" s="315"/>
      <c r="R146" s="465"/>
      <c r="S146" s="315"/>
      <c r="T146" s="315"/>
      <c r="U146" s="315"/>
      <c r="V146" s="315"/>
      <c r="W146" s="315"/>
    </row>
    <row r="147" spans="4:23">
      <c r="D147" s="315"/>
      <c r="E147" s="315"/>
      <c r="F147" s="315"/>
      <c r="G147" s="315"/>
      <c r="H147" s="315"/>
      <c r="I147" s="315"/>
      <c r="J147" s="315"/>
      <c r="K147" s="315"/>
      <c r="L147" s="315"/>
      <c r="M147" s="315"/>
      <c r="N147" s="315"/>
      <c r="O147" s="315"/>
      <c r="P147" s="315"/>
      <c r="Q147" s="315"/>
      <c r="R147" s="465"/>
      <c r="S147" s="315"/>
      <c r="T147" s="315"/>
      <c r="U147" s="315"/>
      <c r="V147" s="315"/>
      <c r="W147" s="315"/>
    </row>
    <row r="148" spans="4:23">
      <c r="D148" s="315"/>
      <c r="E148" s="315"/>
      <c r="F148" s="315"/>
      <c r="G148" s="315"/>
      <c r="H148" s="315"/>
      <c r="I148" s="315"/>
      <c r="J148" s="315"/>
      <c r="K148" s="315"/>
      <c r="L148" s="315"/>
      <c r="M148" s="315"/>
      <c r="N148" s="315"/>
      <c r="O148" s="315"/>
      <c r="P148" s="315"/>
      <c r="Q148" s="315"/>
      <c r="R148" s="465"/>
      <c r="S148" s="315"/>
      <c r="T148" s="315"/>
      <c r="U148" s="315"/>
      <c r="V148" s="315"/>
      <c r="W148" s="315"/>
    </row>
    <row r="149" spans="4:23">
      <c r="D149" s="315"/>
      <c r="E149" s="315"/>
      <c r="F149" s="315"/>
      <c r="G149" s="315"/>
      <c r="H149" s="315"/>
      <c r="I149" s="315"/>
      <c r="J149" s="315"/>
      <c r="K149" s="315"/>
      <c r="L149" s="315"/>
      <c r="M149" s="315"/>
      <c r="N149" s="315"/>
      <c r="O149" s="315"/>
      <c r="P149" s="315"/>
      <c r="Q149" s="315"/>
      <c r="R149" s="465"/>
      <c r="S149" s="315"/>
      <c r="T149" s="315"/>
      <c r="U149" s="315"/>
      <c r="V149" s="315"/>
      <c r="W149" s="315"/>
    </row>
    <row r="150" spans="4:23">
      <c r="D150" s="315"/>
      <c r="E150" s="315"/>
      <c r="F150" s="315"/>
      <c r="G150" s="315"/>
      <c r="H150" s="315"/>
      <c r="I150" s="315"/>
      <c r="J150" s="315"/>
      <c r="K150" s="315"/>
      <c r="L150" s="315"/>
      <c r="M150" s="315"/>
      <c r="N150" s="315"/>
      <c r="O150" s="315"/>
      <c r="P150" s="315"/>
      <c r="Q150" s="315"/>
      <c r="R150" s="465"/>
      <c r="S150" s="315"/>
      <c r="T150" s="315"/>
      <c r="U150" s="315"/>
      <c r="V150" s="315"/>
      <c r="W150" s="315"/>
    </row>
    <row r="151" spans="4:23">
      <c r="D151" s="315"/>
      <c r="E151" s="315"/>
      <c r="F151" s="315"/>
      <c r="G151" s="315"/>
      <c r="H151" s="315"/>
      <c r="I151" s="315"/>
      <c r="J151" s="315"/>
      <c r="K151" s="315"/>
      <c r="L151" s="315"/>
      <c r="M151" s="315"/>
      <c r="N151" s="315"/>
      <c r="O151" s="315"/>
      <c r="P151" s="315"/>
      <c r="Q151" s="315"/>
      <c r="R151" s="465"/>
      <c r="S151" s="315"/>
      <c r="T151" s="315"/>
      <c r="U151" s="315"/>
      <c r="V151" s="315"/>
      <c r="W151" s="315"/>
    </row>
    <row r="152" spans="4:23">
      <c r="D152" s="315"/>
      <c r="E152" s="315"/>
      <c r="F152" s="315"/>
      <c r="G152" s="315"/>
      <c r="H152" s="315"/>
      <c r="I152" s="315"/>
      <c r="J152" s="315"/>
      <c r="K152" s="315"/>
      <c r="L152" s="315"/>
      <c r="M152" s="315"/>
      <c r="N152" s="315"/>
      <c r="O152" s="315"/>
      <c r="P152" s="315"/>
      <c r="Q152" s="315"/>
      <c r="R152" s="465"/>
      <c r="S152" s="315"/>
      <c r="T152" s="315"/>
      <c r="U152" s="315"/>
      <c r="V152" s="315"/>
      <c r="W152" s="315"/>
    </row>
    <row r="153" spans="4:23">
      <c r="D153" s="315"/>
      <c r="E153" s="315"/>
      <c r="F153" s="315"/>
      <c r="G153" s="315"/>
      <c r="H153" s="315"/>
      <c r="I153" s="315"/>
      <c r="J153" s="315"/>
      <c r="K153" s="315"/>
      <c r="L153" s="315"/>
      <c r="M153" s="315"/>
      <c r="N153" s="315"/>
      <c r="O153" s="315"/>
      <c r="P153" s="315"/>
      <c r="Q153" s="315"/>
      <c r="R153" s="465"/>
      <c r="S153" s="315"/>
      <c r="T153" s="315"/>
      <c r="U153" s="315"/>
      <c r="V153" s="315"/>
      <c r="W153" s="315"/>
    </row>
    <row r="154" spans="4:23">
      <c r="D154" s="315"/>
      <c r="E154" s="315"/>
      <c r="F154" s="315"/>
      <c r="G154" s="315"/>
      <c r="H154" s="315"/>
      <c r="I154" s="315"/>
      <c r="J154" s="315"/>
      <c r="K154" s="315"/>
      <c r="L154" s="315"/>
      <c r="M154" s="315"/>
      <c r="N154" s="315"/>
      <c r="O154" s="315"/>
      <c r="P154" s="315"/>
      <c r="Q154" s="315"/>
      <c r="R154" s="465"/>
      <c r="S154" s="315"/>
      <c r="T154" s="315"/>
      <c r="U154" s="315"/>
      <c r="V154" s="315"/>
      <c r="W154" s="315"/>
    </row>
    <row r="155" spans="4:23">
      <c r="D155" s="315"/>
      <c r="E155" s="315"/>
      <c r="F155" s="315"/>
      <c r="G155" s="315"/>
      <c r="H155" s="315"/>
      <c r="I155" s="315"/>
      <c r="J155" s="315"/>
      <c r="K155" s="315"/>
      <c r="L155" s="315"/>
      <c r="M155" s="315"/>
      <c r="N155" s="315"/>
      <c r="O155" s="315"/>
      <c r="P155" s="315"/>
      <c r="Q155" s="315"/>
      <c r="R155" s="465"/>
      <c r="S155" s="315"/>
      <c r="T155" s="315"/>
      <c r="U155" s="315"/>
      <c r="V155" s="315"/>
      <c r="W155" s="315"/>
    </row>
    <row r="156" spans="4:23">
      <c r="D156" s="315"/>
      <c r="E156" s="315"/>
      <c r="F156" s="315"/>
      <c r="G156" s="315"/>
      <c r="H156" s="315"/>
      <c r="I156" s="315"/>
      <c r="J156" s="315"/>
      <c r="K156" s="315"/>
      <c r="L156" s="315"/>
      <c r="M156" s="315"/>
      <c r="N156" s="315"/>
      <c r="O156" s="315"/>
      <c r="P156" s="315"/>
      <c r="Q156" s="315"/>
      <c r="R156" s="465"/>
      <c r="S156" s="315"/>
      <c r="T156" s="315"/>
      <c r="U156" s="315"/>
      <c r="V156" s="315"/>
      <c r="W156" s="315"/>
    </row>
    <row r="157" spans="4:23">
      <c r="D157" s="315"/>
      <c r="E157" s="315"/>
      <c r="F157" s="315"/>
      <c r="G157" s="315"/>
      <c r="H157" s="315"/>
      <c r="I157" s="315"/>
      <c r="J157" s="315"/>
      <c r="K157" s="315"/>
      <c r="L157" s="315"/>
      <c r="M157" s="315"/>
      <c r="N157" s="315"/>
      <c r="O157" s="315"/>
      <c r="P157" s="315"/>
      <c r="Q157" s="315"/>
      <c r="R157" s="465"/>
      <c r="S157" s="315"/>
      <c r="T157" s="315"/>
      <c r="U157" s="315"/>
      <c r="V157" s="315"/>
      <c r="W157" s="315"/>
    </row>
    <row r="158" spans="4:23">
      <c r="D158" s="315"/>
      <c r="E158" s="315"/>
      <c r="F158" s="315"/>
      <c r="G158" s="315"/>
      <c r="H158" s="315"/>
      <c r="I158" s="315"/>
      <c r="J158" s="315"/>
      <c r="K158" s="315"/>
      <c r="L158" s="315"/>
      <c r="M158" s="315"/>
      <c r="N158" s="315"/>
      <c r="O158" s="315"/>
      <c r="P158" s="315"/>
      <c r="Q158" s="315"/>
      <c r="R158" s="465"/>
      <c r="S158" s="315"/>
      <c r="T158" s="315"/>
      <c r="U158" s="315"/>
      <c r="V158" s="315"/>
      <c r="W158" s="315"/>
    </row>
    <row r="159" spans="4:23">
      <c r="D159" s="315"/>
      <c r="E159" s="315"/>
      <c r="F159" s="315"/>
      <c r="G159" s="315"/>
      <c r="H159" s="315"/>
      <c r="I159" s="315"/>
      <c r="J159" s="315"/>
      <c r="K159" s="315"/>
      <c r="L159" s="315"/>
      <c r="M159" s="315"/>
      <c r="N159" s="315"/>
      <c r="O159" s="315"/>
      <c r="P159" s="315"/>
      <c r="Q159" s="315"/>
      <c r="R159" s="465"/>
      <c r="S159" s="315"/>
      <c r="T159" s="315"/>
      <c r="U159" s="315"/>
      <c r="V159" s="315"/>
      <c r="W159" s="315"/>
    </row>
    <row r="160" spans="4:23">
      <c r="D160" s="315"/>
      <c r="E160" s="315"/>
      <c r="F160" s="315"/>
      <c r="G160" s="315"/>
      <c r="H160" s="315"/>
      <c r="I160" s="315"/>
      <c r="J160" s="315"/>
      <c r="K160" s="315"/>
      <c r="L160" s="315"/>
      <c r="M160" s="315"/>
      <c r="N160" s="315"/>
      <c r="O160" s="315"/>
      <c r="P160" s="315"/>
      <c r="Q160" s="315"/>
      <c r="R160" s="465"/>
      <c r="S160" s="315"/>
      <c r="T160" s="315"/>
      <c r="U160" s="315"/>
      <c r="V160" s="315"/>
      <c r="W160" s="315"/>
    </row>
    <row r="161" spans="4:23">
      <c r="D161" s="315"/>
      <c r="E161" s="315"/>
      <c r="F161" s="315"/>
      <c r="G161" s="315"/>
      <c r="H161" s="315"/>
      <c r="I161" s="315"/>
      <c r="J161" s="315"/>
      <c r="K161" s="315"/>
      <c r="L161" s="315"/>
      <c r="M161" s="315"/>
      <c r="N161" s="315"/>
      <c r="O161" s="315"/>
      <c r="P161" s="315"/>
      <c r="Q161" s="315"/>
      <c r="R161" s="465"/>
      <c r="S161" s="315"/>
      <c r="T161" s="315"/>
      <c r="U161" s="315"/>
      <c r="V161" s="315"/>
      <c r="W161" s="315"/>
    </row>
    <row r="162" spans="4:23">
      <c r="D162" s="315"/>
      <c r="E162" s="315"/>
      <c r="F162" s="315"/>
      <c r="G162" s="315"/>
      <c r="H162" s="315"/>
      <c r="I162" s="315"/>
      <c r="J162" s="315"/>
      <c r="K162" s="315"/>
      <c r="L162" s="315"/>
      <c r="M162" s="315"/>
      <c r="N162" s="315"/>
      <c r="O162" s="315"/>
      <c r="P162" s="315"/>
      <c r="Q162" s="315"/>
      <c r="R162" s="465"/>
      <c r="S162" s="315"/>
      <c r="T162" s="315"/>
      <c r="U162" s="315"/>
      <c r="V162" s="315"/>
      <c r="W162" s="315"/>
    </row>
    <row r="163" spans="4:23">
      <c r="D163" s="315"/>
      <c r="E163" s="315"/>
      <c r="F163" s="315"/>
      <c r="G163" s="315"/>
      <c r="H163" s="315"/>
      <c r="I163" s="315"/>
      <c r="J163" s="315"/>
      <c r="K163" s="315"/>
      <c r="L163" s="315"/>
      <c r="M163" s="315"/>
      <c r="N163" s="315"/>
      <c r="O163" s="315"/>
      <c r="P163" s="315"/>
      <c r="Q163" s="315"/>
      <c r="R163" s="465"/>
      <c r="S163" s="315"/>
      <c r="T163" s="315"/>
      <c r="U163" s="315"/>
      <c r="V163" s="315"/>
      <c r="W163" s="315"/>
    </row>
    <row r="164" spans="4:23">
      <c r="D164" s="315"/>
      <c r="E164" s="315"/>
      <c r="F164" s="315"/>
      <c r="G164" s="315"/>
      <c r="H164" s="315"/>
      <c r="I164" s="315"/>
      <c r="J164" s="315"/>
      <c r="K164" s="315"/>
      <c r="L164" s="315"/>
      <c r="M164" s="315"/>
      <c r="N164" s="315"/>
      <c r="O164" s="315"/>
      <c r="P164" s="315"/>
      <c r="Q164" s="315"/>
      <c r="R164" s="465"/>
      <c r="S164" s="315"/>
      <c r="T164" s="315"/>
      <c r="U164" s="315"/>
      <c r="V164" s="315"/>
      <c r="W164" s="315"/>
    </row>
    <row r="165" spans="4:23">
      <c r="D165" s="315"/>
      <c r="E165" s="315"/>
      <c r="F165" s="315"/>
      <c r="G165" s="315"/>
      <c r="H165" s="315"/>
      <c r="I165" s="315"/>
      <c r="J165" s="315"/>
      <c r="K165" s="315"/>
      <c r="L165" s="315"/>
      <c r="M165" s="315"/>
      <c r="N165" s="315"/>
      <c r="O165" s="315"/>
      <c r="P165" s="315"/>
      <c r="Q165" s="315"/>
      <c r="R165" s="465"/>
      <c r="S165" s="315"/>
      <c r="T165" s="315"/>
      <c r="U165" s="315"/>
      <c r="V165" s="315"/>
      <c r="W165" s="315"/>
    </row>
    <row r="166" spans="4:23">
      <c r="D166" s="315"/>
      <c r="E166" s="315"/>
      <c r="F166" s="315"/>
      <c r="G166" s="315"/>
      <c r="H166" s="315"/>
      <c r="I166" s="315"/>
      <c r="J166" s="315"/>
      <c r="K166" s="315"/>
      <c r="L166" s="315"/>
      <c r="M166" s="315"/>
      <c r="N166" s="315"/>
      <c r="O166" s="315"/>
      <c r="P166" s="315"/>
      <c r="Q166" s="315"/>
      <c r="R166" s="465"/>
      <c r="S166" s="315"/>
      <c r="T166" s="315"/>
      <c r="U166" s="315"/>
      <c r="V166" s="315"/>
      <c r="W166" s="315"/>
    </row>
    <row r="167" spans="4:23">
      <c r="D167" s="315"/>
      <c r="E167" s="315"/>
      <c r="F167" s="315"/>
      <c r="G167" s="315"/>
      <c r="H167" s="315"/>
      <c r="I167" s="315"/>
      <c r="J167" s="315"/>
      <c r="K167" s="315"/>
      <c r="L167" s="315"/>
      <c r="M167" s="315"/>
      <c r="N167" s="315"/>
      <c r="O167" s="315"/>
      <c r="P167" s="315"/>
      <c r="Q167" s="315"/>
      <c r="R167" s="465"/>
      <c r="S167" s="315"/>
      <c r="T167" s="315"/>
      <c r="U167" s="315"/>
      <c r="V167" s="315"/>
      <c r="W167" s="315"/>
    </row>
    <row r="168" spans="4:23">
      <c r="D168" s="315"/>
      <c r="E168" s="315"/>
      <c r="F168" s="315"/>
      <c r="G168" s="315"/>
      <c r="H168" s="315"/>
      <c r="I168" s="315"/>
      <c r="J168" s="315"/>
      <c r="K168" s="315"/>
      <c r="L168" s="315"/>
      <c r="M168" s="315"/>
      <c r="N168" s="315"/>
      <c r="O168" s="315"/>
      <c r="P168" s="315"/>
      <c r="Q168" s="315"/>
      <c r="R168" s="465"/>
      <c r="S168" s="315"/>
      <c r="T168" s="315"/>
      <c r="U168" s="315"/>
      <c r="V168" s="315"/>
      <c r="W168" s="315"/>
    </row>
    <row r="169" spans="4:23">
      <c r="D169" s="315"/>
      <c r="E169" s="315"/>
      <c r="F169" s="315"/>
      <c r="G169" s="315"/>
      <c r="H169" s="315"/>
      <c r="I169" s="315"/>
      <c r="J169" s="315"/>
      <c r="K169" s="315"/>
      <c r="L169" s="315"/>
      <c r="M169" s="315"/>
      <c r="N169" s="315"/>
      <c r="O169" s="315"/>
      <c r="P169" s="315"/>
      <c r="Q169" s="315"/>
      <c r="R169" s="465"/>
      <c r="S169" s="315"/>
      <c r="T169" s="315"/>
      <c r="U169" s="315"/>
      <c r="V169" s="315"/>
      <c r="W169" s="315"/>
    </row>
    <row r="170" spans="4:23">
      <c r="D170" s="315"/>
      <c r="E170" s="315"/>
      <c r="F170" s="315"/>
      <c r="G170" s="315"/>
      <c r="H170" s="315"/>
      <c r="I170" s="315"/>
      <c r="J170" s="315"/>
      <c r="K170" s="315"/>
      <c r="L170" s="315"/>
      <c r="M170" s="315"/>
      <c r="N170" s="315"/>
      <c r="O170" s="315"/>
      <c r="P170" s="315"/>
    </row>
    <row r="171" spans="4:23">
      <c r="D171" s="315"/>
      <c r="E171" s="315"/>
      <c r="F171" s="315"/>
      <c r="G171" s="315"/>
      <c r="H171" s="315"/>
      <c r="I171" s="315"/>
      <c r="J171" s="315"/>
      <c r="K171" s="315"/>
      <c r="L171" s="315"/>
      <c r="M171" s="315"/>
      <c r="N171" s="315"/>
      <c r="O171" s="315"/>
      <c r="P171" s="315"/>
    </row>
    <row r="172" spans="4:23">
      <c r="D172" s="315"/>
      <c r="E172" s="315"/>
      <c r="F172" s="315"/>
      <c r="G172" s="315"/>
      <c r="H172" s="315"/>
      <c r="I172" s="315"/>
      <c r="J172" s="315"/>
      <c r="K172" s="315"/>
      <c r="L172" s="315"/>
      <c r="M172" s="315"/>
      <c r="N172" s="315"/>
      <c r="O172" s="315"/>
      <c r="P172" s="315"/>
    </row>
    <row r="173" spans="4:23">
      <c r="D173" s="315"/>
      <c r="E173" s="315"/>
      <c r="F173" s="315"/>
      <c r="G173" s="315"/>
      <c r="H173" s="315"/>
      <c r="I173" s="315"/>
      <c r="J173" s="315"/>
      <c r="K173" s="315"/>
      <c r="L173" s="315"/>
      <c r="M173" s="315"/>
      <c r="N173" s="315"/>
      <c r="O173" s="315"/>
      <c r="P173" s="315"/>
    </row>
    <row r="174" spans="4:23">
      <c r="D174" s="315"/>
      <c r="E174" s="315"/>
      <c r="F174" s="315"/>
      <c r="G174" s="315"/>
      <c r="H174" s="315"/>
      <c r="I174" s="315"/>
      <c r="J174" s="315"/>
      <c r="K174" s="315"/>
      <c r="L174" s="315"/>
      <c r="M174" s="315"/>
      <c r="N174" s="315"/>
      <c r="O174" s="315"/>
      <c r="P174" s="315"/>
    </row>
    <row r="175" spans="4:23">
      <c r="D175" s="315"/>
      <c r="E175" s="315"/>
      <c r="F175" s="315"/>
      <c r="G175" s="315"/>
      <c r="H175" s="315"/>
      <c r="I175" s="315"/>
      <c r="J175" s="315"/>
      <c r="K175" s="315"/>
      <c r="L175" s="315"/>
      <c r="M175" s="315"/>
      <c r="N175" s="315"/>
      <c r="O175" s="315"/>
      <c r="P175" s="315"/>
    </row>
    <row r="176" spans="4:23">
      <c r="D176" s="315"/>
      <c r="E176" s="315"/>
      <c r="F176" s="315"/>
      <c r="G176" s="315"/>
      <c r="H176" s="315"/>
      <c r="I176" s="315"/>
      <c r="J176" s="315"/>
      <c r="K176" s="315"/>
      <c r="L176" s="315"/>
      <c r="M176" s="315"/>
      <c r="N176" s="315"/>
      <c r="O176" s="315"/>
      <c r="P176" s="315"/>
    </row>
    <row r="177" spans="4:16">
      <c r="D177" s="315"/>
      <c r="E177" s="315"/>
      <c r="F177" s="315"/>
      <c r="G177" s="315"/>
      <c r="H177" s="315"/>
      <c r="I177" s="315"/>
      <c r="J177" s="315"/>
      <c r="K177" s="315"/>
      <c r="L177" s="315"/>
      <c r="M177" s="315"/>
      <c r="N177" s="315"/>
      <c r="O177" s="315"/>
      <c r="P177" s="315"/>
    </row>
  </sheetData>
  <mergeCells count="10">
    <mergeCell ref="D114:P114"/>
    <mergeCell ref="D115:P115"/>
    <mergeCell ref="D116:P116"/>
    <mergeCell ref="D117:P117"/>
    <mergeCell ref="D113:P113"/>
    <mergeCell ref="D108:P108"/>
    <mergeCell ref="D109:P109"/>
    <mergeCell ref="D110:P110"/>
    <mergeCell ref="D111:P111"/>
    <mergeCell ref="D112:P112"/>
  </mergeCells>
  <pageMargins left="0.7" right="0.7" top="0.75" bottom="0.75" header="0.3" footer="0.3"/>
  <pageSetup scale="40" fitToHeight="2" orientation="landscape" r:id="rId1"/>
  <rowBreaks count="1" manualBreakCount="1">
    <brk id="62" min="1" max="15"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7"/>
  <sheetViews>
    <sheetView zoomScaleNormal="100" zoomScaleSheetLayoutView="85" workbookViewId="0">
      <pane xSplit="2" ySplit="10" topLeftCell="C11" activePane="bottomRight" state="frozen"/>
      <selection activeCell="H18" sqref="H18"/>
      <selection pane="topRight" activeCell="H18" sqref="H18"/>
      <selection pane="bottomLeft" activeCell="H18" sqref="H18"/>
      <selection pane="bottomRight" activeCell="B7" sqref="B7"/>
    </sheetView>
  </sheetViews>
  <sheetFormatPr defaultRowHeight="12.75"/>
  <cols>
    <col min="1" max="1" width="21.28515625" style="226" customWidth="1"/>
    <col min="2" max="2" width="32.85546875" style="226" customWidth="1"/>
    <col min="3" max="10" width="13.85546875" style="226" customWidth="1"/>
    <col min="11" max="11" width="13.85546875" style="294" customWidth="1"/>
    <col min="12" max="14" width="13.85546875" style="226" customWidth="1"/>
    <col min="15" max="15" width="13.85546875" style="294" customWidth="1"/>
    <col min="16" max="22" width="13.85546875" style="226" customWidth="1"/>
    <col min="23" max="16384" width="9.140625" style="226"/>
  </cols>
  <sheetData>
    <row r="1" spans="1:22">
      <c r="C1" s="403">
        <v>1</v>
      </c>
      <c r="D1" s="403">
        <f t="shared" ref="D1:P1" si="0">+C1+1</f>
        <v>2</v>
      </c>
      <c r="E1" s="403">
        <f t="shared" si="0"/>
        <v>3</v>
      </c>
      <c r="F1" s="403">
        <f t="shared" si="0"/>
        <v>4</v>
      </c>
      <c r="G1" s="403">
        <f t="shared" si="0"/>
        <v>5</v>
      </c>
      <c r="H1" s="403">
        <f t="shared" si="0"/>
        <v>6</v>
      </c>
      <c r="I1" s="403">
        <f t="shared" si="0"/>
        <v>7</v>
      </c>
      <c r="J1" s="403">
        <f t="shared" si="0"/>
        <v>8</v>
      </c>
      <c r="K1" s="403">
        <f t="shared" si="0"/>
        <v>9</v>
      </c>
      <c r="L1" s="403">
        <f t="shared" si="0"/>
        <v>10</v>
      </c>
      <c r="M1" s="403">
        <f t="shared" si="0"/>
        <v>11</v>
      </c>
      <c r="N1" s="403">
        <f t="shared" si="0"/>
        <v>12</v>
      </c>
      <c r="O1" s="403">
        <f t="shared" si="0"/>
        <v>13</v>
      </c>
      <c r="P1" s="403">
        <f t="shared" si="0"/>
        <v>14</v>
      </c>
    </row>
    <row r="2" spans="1:22" s="241" customFormat="1" ht="18">
      <c r="A2" s="479" t="s">
        <v>12</v>
      </c>
      <c r="B2" s="466"/>
      <c r="C2" s="466"/>
      <c r="D2" s="466"/>
      <c r="E2" s="466"/>
      <c r="F2" s="466"/>
      <c r="G2" s="466"/>
      <c r="H2" s="466"/>
      <c r="I2" s="466"/>
      <c r="J2" s="466"/>
      <c r="K2" s="466"/>
      <c r="L2" s="466"/>
      <c r="M2" s="466"/>
      <c r="N2" s="466"/>
      <c r="O2" s="466"/>
      <c r="P2" s="466"/>
    </row>
    <row r="3" spans="1:22">
      <c r="A3" s="480"/>
      <c r="B3" s="510"/>
      <c r="C3" s="510"/>
      <c r="D3" s="510"/>
      <c r="E3" s="510"/>
      <c r="F3" s="510"/>
      <c r="G3" s="510"/>
      <c r="H3" s="510"/>
      <c r="I3" s="510"/>
      <c r="J3" s="510"/>
      <c r="K3" s="510"/>
      <c r="L3" s="510"/>
      <c r="M3" s="510"/>
      <c r="N3" s="510"/>
      <c r="O3" s="510"/>
      <c r="P3" s="510"/>
    </row>
    <row r="4" spans="1:22">
      <c r="A4" s="481" t="s">
        <v>454</v>
      </c>
      <c r="B4" s="511">
        <v>2014</v>
      </c>
      <c r="C4" s="467"/>
      <c r="D4" s="467"/>
      <c r="E4" s="467"/>
      <c r="F4" s="510"/>
      <c r="G4" s="467"/>
      <c r="H4" s="467"/>
      <c r="I4" s="467"/>
      <c r="J4" s="510"/>
      <c r="K4" s="510"/>
      <c r="L4" s="510"/>
      <c r="M4" s="510"/>
      <c r="N4" s="510"/>
      <c r="O4" s="510"/>
      <c r="P4" s="510"/>
    </row>
    <row r="5" spans="1:22">
      <c r="A5" s="480"/>
      <c r="B5" s="467"/>
      <c r="C5" s="467"/>
      <c r="D5" s="468"/>
      <c r="E5" s="468"/>
      <c r="F5" s="468"/>
      <c r="G5" s="468"/>
      <c r="H5" s="468"/>
      <c r="I5" s="468"/>
      <c r="J5" s="468"/>
      <c r="K5" s="468"/>
      <c r="L5" s="468"/>
      <c r="M5" s="468"/>
      <c r="N5" s="468"/>
      <c r="O5" s="468"/>
      <c r="P5" s="468"/>
    </row>
    <row r="6" spans="1:22">
      <c r="A6" s="481" t="s">
        <v>455</v>
      </c>
      <c r="B6" s="482" t="s">
        <v>342</v>
      </c>
      <c r="C6" s="467"/>
      <c r="D6" s="467"/>
      <c r="E6" s="467"/>
      <c r="F6" s="510"/>
      <c r="G6" s="467"/>
      <c r="H6" s="467"/>
      <c r="I6" s="467"/>
      <c r="J6" s="510"/>
      <c r="K6" s="510"/>
      <c r="L6" s="510"/>
      <c r="M6" s="510"/>
      <c r="N6" s="510"/>
      <c r="O6" s="510"/>
      <c r="P6" s="510"/>
    </row>
    <row r="7" spans="1:22">
      <c r="A7" s="480"/>
      <c r="B7" s="467"/>
      <c r="C7" s="468"/>
      <c r="D7" s="468"/>
      <c r="E7" s="468"/>
      <c r="F7" s="468"/>
      <c r="G7" s="468"/>
      <c r="H7" s="468"/>
      <c r="I7" s="468"/>
      <c r="J7" s="468"/>
      <c r="K7" s="468"/>
      <c r="L7" s="468"/>
      <c r="M7" s="468"/>
      <c r="N7" s="468"/>
      <c r="O7" s="468"/>
      <c r="P7" s="468"/>
      <c r="Q7" s="247"/>
      <c r="R7" s="247"/>
      <c r="S7" s="247"/>
      <c r="T7" s="247"/>
      <c r="U7" s="247"/>
      <c r="V7" s="247"/>
    </row>
    <row r="8" spans="1:22">
      <c r="A8" s="512"/>
      <c r="B8" s="524" t="s">
        <v>6</v>
      </c>
      <c r="C8" s="525">
        <v>345</v>
      </c>
      <c r="D8" s="525">
        <v>1453</v>
      </c>
      <c r="E8" s="525">
        <v>352</v>
      </c>
      <c r="F8" s="525">
        <v>356</v>
      </c>
      <c r="G8" s="525">
        <v>1616</v>
      </c>
      <c r="H8" s="525" t="s">
        <v>472</v>
      </c>
      <c r="I8" s="525">
        <v>2837</v>
      </c>
      <c r="J8" s="525">
        <v>2793</v>
      </c>
      <c r="K8" s="525">
        <v>1950</v>
      </c>
      <c r="L8" s="525">
        <v>3206</v>
      </c>
      <c r="M8" s="525">
        <v>2846</v>
      </c>
      <c r="N8" s="525">
        <v>1270</v>
      </c>
      <c r="O8" s="525">
        <v>3125</v>
      </c>
      <c r="P8" s="525">
        <v>3679</v>
      </c>
      <c r="Q8" s="247"/>
      <c r="R8" s="247"/>
      <c r="S8" s="247"/>
      <c r="T8" s="247"/>
      <c r="U8" s="247"/>
      <c r="V8" s="247"/>
    </row>
    <row r="9" spans="1:22">
      <c r="A9" s="512"/>
      <c r="B9" s="524" t="s">
        <v>457</v>
      </c>
      <c r="C9" s="526" t="s">
        <v>456</v>
      </c>
      <c r="D9" s="526" t="s">
        <v>456</v>
      </c>
      <c r="E9" s="526" t="s">
        <v>456</v>
      </c>
      <c r="F9" s="526" t="s">
        <v>456</v>
      </c>
      <c r="G9" s="526" t="s">
        <v>456</v>
      </c>
      <c r="H9" s="526" t="s">
        <v>456</v>
      </c>
      <c r="I9" s="526" t="s">
        <v>456</v>
      </c>
      <c r="J9" s="526" t="s">
        <v>456</v>
      </c>
      <c r="K9" s="526" t="s">
        <v>456</v>
      </c>
      <c r="L9" s="526" t="s">
        <v>456</v>
      </c>
      <c r="M9" s="526" t="s">
        <v>456</v>
      </c>
      <c r="N9" s="526" t="s">
        <v>456</v>
      </c>
      <c r="O9" s="526" t="s">
        <v>456</v>
      </c>
      <c r="P9" s="526" t="s">
        <v>456</v>
      </c>
      <c r="Q9" s="247"/>
      <c r="R9" s="247"/>
      <c r="S9" s="247"/>
      <c r="T9" s="247"/>
      <c r="U9" s="247"/>
      <c r="V9" s="247"/>
    </row>
    <row r="10" spans="1:22" ht="15" customHeight="1">
      <c r="A10" s="512"/>
      <c r="B10" s="524" t="s">
        <v>5</v>
      </c>
      <c r="C10" s="526" t="s">
        <v>523</v>
      </c>
      <c r="D10" s="526" t="s">
        <v>523</v>
      </c>
      <c r="E10" s="526" t="s">
        <v>523</v>
      </c>
      <c r="F10" s="526" t="s">
        <v>523</v>
      </c>
      <c r="G10" s="526" t="s">
        <v>523</v>
      </c>
      <c r="H10" s="526" t="s">
        <v>523</v>
      </c>
      <c r="I10" s="526" t="s">
        <v>523</v>
      </c>
      <c r="J10" s="526" t="s">
        <v>523</v>
      </c>
      <c r="K10" s="526" t="s">
        <v>523</v>
      </c>
      <c r="L10" s="526" t="s">
        <v>523</v>
      </c>
      <c r="M10" s="526" t="s">
        <v>523</v>
      </c>
      <c r="N10" s="526" t="s">
        <v>523</v>
      </c>
      <c r="O10" s="526" t="s">
        <v>523</v>
      </c>
      <c r="P10" s="526" t="s">
        <v>523</v>
      </c>
      <c r="Q10" s="247"/>
      <c r="R10" s="247"/>
      <c r="S10" s="247"/>
      <c r="T10" s="247"/>
      <c r="U10" s="247"/>
      <c r="V10" s="247"/>
    </row>
    <row r="11" spans="1:22">
      <c r="A11" s="248" t="s">
        <v>458</v>
      </c>
      <c r="B11" s="249" t="str">
        <f>"December "&amp;B4-1</f>
        <v>December 2013</v>
      </c>
      <c r="C11" s="264">
        <v>148563323.00999996</v>
      </c>
      <c r="D11" s="263">
        <v>8751971.6800000016</v>
      </c>
      <c r="E11" s="264">
        <v>88274400.930000007</v>
      </c>
      <c r="F11" s="263">
        <v>139599260</v>
      </c>
      <c r="G11" s="264">
        <v>1379725.8599999999</v>
      </c>
      <c r="H11" s="263">
        <v>2147722.77</v>
      </c>
      <c r="I11" s="264">
        <v>626602.79500000004</v>
      </c>
      <c r="J11" s="263">
        <v>405929.96500000003</v>
      </c>
      <c r="K11" s="264">
        <v>15402302.789999999</v>
      </c>
      <c r="L11" s="263">
        <v>0</v>
      </c>
      <c r="M11" s="264">
        <v>105789943.36000001</v>
      </c>
      <c r="N11" s="263">
        <v>0</v>
      </c>
      <c r="O11" s="264">
        <v>2585250.6300000004</v>
      </c>
      <c r="P11" s="263">
        <v>0</v>
      </c>
      <c r="Q11" s="247"/>
      <c r="R11" s="247"/>
      <c r="S11" s="247"/>
      <c r="T11" s="247"/>
      <c r="U11" s="247"/>
      <c r="V11" s="247"/>
    </row>
    <row r="12" spans="1:22">
      <c r="A12" s="253" t="s">
        <v>459</v>
      </c>
      <c r="B12" s="254" t="str">
        <f>"January "&amp;B4</f>
        <v>January 2014</v>
      </c>
      <c r="C12" s="252">
        <v>148563323.00999996</v>
      </c>
      <c r="D12" s="251">
        <v>8751971.6800000016</v>
      </c>
      <c r="E12" s="252">
        <v>88274400.930000007</v>
      </c>
      <c r="F12" s="251">
        <v>140015094.73999998</v>
      </c>
      <c r="G12" s="252">
        <v>1379725.8599999999</v>
      </c>
      <c r="H12" s="251">
        <v>2147722.77</v>
      </c>
      <c r="I12" s="252">
        <v>626602.79500000004</v>
      </c>
      <c r="J12" s="251">
        <v>405929.96500000003</v>
      </c>
      <c r="K12" s="252">
        <v>15402302.789999999</v>
      </c>
      <c r="L12" s="251">
        <v>0</v>
      </c>
      <c r="M12" s="252">
        <v>105947181.13</v>
      </c>
      <c r="N12" s="251">
        <v>0</v>
      </c>
      <c r="O12" s="252">
        <v>2786646.13</v>
      </c>
      <c r="P12" s="251">
        <v>654569.93999999994</v>
      </c>
      <c r="Q12" s="247"/>
      <c r="R12" s="247"/>
      <c r="S12" s="247"/>
      <c r="T12" s="247"/>
      <c r="U12" s="247"/>
      <c r="V12" s="247"/>
    </row>
    <row r="13" spans="1:22">
      <c r="A13" s="253"/>
      <c r="B13" s="255" t="s">
        <v>24</v>
      </c>
      <c r="C13" s="252">
        <v>148563323.00999996</v>
      </c>
      <c r="D13" s="251">
        <v>8751971.6800000016</v>
      </c>
      <c r="E13" s="252">
        <v>88274400.930000007</v>
      </c>
      <c r="F13" s="251">
        <v>140085368.58000001</v>
      </c>
      <c r="G13" s="252">
        <v>1379725.8599999999</v>
      </c>
      <c r="H13" s="251">
        <v>2147722.77</v>
      </c>
      <c r="I13" s="252">
        <v>626602.79500000004</v>
      </c>
      <c r="J13" s="251">
        <v>405929.96500000003</v>
      </c>
      <c r="K13" s="252">
        <v>15402302.789999999</v>
      </c>
      <c r="L13" s="251">
        <v>0</v>
      </c>
      <c r="M13" s="252">
        <v>106130974.32000001</v>
      </c>
      <c r="N13" s="251">
        <v>0</v>
      </c>
      <c r="O13" s="252">
        <v>3013824.4999999995</v>
      </c>
      <c r="P13" s="251">
        <v>972375.23</v>
      </c>
      <c r="Q13" s="247"/>
      <c r="R13" s="247"/>
      <c r="S13" s="247"/>
      <c r="T13" s="247"/>
      <c r="U13" s="247"/>
      <c r="V13" s="247"/>
    </row>
    <row r="14" spans="1:22">
      <c r="A14" s="253"/>
      <c r="B14" s="255" t="s">
        <v>452</v>
      </c>
      <c r="C14" s="252">
        <v>148563323.00999999</v>
      </c>
      <c r="D14" s="251">
        <v>8751971.6799999997</v>
      </c>
      <c r="E14" s="252">
        <v>88274400.930000007</v>
      </c>
      <c r="F14" s="251">
        <v>140152524.24000001</v>
      </c>
      <c r="G14" s="252">
        <v>1379725.8599999999</v>
      </c>
      <c r="H14" s="251">
        <v>2147722.77</v>
      </c>
      <c r="I14" s="252">
        <v>626602.79500000004</v>
      </c>
      <c r="J14" s="251">
        <v>405929.96499999997</v>
      </c>
      <c r="K14" s="252">
        <v>15402302.789999999</v>
      </c>
      <c r="L14" s="251">
        <v>0</v>
      </c>
      <c r="M14" s="252">
        <v>106573537</v>
      </c>
      <c r="N14" s="251">
        <v>0</v>
      </c>
      <c r="O14" s="252">
        <v>3287076.25</v>
      </c>
      <c r="P14" s="251">
        <v>1319344.8400000001</v>
      </c>
      <c r="Q14" s="247"/>
      <c r="R14" s="247"/>
      <c r="S14" s="247"/>
      <c r="T14" s="247"/>
      <c r="U14" s="247"/>
      <c r="V14" s="247"/>
    </row>
    <row r="15" spans="1:22">
      <c r="A15" s="253"/>
      <c r="B15" s="255" t="s">
        <v>23</v>
      </c>
      <c r="C15" s="252">
        <v>148563323.00999996</v>
      </c>
      <c r="D15" s="251">
        <v>8751971.6800000016</v>
      </c>
      <c r="E15" s="252">
        <v>88274400.930000007</v>
      </c>
      <c r="F15" s="251">
        <v>140198100.28999999</v>
      </c>
      <c r="G15" s="252">
        <v>1379725.8599999999</v>
      </c>
      <c r="H15" s="251">
        <v>2147722.77</v>
      </c>
      <c r="I15" s="252">
        <v>626602.79500000004</v>
      </c>
      <c r="J15" s="251">
        <v>405929.96500000003</v>
      </c>
      <c r="K15" s="252">
        <v>15402302.789999999</v>
      </c>
      <c r="L15" s="251">
        <v>0</v>
      </c>
      <c r="M15" s="252">
        <v>109791552.41000001</v>
      </c>
      <c r="N15" s="251">
        <v>0</v>
      </c>
      <c r="O15" s="252">
        <v>3809454.7199999997</v>
      </c>
      <c r="P15" s="251">
        <v>1738727.32</v>
      </c>
      <c r="Q15" s="247"/>
      <c r="R15" s="247"/>
      <c r="S15" s="247"/>
      <c r="T15" s="247"/>
      <c r="U15" s="247"/>
      <c r="V15" s="247"/>
    </row>
    <row r="16" spans="1:22">
      <c r="A16" s="253"/>
      <c r="B16" s="255" t="s">
        <v>22</v>
      </c>
      <c r="C16" s="252">
        <v>148563323.00999996</v>
      </c>
      <c r="D16" s="251">
        <v>8751971.6800000016</v>
      </c>
      <c r="E16" s="252">
        <v>88274400.930000007</v>
      </c>
      <c r="F16" s="251">
        <v>140209521.63</v>
      </c>
      <c r="G16" s="252">
        <v>1379725.8599999999</v>
      </c>
      <c r="H16" s="251">
        <v>2147722.77</v>
      </c>
      <c r="I16" s="252">
        <v>626602.79500000004</v>
      </c>
      <c r="J16" s="251">
        <v>405929.96500000003</v>
      </c>
      <c r="K16" s="252">
        <v>15402302.789999999</v>
      </c>
      <c r="L16" s="251">
        <v>0</v>
      </c>
      <c r="M16" s="252">
        <v>110431622.56999999</v>
      </c>
      <c r="N16" s="251">
        <v>0</v>
      </c>
      <c r="O16" s="252">
        <v>4804304.870000002</v>
      </c>
      <c r="P16" s="251">
        <v>2324500.1800000002</v>
      </c>
      <c r="Q16" s="247"/>
      <c r="R16" s="247"/>
      <c r="S16" s="247"/>
      <c r="T16" s="247"/>
      <c r="U16" s="247"/>
      <c r="V16" s="247"/>
    </row>
    <row r="17" spans="1:22">
      <c r="A17" s="253"/>
      <c r="B17" s="255" t="s">
        <v>21</v>
      </c>
      <c r="C17" s="252">
        <v>148563323.00999996</v>
      </c>
      <c r="D17" s="251">
        <v>8751971.6800000016</v>
      </c>
      <c r="E17" s="252">
        <v>88274400.930000007</v>
      </c>
      <c r="F17" s="251">
        <v>140394193.82000002</v>
      </c>
      <c r="G17" s="252">
        <v>1379725.8599999999</v>
      </c>
      <c r="H17" s="251">
        <v>2147722.77</v>
      </c>
      <c r="I17" s="252">
        <v>626602.79500000004</v>
      </c>
      <c r="J17" s="251">
        <v>405929.96500000003</v>
      </c>
      <c r="K17" s="252">
        <v>15402302.789999999</v>
      </c>
      <c r="L17" s="251">
        <v>0</v>
      </c>
      <c r="M17" s="252">
        <v>113866279.83000001</v>
      </c>
      <c r="N17" s="251">
        <v>0</v>
      </c>
      <c r="O17" s="252">
        <v>7189866.4199999999</v>
      </c>
      <c r="P17" s="251">
        <v>2821662.16</v>
      </c>
      <c r="Q17" s="247"/>
      <c r="R17" s="247"/>
      <c r="S17" s="247"/>
      <c r="T17" s="247"/>
      <c r="U17" s="247"/>
      <c r="V17" s="247"/>
    </row>
    <row r="18" spans="1:22">
      <c r="A18" s="253"/>
      <c r="B18" s="255" t="s">
        <v>20</v>
      </c>
      <c r="C18" s="252">
        <v>148563323.00999996</v>
      </c>
      <c r="D18" s="251">
        <v>8751971.6800000016</v>
      </c>
      <c r="E18" s="252">
        <v>88274400.930000007</v>
      </c>
      <c r="F18" s="251">
        <v>140388168.68000001</v>
      </c>
      <c r="G18" s="252">
        <v>1379725.8599999999</v>
      </c>
      <c r="H18" s="251">
        <v>2147722.77</v>
      </c>
      <c r="I18" s="252">
        <v>626602.79500000004</v>
      </c>
      <c r="J18" s="251">
        <v>405929.96500000003</v>
      </c>
      <c r="K18" s="252">
        <v>15402302.789999999</v>
      </c>
      <c r="L18" s="251">
        <v>0</v>
      </c>
      <c r="M18" s="252">
        <v>114308243.53</v>
      </c>
      <c r="N18" s="251">
        <v>0</v>
      </c>
      <c r="O18" s="252">
        <v>10127996.040000003</v>
      </c>
      <c r="P18" s="251">
        <v>3279490.7576000006</v>
      </c>
      <c r="Q18" s="247"/>
      <c r="R18" s="247"/>
      <c r="S18" s="247"/>
      <c r="T18" s="247"/>
      <c r="U18" s="247"/>
      <c r="V18" s="247"/>
    </row>
    <row r="19" spans="1:22">
      <c r="A19" s="253"/>
      <c r="B19" s="255" t="s">
        <v>453</v>
      </c>
      <c r="C19" s="252">
        <v>148563323.00999999</v>
      </c>
      <c r="D19" s="251">
        <v>8751971.6799999997</v>
      </c>
      <c r="E19" s="252">
        <v>88274400.930000007</v>
      </c>
      <c r="F19" s="251">
        <v>140535974.54000002</v>
      </c>
      <c r="G19" s="252">
        <v>1379725.86</v>
      </c>
      <c r="H19" s="251">
        <v>2147722.77</v>
      </c>
      <c r="I19" s="252">
        <v>626602.79500000004</v>
      </c>
      <c r="J19" s="251">
        <v>405929.96499999997</v>
      </c>
      <c r="K19" s="252">
        <v>15402302.789999999</v>
      </c>
      <c r="L19" s="251">
        <v>0</v>
      </c>
      <c r="M19" s="252">
        <v>120132405.15000001</v>
      </c>
      <c r="N19" s="251">
        <v>0</v>
      </c>
      <c r="O19" s="252">
        <v>15622837.630000001</v>
      </c>
      <c r="P19" s="251">
        <v>4042590.41</v>
      </c>
      <c r="Q19" s="247"/>
      <c r="R19" s="247"/>
      <c r="S19" s="247"/>
      <c r="T19" s="247"/>
      <c r="U19" s="247"/>
      <c r="V19" s="247"/>
    </row>
    <row r="20" spans="1:22">
      <c r="A20" s="253"/>
      <c r="B20" s="255" t="s">
        <v>19</v>
      </c>
      <c r="C20" s="252">
        <v>148563323.00999999</v>
      </c>
      <c r="D20" s="251">
        <v>8751971.6799999997</v>
      </c>
      <c r="E20" s="252">
        <v>88274400.930000007</v>
      </c>
      <c r="F20" s="251">
        <v>140449147.83000001</v>
      </c>
      <c r="G20" s="252">
        <v>1379725.86</v>
      </c>
      <c r="H20" s="251">
        <v>2147722.7700000005</v>
      </c>
      <c r="I20" s="252">
        <v>626602.79500000004</v>
      </c>
      <c r="J20" s="251">
        <v>405929.96500000003</v>
      </c>
      <c r="K20" s="252">
        <v>15402302.789999999</v>
      </c>
      <c r="L20" s="251">
        <v>0</v>
      </c>
      <c r="M20" s="252">
        <v>120274649.06</v>
      </c>
      <c r="N20" s="251">
        <v>0</v>
      </c>
      <c r="O20" s="252">
        <v>17497064.150000002</v>
      </c>
      <c r="P20" s="251">
        <v>5050931.54</v>
      </c>
      <c r="Q20" s="247"/>
      <c r="R20" s="247"/>
      <c r="S20" s="247"/>
      <c r="T20" s="247"/>
      <c r="U20" s="247"/>
      <c r="V20" s="247"/>
    </row>
    <row r="21" spans="1:22">
      <c r="A21" s="253"/>
      <c r="B21" s="255" t="s">
        <v>18</v>
      </c>
      <c r="C21" s="252">
        <v>148563323.00999999</v>
      </c>
      <c r="D21" s="251">
        <v>8751971.6799999997</v>
      </c>
      <c r="E21" s="252">
        <v>88263391.920000002</v>
      </c>
      <c r="F21" s="251">
        <v>140471025.06</v>
      </c>
      <c r="G21" s="252">
        <v>1379725.86</v>
      </c>
      <c r="H21" s="251">
        <v>2147722.7700000005</v>
      </c>
      <c r="I21" s="252">
        <v>626602.79500000004</v>
      </c>
      <c r="J21" s="251">
        <v>405929.96500000003</v>
      </c>
      <c r="K21" s="252">
        <v>15402302.789999999</v>
      </c>
      <c r="L21" s="251">
        <v>0</v>
      </c>
      <c r="M21" s="252">
        <v>120561810.12</v>
      </c>
      <c r="N21" s="251">
        <v>0</v>
      </c>
      <c r="O21" s="252">
        <v>20429303.040000007</v>
      </c>
      <c r="P21" s="251">
        <v>6624708.0700000003</v>
      </c>
      <c r="Q21" s="247"/>
      <c r="R21" s="247"/>
      <c r="S21" s="247"/>
      <c r="T21" s="247"/>
      <c r="U21" s="247"/>
      <c r="V21" s="247"/>
    </row>
    <row r="22" spans="1:22">
      <c r="A22" s="253"/>
      <c r="B22" s="255" t="s">
        <v>17</v>
      </c>
      <c r="C22" s="252">
        <v>148563323.00999999</v>
      </c>
      <c r="D22" s="251">
        <v>8751971.6799999997</v>
      </c>
      <c r="E22" s="252">
        <v>88263391.920000002</v>
      </c>
      <c r="F22" s="251">
        <v>140471067.07000002</v>
      </c>
      <c r="G22" s="252">
        <v>1379725.86</v>
      </c>
      <c r="H22" s="251">
        <v>2147722.77</v>
      </c>
      <c r="I22" s="252">
        <v>626602.79500000004</v>
      </c>
      <c r="J22" s="251">
        <v>405929.96500000003</v>
      </c>
      <c r="K22" s="252">
        <v>15402302.789999999</v>
      </c>
      <c r="L22" s="251">
        <v>0</v>
      </c>
      <c r="M22" s="252">
        <v>120674593.63</v>
      </c>
      <c r="N22" s="251">
        <v>0</v>
      </c>
      <c r="O22" s="252">
        <v>21829456.360000003</v>
      </c>
      <c r="P22" s="251">
        <v>8139138.6200000001</v>
      </c>
      <c r="Q22" s="247"/>
      <c r="R22" s="247"/>
      <c r="S22" s="247"/>
      <c r="T22" s="247"/>
      <c r="U22" s="247"/>
      <c r="V22" s="247"/>
    </row>
    <row r="23" spans="1:22">
      <c r="A23" s="256"/>
      <c r="B23" s="257" t="str">
        <f>"December "&amp;B4</f>
        <v>December 2014</v>
      </c>
      <c r="C23" s="267">
        <v>148563323.00999999</v>
      </c>
      <c r="D23" s="266">
        <v>8751971.6799999997</v>
      </c>
      <c r="E23" s="267">
        <v>88263391.920000002</v>
      </c>
      <c r="F23" s="266">
        <v>141135061.09</v>
      </c>
      <c r="G23" s="267">
        <v>1379725.86</v>
      </c>
      <c r="H23" s="266">
        <v>2147722.77</v>
      </c>
      <c r="I23" s="267">
        <v>626602.79500000004</v>
      </c>
      <c r="J23" s="266">
        <v>405929.96499999997</v>
      </c>
      <c r="K23" s="267">
        <v>15402302.789999999</v>
      </c>
      <c r="L23" s="266">
        <v>0</v>
      </c>
      <c r="M23" s="267">
        <v>120774745.52</v>
      </c>
      <c r="N23" s="266">
        <v>0</v>
      </c>
      <c r="O23" s="267">
        <v>22993236.770000003</v>
      </c>
      <c r="P23" s="266">
        <v>11164441.16</v>
      </c>
      <c r="Q23" s="247"/>
      <c r="R23" s="247"/>
      <c r="S23" s="247"/>
      <c r="T23" s="247"/>
      <c r="U23" s="247"/>
      <c r="V23" s="247"/>
    </row>
    <row r="24" spans="1:22">
      <c r="A24" s="258"/>
      <c r="B24" s="259" t="s">
        <v>4</v>
      </c>
      <c r="C24" s="260">
        <f t="shared" ref="C24:P24" si="1">AVERAGE(C11:C23)</f>
        <v>148563323.00999996</v>
      </c>
      <c r="D24" s="260">
        <f t="shared" si="1"/>
        <v>8751971.6800000034</v>
      </c>
      <c r="E24" s="260">
        <f t="shared" si="1"/>
        <v>88271860.389230788</v>
      </c>
      <c r="F24" s="260">
        <f t="shared" si="1"/>
        <v>140315731.35153845</v>
      </c>
      <c r="G24" s="260">
        <f t="shared" si="1"/>
        <v>1379725.8599999996</v>
      </c>
      <c r="H24" s="260">
        <f t="shared" si="1"/>
        <v>2147722.77</v>
      </c>
      <c r="I24" s="260">
        <f t="shared" si="1"/>
        <v>626602.79500000004</v>
      </c>
      <c r="J24" s="260">
        <f t="shared" si="1"/>
        <v>405929.96499999991</v>
      </c>
      <c r="K24" s="260">
        <f t="shared" si="1"/>
        <v>15402302.789999994</v>
      </c>
      <c r="L24" s="260">
        <f t="shared" si="1"/>
        <v>0</v>
      </c>
      <c r="M24" s="261">
        <f t="shared" si="1"/>
        <v>113481349.04846154</v>
      </c>
      <c r="N24" s="260">
        <f t="shared" si="1"/>
        <v>0</v>
      </c>
      <c r="O24" s="260">
        <f t="shared" si="1"/>
        <v>10459716.731538463</v>
      </c>
      <c r="P24" s="260">
        <f t="shared" si="1"/>
        <v>3702498.4790461534</v>
      </c>
      <c r="Q24" s="247"/>
      <c r="R24" s="247"/>
      <c r="S24" s="247"/>
      <c r="T24" s="247"/>
      <c r="U24" s="247"/>
      <c r="V24" s="247"/>
    </row>
    <row r="25" spans="1:22">
      <c r="A25" s="258"/>
      <c r="B25" s="469"/>
      <c r="C25" s="469"/>
      <c r="D25" s="469"/>
      <c r="E25" s="469"/>
      <c r="F25" s="469"/>
      <c r="G25" s="469"/>
      <c r="H25" s="469"/>
      <c r="I25" s="469"/>
      <c r="J25" s="469"/>
      <c r="K25" s="469"/>
      <c r="L25" s="469"/>
      <c r="M25" s="513"/>
      <c r="N25" s="469"/>
      <c r="O25" s="469"/>
      <c r="P25" s="469"/>
      <c r="Q25" s="247"/>
      <c r="R25" s="247"/>
      <c r="S25" s="247"/>
      <c r="T25" s="247"/>
      <c r="U25" s="247"/>
      <c r="V25" s="247"/>
    </row>
    <row r="26" spans="1:22">
      <c r="A26" s="258"/>
      <c r="B26" s="469"/>
      <c r="C26" s="469"/>
      <c r="D26" s="469"/>
      <c r="E26" s="469"/>
      <c r="F26" s="469"/>
      <c r="G26" s="469"/>
      <c r="H26" s="469"/>
      <c r="I26" s="469"/>
      <c r="J26" s="469"/>
      <c r="K26" s="469"/>
      <c r="L26" s="469"/>
      <c r="M26" s="513"/>
      <c r="N26" s="469"/>
      <c r="O26" s="469"/>
      <c r="P26" s="469"/>
      <c r="Q26" s="247"/>
      <c r="R26" s="247"/>
      <c r="S26" s="247"/>
      <c r="T26" s="247"/>
      <c r="U26" s="247"/>
      <c r="V26" s="247"/>
    </row>
    <row r="27" spans="1:22">
      <c r="A27" s="248" t="s">
        <v>460</v>
      </c>
      <c r="B27" s="249" t="str">
        <f t="shared" ref="B27:B39" si="2">+B11</f>
        <v>December 2013</v>
      </c>
      <c r="C27" s="262">
        <f t="shared" ref="C27:P27" si="3">+C11-C44</f>
        <v>18794641.539999992</v>
      </c>
      <c r="D27" s="263">
        <f t="shared" si="3"/>
        <v>1314030.3230000008</v>
      </c>
      <c r="E27" s="262">
        <f t="shared" si="3"/>
        <v>10608918.680000007</v>
      </c>
      <c r="F27" s="263">
        <f t="shared" si="3"/>
        <v>3347518.1599999964</v>
      </c>
      <c r="G27" s="262">
        <f t="shared" si="3"/>
        <v>199337.29000000004</v>
      </c>
      <c r="H27" s="263">
        <f t="shared" si="3"/>
        <v>110386.16500000004</v>
      </c>
      <c r="I27" s="262">
        <f t="shared" si="3"/>
        <v>35160.155000000028</v>
      </c>
      <c r="J27" s="263">
        <f t="shared" si="3"/>
        <v>33922.239999999991</v>
      </c>
      <c r="K27" s="262">
        <f t="shared" si="3"/>
        <v>1115569.1199999992</v>
      </c>
      <c r="L27" s="263">
        <f t="shared" si="3"/>
        <v>0</v>
      </c>
      <c r="M27" s="264">
        <f t="shared" si="3"/>
        <v>307097.98000000417</v>
      </c>
      <c r="N27" s="263">
        <f t="shared" si="3"/>
        <v>0</v>
      </c>
      <c r="O27" s="262">
        <f t="shared" si="3"/>
        <v>0</v>
      </c>
      <c r="P27" s="296">
        <f t="shared" si="3"/>
        <v>0</v>
      </c>
      <c r="Q27" s="247"/>
      <c r="R27" s="247"/>
      <c r="S27" s="247"/>
      <c r="T27" s="247"/>
      <c r="U27" s="247"/>
      <c r="V27" s="247"/>
    </row>
    <row r="28" spans="1:22">
      <c r="A28" s="253" t="s">
        <v>461</v>
      </c>
      <c r="B28" s="254" t="str">
        <f t="shared" si="2"/>
        <v>January 2014</v>
      </c>
      <c r="C28" s="250">
        <f t="shared" ref="C28:P28" si="4">+C12-C45</f>
        <v>19115306.039999992</v>
      </c>
      <c r="D28" s="251">
        <f t="shared" si="4"/>
        <v>1334996.6630000006</v>
      </c>
      <c r="E28" s="250">
        <f t="shared" si="4"/>
        <v>10798252.510000005</v>
      </c>
      <c r="F28" s="251">
        <f t="shared" si="4"/>
        <v>3645294.5099999905</v>
      </c>
      <c r="G28" s="250">
        <f t="shared" si="4"/>
        <v>202516.14999999991</v>
      </c>
      <c r="H28" s="251">
        <f t="shared" si="4"/>
        <v>115361.47499999986</v>
      </c>
      <c r="I28" s="250">
        <f t="shared" si="4"/>
        <v>36683.400000000023</v>
      </c>
      <c r="J28" s="251">
        <f t="shared" si="4"/>
        <v>35397.119999999995</v>
      </c>
      <c r="K28" s="250">
        <f t="shared" si="4"/>
        <v>1153579.33</v>
      </c>
      <c r="L28" s="251">
        <f t="shared" si="4"/>
        <v>0</v>
      </c>
      <c r="M28" s="252">
        <f t="shared" si="4"/>
        <v>347004.98999999464</v>
      </c>
      <c r="N28" s="251">
        <f t="shared" si="4"/>
        <v>0</v>
      </c>
      <c r="O28" s="250">
        <f t="shared" si="4"/>
        <v>0</v>
      </c>
      <c r="P28" s="295">
        <f t="shared" si="4"/>
        <v>0</v>
      </c>
      <c r="Q28" s="247"/>
      <c r="R28" s="247"/>
      <c r="S28" s="247"/>
      <c r="T28" s="247"/>
      <c r="U28" s="247"/>
      <c r="V28" s="247"/>
    </row>
    <row r="29" spans="1:22">
      <c r="A29" s="253"/>
      <c r="B29" s="254" t="str">
        <f t="shared" si="2"/>
        <v>February</v>
      </c>
      <c r="C29" s="250">
        <f t="shared" ref="C29:P29" si="5">+C13-C46</f>
        <v>19435970.539999992</v>
      </c>
      <c r="D29" s="251">
        <f t="shared" si="5"/>
        <v>1355963.0030000005</v>
      </c>
      <c r="E29" s="250">
        <f t="shared" si="5"/>
        <v>10987586.340000004</v>
      </c>
      <c r="F29" s="251">
        <f t="shared" si="5"/>
        <v>3943961.5099999905</v>
      </c>
      <c r="G29" s="250">
        <f t="shared" si="5"/>
        <v>205695.00999999978</v>
      </c>
      <c r="H29" s="251">
        <f t="shared" si="5"/>
        <v>120336.78499999992</v>
      </c>
      <c r="I29" s="250">
        <f t="shared" si="5"/>
        <v>38206.645000000019</v>
      </c>
      <c r="J29" s="251">
        <f t="shared" si="5"/>
        <v>36872</v>
      </c>
      <c r="K29" s="250">
        <f t="shared" si="5"/>
        <v>1191589.5399999991</v>
      </c>
      <c r="L29" s="251">
        <f t="shared" si="5"/>
        <v>0</v>
      </c>
      <c r="M29" s="252">
        <f t="shared" si="5"/>
        <v>387144.40999999642</v>
      </c>
      <c r="N29" s="251">
        <f t="shared" si="5"/>
        <v>0</v>
      </c>
      <c r="O29" s="250">
        <f t="shared" si="5"/>
        <v>0</v>
      </c>
      <c r="P29" s="295">
        <f t="shared" si="5"/>
        <v>0</v>
      </c>
      <c r="Q29" s="247"/>
      <c r="R29" s="247"/>
      <c r="S29" s="247"/>
      <c r="T29" s="247"/>
      <c r="U29" s="247"/>
      <c r="V29" s="247"/>
    </row>
    <row r="30" spans="1:22">
      <c r="A30" s="253"/>
      <c r="B30" s="254" t="str">
        <f t="shared" si="2"/>
        <v xml:space="preserve">March </v>
      </c>
      <c r="C30" s="250">
        <f t="shared" ref="C30:P30" si="6">+C14-C47</f>
        <v>19756635.039999992</v>
      </c>
      <c r="D30" s="251">
        <f t="shared" si="6"/>
        <v>1376929.3430000003</v>
      </c>
      <c r="E30" s="250">
        <f t="shared" si="6"/>
        <v>11176920.140000015</v>
      </c>
      <c r="F30" s="251">
        <f t="shared" si="6"/>
        <v>4242777.3400000036</v>
      </c>
      <c r="G30" s="250">
        <f t="shared" si="6"/>
        <v>208873.86999999988</v>
      </c>
      <c r="H30" s="251">
        <f t="shared" si="6"/>
        <v>125312.09499999997</v>
      </c>
      <c r="I30" s="250">
        <f t="shared" si="6"/>
        <v>39729.890000000014</v>
      </c>
      <c r="J30" s="251">
        <f t="shared" si="6"/>
        <v>38346.880000000005</v>
      </c>
      <c r="K30" s="250">
        <f t="shared" si="6"/>
        <v>1229599.75</v>
      </c>
      <c r="L30" s="251">
        <f t="shared" si="6"/>
        <v>0</v>
      </c>
      <c r="M30" s="252">
        <f t="shared" si="6"/>
        <v>427791.62000000477</v>
      </c>
      <c r="N30" s="251">
        <f t="shared" si="6"/>
        <v>0</v>
      </c>
      <c r="O30" s="250">
        <f t="shared" si="6"/>
        <v>0</v>
      </c>
      <c r="P30" s="295">
        <f t="shared" si="6"/>
        <v>0</v>
      </c>
      <c r="Q30" s="247"/>
      <c r="R30" s="247"/>
      <c r="S30" s="247"/>
      <c r="T30" s="247"/>
      <c r="U30" s="247"/>
      <c r="V30" s="247"/>
    </row>
    <row r="31" spans="1:22">
      <c r="A31" s="253"/>
      <c r="B31" s="254" t="str">
        <f t="shared" si="2"/>
        <v>April</v>
      </c>
      <c r="C31" s="250">
        <f t="shared" ref="C31:P31" si="7">+C15-C48</f>
        <v>20077299.539999992</v>
      </c>
      <c r="D31" s="251">
        <f t="shared" si="7"/>
        <v>1397895.6830000011</v>
      </c>
      <c r="E31" s="250">
        <f t="shared" si="7"/>
        <v>11366253.970000014</v>
      </c>
      <c r="F31" s="251">
        <f t="shared" si="7"/>
        <v>4541737.0699999928</v>
      </c>
      <c r="G31" s="250">
        <f t="shared" si="7"/>
        <v>212052.72999999998</v>
      </c>
      <c r="H31" s="251">
        <f t="shared" si="7"/>
        <v>130287.40500000003</v>
      </c>
      <c r="I31" s="250">
        <f t="shared" si="7"/>
        <v>41253.135000000009</v>
      </c>
      <c r="J31" s="251">
        <f t="shared" si="7"/>
        <v>39821.760000000009</v>
      </c>
      <c r="K31" s="250">
        <f t="shared" si="7"/>
        <v>1267609.959999999</v>
      </c>
      <c r="L31" s="251">
        <f t="shared" si="7"/>
        <v>0</v>
      </c>
      <c r="M31" s="252">
        <f t="shared" si="7"/>
        <v>468734.57000000775</v>
      </c>
      <c r="N31" s="251">
        <f t="shared" si="7"/>
        <v>0</v>
      </c>
      <c r="O31" s="250">
        <f t="shared" si="7"/>
        <v>0</v>
      </c>
      <c r="P31" s="295">
        <f t="shared" si="7"/>
        <v>0</v>
      </c>
      <c r="Q31" s="247"/>
      <c r="R31" s="247"/>
      <c r="S31" s="247"/>
      <c r="T31" s="247"/>
      <c r="U31" s="247"/>
      <c r="V31" s="247"/>
    </row>
    <row r="32" spans="1:22">
      <c r="A32" s="253"/>
      <c r="B32" s="254" t="str">
        <f t="shared" si="2"/>
        <v>May</v>
      </c>
      <c r="C32" s="250">
        <f t="shared" ref="C32:P32" si="8">+C16-C49</f>
        <v>20397964.039999992</v>
      </c>
      <c r="D32" s="251">
        <f t="shared" si="8"/>
        <v>1418862.023000001</v>
      </c>
      <c r="E32" s="250">
        <f t="shared" si="8"/>
        <v>11555587.800000012</v>
      </c>
      <c r="F32" s="251">
        <f t="shared" si="8"/>
        <v>4840707.4300000072</v>
      </c>
      <c r="G32" s="250">
        <f t="shared" si="8"/>
        <v>215231.58999999985</v>
      </c>
      <c r="H32" s="251">
        <f t="shared" si="8"/>
        <v>135262.71499999985</v>
      </c>
      <c r="I32" s="250">
        <f t="shared" si="8"/>
        <v>42776.380000000005</v>
      </c>
      <c r="J32" s="251">
        <f t="shared" si="8"/>
        <v>41296.640000000014</v>
      </c>
      <c r="K32" s="250">
        <f t="shared" si="8"/>
        <v>1305620.17</v>
      </c>
      <c r="L32" s="251">
        <f t="shared" si="8"/>
        <v>0</v>
      </c>
      <c r="M32" s="252">
        <f t="shared" si="8"/>
        <v>509767.03000000119</v>
      </c>
      <c r="N32" s="251">
        <f t="shared" si="8"/>
        <v>0</v>
      </c>
      <c r="O32" s="250">
        <f t="shared" si="8"/>
        <v>0</v>
      </c>
      <c r="P32" s="295">
        <f t="shared" si="8"/>
        <v>0</v>
      </c>
      <c r="Q32" s="247"/>
      <c r="R32" s="247"/>
      <c r="S32" s="247"/>
      <c r="T32" s="247"/>
      <c r="U32" s="247"/>
      <c r="V32" s="247"/>
    </row>
    <row r="33" spans="1:22">
      <c r="A33" s="253"/>
      <c r="B33" s="254" t="str">
        <f t="shared" si="2"/>
        <v>June</v>
      </c>
      <c r="C33" s="250">
        <f t="shared" ref="C33:P33" si="9">+C17-C50</f>
        <v>20718628.539999992</v>
      </c>
      <c r="D33" s="251">
        <f t="shared" si="9"/>
        <v>1439828.3630000008</v>
      </c>
      <c r="E33" s="250">
        <f t="shared" si="9"/>
        <v>11744921.63000001</v>
      </c>
      <c r="F33" s="251">
        <f t="shared" si="9"/>
        <v>5138041.0399999917</v>
      </c>
      <c r="G33" s="250">
        <f t="shared" si="9"/>
        <v>218410.44999999972</v>
      </c>
      <c r="H33" s="251">
        <f t="shared" si="9"/>
        <v>140238.02499999991</v>
      </c>
      <c r="I33" s="250">
        <f t="shared" si="9"/>
        <v>44299.625</v>
      </c>
      <c r="J33" s="251">
        <f t="shared" si="9"/>
        <v>42771.520000000019</v>
      </c>
      <c r="K33" s="250">
        <f t="shared" si="9"/>
        <v>1343630.379999999</v>
      </c>
      <c r="L33" s="251">
        <f t="shared" si="9"/>
        <v>0</v>
      </c>
      <c r="M33" s="252">
        <f t="shared" si="9"/>
        <v>550853.20000000298</v>
      </c>
      <c r="N33" s="251">
        <f t="shared" si="9"/>
        <v>0</v>
      </c>
      <c r="O33" s="250">
        <f t="shared" si="9"/>
        <v>0</v>
      </c>
      <c r="P33" s="295">
        <f t="shared" si="9"/>
        <v>0</v>
      </c>
      <c r="Q33" s="247"/>
      <c r="R33" s="247"/>
      <c r="S33" s="247"/>
      <c r="T33" s="247"/>
      <c r="U33" s="247"/>
      <c r="V33" s="247"/>
    </row>
    <row r="34" spans="1:22">
      <c r="A34" s="253"/>
      <c r="B34" s="254" t="str">
        <f t="shared" si="2"/>
        <v>July</v>
      </c>
      <c r="C34" s="250">
        <f t="shared" ref="C34:P34" si="10">+C18-C51</f>
        <v>21039293.039999992</v>
      </c>
      <c r="D34" s="251">
        <f t="shared" si="10"/>
        <v>1460794.7030000016</v>
      </c>
      <c r="E34" s="250">
        <f t="shared" si="10"/>
        <v>11934255.460000008</v>
      </c>
      <c r="F34" s="251">
        <f t="shared" si="10"/>
        <v>5435765.1699999869</v>
      </c>
      <c r="G34" s="250">
        <f t="shared" si="10"/>
        <v>221589.30999999982</v>
      </c>
      <c r="H34" s="251">
        <f t="shared" si="10"/>
        <v>145213.33499999996</v>
      </c>
      <c r="I34" s="250">
        <f t="shared" si="10"/>
        <v>45822.869999999995</v>
      </c>
      <c r="J34" s="251">
        <f t="shared" si="10"/>
        <v>44246.399999999965</v>
      </c>
      <c r="K34" s="250">
        <f t="shared" si="10"/>
        <v>1381640.5899999999</v>
      </c>
      <c r="L34" s="251">
        <f t="shared" si="10"/>
        <v>0</v>
      </c>
      <c r="M34" s="252">
        <f t="shared" si="10"/>
        <v>592124.3599999845</v>
      </c>
      <c r="N34" s="251">
        <f t="shared" si="10"/>
        <v>0</v>
      </c>
      <c r="O34" s="250">
        <f t="shared" si="10"/>
        <v>0</v>
      </c>
      <c r="P34" s="295">
        <f t="shared" si="10"/>
        <v>0</v>
      </c>
      <c r="Q34" s="247"/>
      <c r="R34" s="247"/>
      <c r="S34" s="247"/>
      <c r="T34" s="247"/>
      <c r="U34" s="247"/>
      <c r="V34" s="247"/>
    </row>
    <row r="35" spans="1:22">
      <c r="A35" s="253"/>
      <c r="B35" s="254" t="str">
        <f t="shared" si="2"/>
        <v xml:space="preserve">August </v>
      </c>
      <c r="C35" s="250">
        <f t="shared" ref="C35:P35" si="11">+C19-C52</f>
        <v>21359957.539999992</v>
      </c>
      <c r="D35" s="251">
        <f t="shared" si="11"/>
        <v>1481761.0430000015</v>
      </c>
      <c r="E35" s="250">
        <f t="shared" si="11"/>
        <v>12123589.460000008</v>
      </c>
      <c r="F35" s="251">
        <f t="shared" si="11"/>
        <v>5733452.3700000048</v>
      </c>
      <c r="G35" s="250">
        <f t="shared" si="11"/>
        <v>224768.16999999969</v>
      </c>
      <c r="H35" s="251">
        <f t="shared" si="11"/>
        <v>150188.64500000002</v>
      </c>
      <c r="I35" s="250">
        <f t="shared" si="11"/>
        <v>47346.114999999991</v>
      </c>
      <c r="J35" s="251">
        <f t="shared" si="11"/>
        <v>45721.27999999997</v>
      </c>
      <c r="K35" s="250">
        <f t="shared" si="11"/>
        <v>1419650.7999999989</v>
      </c>
      <c r="L35" s="251">
        <f t="shared" si="11"/>
        <v>0</v>
      </c>
      <c r="M35" s="252">
        <f t="shared" si="11"/>
        <v>633769.01000000536</v>
      </c>
      <c r="N35" s="251">
        <f t="shared" si="11"/>
        <v>0</v>
      </c>
      <c r="O35" s="250">
        <f t="shared" si="11"/>
        <v>0</v>
      </c>
      <c r="P35" s="295">
        <f t="shared" si="11"/>
        <v>0</v>
      </c>
      <c r="Q35" s="247"/>
      <c r="R35" s="247"/>
      <c r="S35" s="247"/>
      <c r="T35" s="247"/>
      <c r="U35" s="247"/>
      <c r="V35" s="247"/>
    </row>
    <row r="36" spans="1:22">
      <c r="A36" s="253"/>
      <c r="B36" s="254" t="str">
        <f t="shared" si="2"/>
        <v>September</v>
      </c>
      <c r="C36" s="250">
        <f t="shared" ref="C36:P36" si="12">+C20-C53</f>
        <v>21680622.039999992</v>
      </c>
      <c r="D36" s="251">
        <f t="shared" si="12"/>
        <v>1502727.3830000013</v>
      </c>
      <c r="E36" s="250">
        <f t="shared" si="12"/>
        <v>12312929.470000014</v>
      </c>
      <c r="F36" s="251">
        <f t="shared" si="12"/>
        <v>6031452.1299999952</v>
      </c>
      <c r="G36" s="250">
        <f t="shared" si="12"/>
        <v>227947.0299999998</v>
      </c>
      <c r="H36" s="251">
        <f t="shared" si="12"/>
        <v>155163.95500000007</v>
      </c>
      <c r="I36" s="250">
        <f t="shared" si="12"/>
        <v>48869.359999999986</v>
      </c>
      <c r="J36" s="251">
        <f t="shared" si="12"/>
        <v>47196.159999999974</v>
      </c>
      <c r="K36" s="250">
        <f t="shared" si="12"/>
        <v>1457661.0099999998</v>
      </c>
      <c r="L36" s="251">
        <f t="shared" si="12"/>
        <v>0</v>
      </c>
      <c r="M36" s="252">
        <f t="shared" si="12"/>
        <v>924167.84999999404</v>
      </c>
      <c r="N36" s="251">
        <f t="shared" si="12"/>
        <v>0</v>
      </c>
      <c r="O36" s="250">
        <f t="shared" si="12"/>
        <v>0</v>
      </c>
      <c r="P36" s="295">
        <f t="shared" si="12"/>
        <v>0</v>
      </c>
      <c r="Q36" s="247"/>
      <c r="R36" s="247"/>
      <c r="S36" s="247"/>
      <c r="T36" s="247"/>
      <c r="U36" s="247"/>
      <c r="V36" s="247"/>
    </row>
    <row r="37" spans="1:22">
      <c r="A37" s="253"/>
      <c r="B37" s="254" t="str">
        <f t="shared" si="2"/>
        <v>October</v>
      </c>
      <c r="C37" s="250">
        <f t="shared" ref="C37:P37" si="13">+C21-C54</f>
        <v>22001286.539999992</v>
      </c>
      <c r="D37" s="251">
        <f t="shared" si="13"/>
        <v>1523693.7230000012</v>
      </c>
      <c r="E37" s="250">
        <f t="shared" si="13"/>
        <v>12502269.480000004</v>
      </c>
      <c r="F37" s="251">
        <f t="shared" si="13"/>
        <v>6327138.0100000054</v>
      </c>
      <c r="G37" s="250">
        <f t="shared" si="13"/>
        <v>231125.8899999999</v>
      </c>
      <c r="H37" s="251">
        <f t="shared" si="13"/>
        <v>160139.2649999999</v>
      </c>
      <c r="I37" s="250">
        <f t="shared" si="13"/>
        <v>50392.604999999981</v>
      </c>
      <c r="J37" s="251">
        <f t="shared" si="13"/>
        <v>48671.039999999979</v>
      </c>
      <c r="K37" s="250">
        <f t="shared" si="13"/>
        <v>1495671.2199999988</v>
      </c>
      <c r="L37" s="251">
        <f t="shared" si="13"/>
        <v>0</v>
      </c>
      <c r="M37" s="252">
        <f t="shared" si="13"/>
        <v>1214921.75</v>
      </c>
      <c r="N37" s="251">
        <f t="shared" si="13"/>
        <v>0</v>
      </c>
      <c r="O37" s="250">
        <f t="shared" si="13"/>
        <v>0</v>
      </c>
      <c r="P37" s="295">
        <f t="shared" si="13"/>
        <v>0</v>
      </c>
      <c r="Q37" s="247"/>
      <c r="R37" s="247"/>
      <c r="S37" s="247"/>
      <c r="T37" s="247"/>
      <c r="U37" s="247"/>
      <c r="V37" s="247"/>
    </row>
    <row r="38" spans="1:22">
      <c r="A38" s="253"/>
      <c r="B38" s="254" t="str">
        <f t="shared" si="2"/>
        <v>November</v>
      </c>
      <c r="C38" s="250">
        <f t="shared" ref="C38:P38" si="14">+C22-C55</f>
        <v>22321951.039999992</v>
      </c>
      <c r="D38" s="251">
        <f t="shared" si="14"/>
        <v>1544660.063000001</v>
      </c>
      <c r="E38" s="250">
        <f t="shared" si="14"/>
        <v>12691566.820000008</v>
      </c>
      <c r="F38" s="251">
        <f t="shared" si="14"/>
        <v>6622870.1599999964</v>
      </c>
      <c r="G38" s="250">
        <f t="shared" si="14"/>
        <v>234304.74999999977</v>
      </c>
      <c r="H38" s="251">
        <f t="shared" si="14"/>
        <v>165114.57499999995</v>
      </c>
      <c r="I38" s="250">
        <f t="shared" si="14"/>
        <v>51915.849999999977</v>
      </c>
      <c r="J38" s="251">
        <f t="shared" si="14"/>
        <v>50145.919999999984</v>
      </c>
      <c r="K38" s="250">
        <f t="shared" si="14"/>
        <v>1533681.4299999997</v>
      </c>
      <c r="L38" s="251">
        <f t="shared" si="14"/>
        <v>0</v>
      </c>
      <c r="M38" s="252">
        <f t="shared" si="14"/>
        <v>1506378.1899999976</v>
      </c>
      <c r="N38" s="251">
        <f t="shared" si="14"/>
        <v>0</v>
      </c>
      <c r="O38" s="250">
        <f t="shared" si="14"/>
        <v>0</v>
      </c>
      <c r="P38" s="295">
        <f t="shared" si="14"/>
        <v>0</v>
      </c>
      <c r="Q38" s="247"/>
      <c r="R38" s="247"/>
      <c r="S38" s="247"/>
      <c r="T38" s="247"/>
      <c r="U38" s="247"/>
      <c r="V38" s="247"/>
    </row>
    <row r="39" spans="1:22">
      <c r="A39" s="256"/>
      <c r="B39" s="254" t="str">
        <f t="shared" si="2"/>
        <v>December 2014</v>
      </c>
      <c r="C39" s="265">
        <f t="shared" ref="C39:P39" si="15">+C23-C56</f>
        <v>22642615.539999992</v>
      </c>
      <c r="D39" s="266">
        <f t="shared" si="15"/>
        <v>1565626.4030000018</v>
      </c>
      <c r="E39" s="265">
        <f t="shared" si="15"/>
        <v>12880864.160000011</v>
      </c>
      <c r="F39" s="266">
        <f t="shared" si="15"/>
        <v>6918602.400000006</v>
      </c>
      <c r="G39" s="265">
        <f t="shared" si="15"/>
        <v>237483.60999999964</v>
      </c>
      <c r="H39" s="266">
        <f t="shared" si="15"/>
        <v>170089.88500000001</v>
      </c>
      <c r="I39" s="265">
        <f t="shared" si="15"/>
        <v>53439.094999999972</v>
      </c>
      <c r="J39" s="266">
        <f t="shared" si="15"/>
        <v>51620.799999999988</v>
      </c>
      <c r="K39" s="265">
        <f t="shared" si="15"/>
        <v>1571691.4299999997</v>
      </c>
      <c r="L39" s="266">
        <f t="shared" si="15"/>
        <v>0</v>
      </c>
      <c r="M39" s="267">
        <f t="shared" si="15"/>
        <v>1798110.549999997</v>
      </c>
      <c r="N39" s="266">
        <f t="shared" si="15"/>
        <v>0</v>
      </c>
      <c r="O39" s="265">
        <f t="shared" si="15"/>
        <v>0</v>
      </c>
      <c r="P39" s="297">
        <f t="shared" si="15"/>
        <v>0</v>
      </c>
      <c r="Q39" s="247"/>
      <c r="R39" s="247"/>
      <c r="S39" s="247"/>
      <c r="T39" s="247"/>
      <c r="U39" s="247"/>
      <c r="V39" s="247"/>
    </row>
    <row r="40" spans="1:22">
      <c r="A40" s="258"/>
      <c r="B40" s="268" t="s">
        <v>4</v>
      </c>
      <c r="C40" s="260">
        <f t="shared" ref="C40:P40" si="16">AVERAGE(C27:C39)</f>
        <v>20718628.539999988</v>
      </c>
      <c r="D40" s="260">
        <f t="shared" si="16"/>
        <v>1439828.3630000008</v>
      </c>
      <c r="E40" s="260">
        <f t="shared" si="16"/>
        <v>11744916.609230779</v>
      </c>
      <c r="F40" s="260">
        <f t="shared" si="16"/>
        <v>5136101.3307692278</v>
      </c>
      <c r="G40" s="260">
        <f t="shared" si="16"/>
        <v>218410.44999999984</v>
      </c>
      <c r="H40" s="260">
        <f t="shared" si="16"/>
        <v>140238.02499999997</v>
      </c>
      <c r="I40" s="260">
        <f t="shared" si="16"/>
        <v>44299.625</v>
      </c>
      <c r="J40" s="260">
        <f t="shared" si="16"/>
        <v>42771.51999999999</v>
      </c>
      <c r="K40" s="260">
        <f t="shared" si="16"/>
        <v>1343630.3638461533</v>
      </c>
      <c r="L40" s="260">
        <f t="shared" si="16"/>
        <v>0</v>
      </c>
      <c r="M40" s="261">
        <f t="shared" si="16"/>
        <v>743681.96230769157</v>
      </c>
      <c r="N40" s="260">
        <f t="shared" si="16"/>
        <v>0</v>
      </c>
      <c r="O40" s="260">
        <f t="shared" si="16"/>
        <v>0</v>
      </c>
      <c r="P40" s="260">
        <f t="shared" si="16"/>
        <v>0</v>
      </c>
      <c r="Q40" s="247"/>
      <c r="R40" s="247"/>
      <c r="S40" s="247"/>
      <c r="T40" s="247"/>
      <c r="U40" s="247"/>
      <c r="V40" s="247"/>
    </row>
    <row r="41" spans="1:22" s="294" customFormat="1">
      <c r="A41" s="269"/>
      <c r="B41" s="470"/>
      <c r="C41" s="471"/>
      <c r="D41" s="471"/>
      <c r="E41" s="471"/>
      <c r="F41" s="471"/>
      <c r="G41" s="471"/>
      <c r="H41" s="472"/>
      <c r="I41" s="472"/>
      <c r="J41" s="472"/>
      <c r="K41" s="471"/>
      <c r="L41" s="510"/>
      <c r="M41" s="510"/>
      <c r="N41" s="472"/>
      <c r="O41" s="471"/>
      <c r="P41" s="472"/>
      <c r="Q41" s="247"/>
      <c r="R41" s="247"/>
      <c r="S41" s="247"/>
      <c r="T41" s="247"/>
      <c r="U41" s="247"/>
      <c r="V41" s="247"/>
    </row>
    <row r="42" spans="1:22">
      <c r="A42" s="258"/>
      <c r="B42" s="473"/>
      <c r="C42" s="474"/>
      <c r="D42" s="474"/>
      <c r="E42" s="474"/>
      <c r="F42" s="474"/>
      <c r="G42" s="474"/>
      <c r="H42" s="474"/>
      <c r="I42" s="474"/>
      <c r="J42" s="474"/>
      <c r="K42" s="474"/>
      <c r="L42" s="510"/>
      <c r="M42" s="510"/>
      <c r="N42" s="474"/>
      <c r="O42" s="474"/>
      <c r="P42" s="474"/>
      <c r="Q42" s="247"/>
      <c r="R42" s="247"/>
      <c r="S42" s="247"/>
      <c r="T42" s="247"/>
      <c r="U42" s="247"/>
      <c r="V42" s="247"/>
    </row>
    <row r="43" spans="1:22">
      <c r="A43" s="276"/>
      <c r="B43" s="475"/>
      <c r="C43" s="476"/>
      <c r="D43" s="477"/>
      <c r="E43" s="477"/>
      <c r="F43" s="477"/>
      <c r="G43" s="477"/>
      <c r="H43" s="477"/>
      <c r="I43" s="477"/>
      <c r="J43" s="477"/>
      <c r="K43" s="477"/>
      <c r="L43" s="514"/>
      <c r="M43" s="514"/>
      <c r="N43" s="477"/>
      <c r="O43" s="477"/>
      <c r="P43" s="477"/>
      <c r="Q43" s="247"/>
      <c r="R43" s="247"/>
      <c r="S43" s="247"/>
      <c r="T43" s="247"/>
      <c r="U43" s="247"/>
      <c r="V43" s="247"/>
    </row>
    <row r="44" spans="1:22">
      <c r="A44" s="253" t="s">
        <v>462</v>
      </c>
      <c r="B44" s="281" t="str">
        <f t="shared" ref="B44:B56" si="17">+B11</f>
        <v>December 2013</v>
      </c>
      <c r="C44" s="264">
        <v>129768681.46999997</v>
      </c>
      <c r="D44" s="263">
        <v>7437941.3570000008</v>
      </c>
      <c r="E44" s="264">
        <v>77665482.25</v>
      </c>
      <c r="F44" s="263">
        <v>136251741.84</v>
      </c>
      <c r="G44" s="264">
        <v>1180388.5699999998</v>
      </c>
      <c r="H44" s="263">
        <v>2037336.605</v>
      </c>
      <c r="I44" s="264">
        <v>591442.64</v>
      </c>
      <c r="J44" s="263">
        <v>372007.72500000003</v>
      </c>
      <c r="K44" s="264">
        <v>14286733.67</v>
      </c>
      <c r="L44" s="263">
        <v>0</v>
      </c>
      <c r="M44" s="264">
        <v>105482845.38000001</v>
      </c>
      <c r="N44" s="263">
        <v>0</v>
      </c>
      <c r="O44" s="264">
        <v>2585250.6300000004</v>
      </c>
      <c r="P44" s="263">
        <v>0</v>
      </c>
      <c r="Q44" s="247"/>
      <c r="R44" s="247"/>
      <c r="S44" s="247"/>
      <c r="T44" s="247"/>
      <c r="U44" s="247"/>
      <c r="V44" s="247"/>
    </row>
    <row r="45" spans="1:22">
      <c r="A45" s="253" t="s">
        <v>463</v>
      </c>
      <c r="B45" s="281" t="str">
        <f t="shared" si="17"/>
        <v>January 2014</v>
      </c>
      <c r="C45" s="252">
        <v>129448016.96999997</v>
      </c>
      <c r="D45" s="251">
        <v>7416975.0170000009</v>
      </c>
      <c r="E45" s="252">
        <v>77476148.420000002</v>
      </c>
      <c r="F45" s="251">
        <v>136369800.22999999</v>
      </c>
      <c r="G45" s="252">
        <v>1177209.71</v>
      </c>
      <c r="H45" s="251">
        <v>2032361.2950000002</v>
      </c>
      <c r="I45" s="252">
        <v>589919.39500000002</v>
      </c>
      <c r="J45" s="251">
        <v>370532.84500000003</v>
      </c>
      <c r="K45" s="252">
        <v>14248723.459999999</v>
      </c>
      <c r="L45" s="251">
        <v>0</v>
      </c>
      <c r="M45" s="252">
        <v>105600176.14</v>
      </c>
      <c r="N45" s="251">
        <v>0</v>
      </c>
      <c r="O45" s="252">
        <v>2786646.13</v>
      </c>
      <c r="P45" s="251">
        <v>654569.93999999994</v>
      </c>
      <c r="Q45" s="247"/>
      <c r="R45" s="247"/>
      <c r="S45" s="247"/>
      <c r="T45" s="247"/>
      <c r="U45" s="247"/>
      <c r="V45" s="247"/>
    </row>
    <row r="46" spans="1:22">
      <c r="A46" s="253"/>
      <c r="B46" s="281" t="str">
        <f t="shared" si="17"/>
        <v>February</v>
      </c>
      <c r="C46" s="252">
        <v>129127352.46999997</v>
      </c>
      <c r="D46" s="251">
        <v>7396008.6770000011</v>
      </c>
      <c r="E46" s="252">
        <v>77286814.590000004</v>
      </c>
      <c r="F46" s="251">
        <v>136141407.07000002</v>
      </c>
      <c r="G46" s="252">
        <v>1174030.8500000001</v>
      </c>
      <c r="H46" s="251">
        <v>2027385.9850000001</v>
      </c>
      <c r="I46" s="252">
        <v>588396.15</v>
      </c>
      <c r="J46" s="251">
        <v>369057.96500000003</v>
      </c>
      <c r="K46" s="252">
        <v>14210713.25</v>
      </c>
      <c r="L46" s="251">
        <v>0</v>
      </c>
      <c r="M46" s="252">
        <v>105743829.91000001</v>
      </c>
      <c r="N46" s="251">
        <v>0</v>
      </c>
      <c r="O46" s="252">
        <v>3013824.4999999995</v>
      </c>
      <c r="P46" s="251">
        <v>972375.23</v>
      </c>
      <c r="Q46" s="247"/>
      <c r="R46" s="247"/>
      <c r="S46" s="247"/>
      <c r="T46" s="247"/>
      <c r="U46" s="247"/>
      <c r="V46" s="247"/>
    </row>
    <row r="47" spans="1:22">
      <c r="A47" s="253"/>
      <c r="B47" s="281" t="str">
        <f t="shared" si="17"/>
        <v xml:space="preserve">March </v>
      </c>
      <c r="C47" s="252">
        <v>128806687.97</v>
      </c>
      <c r="D47" s="251">
        <v>7375042.3369999994</v>
      </c>
      <c r="E47" s="252">
        <v>77097480.789999992</v>
      </c>
      <c r="F47" s="251">
        <v>135909746.90000001</v>
      </c>
      <c r="G47" s="252">
        <v>1170851.99</v>
      </c>
      <c r="H47" s="251">
        <v>2022410.675</v>
      </c>
      <c r="I47" s="252">
        <v>586872.90500000003</v>
      </c>
      <c r="J47" s="251">
        <v>367583.08499999996</v>
      </c>
      <c r="K47" s="252">
        <v>14172703.039999999</v>
      </c>
      <c r="L47" s="251">
        <v>0</v>
      </c>
      <c r="M47" s="252">
        <v>106145745.38</v>
      </c>
      <c r="N47" s="251">
        <v>0</v>
      </c>
      <c r="O47" s="252">
        <v>3287076.25</v>
      </c>
      <c r="P47" s="251">
        <v>1319344.8400000001</v>
      </c>
      <c r="Q47" s="247"/>
      <c r="R47" s="247"/>
      <c r="S47" s="247"/>
      <c r="T47" s="247"/>
      <c r="U47" s="247"/>
      <c r="V47" s="247"/>
    </row>
    <row r="48" spans="1:22">
      <c r="A48" s="253"/>
      <c r="B48" s="281" t="str">
        <f t="shared" si="17"/>
        <v>April</v>
      </c>
      <c r="C48" s="252">
        <v>128486023.46999997</v>
      </c>
      <c r="D48" s="251">
        <v>7354075.9970000004</v>
      </c>
      <c r="E48" s="252">
        <v>76908146.959999993</v>
      </c>
      <c r="F48" s="251">
        <v>135656363.22</v>
      </c>
      <c r="G48" s="252">
        <v>1167673.1299999999</v>
      </c>
      <c r="H48" s="251">
        <v>2017435.365</v>
      </c>
      <c r="I48" s="252">
        <v>585349.66</v>
      </c>
      <c r="J48" s="251">
        <v>366108.20500000002</v>
      </c>
      <c r="K48" s="252">
        <v>14134692.83</v>
      </c>
      <c r="L48" s="251">
        <v>0</v>
      </c>
      <c r="M48" s="252">
        <v>109322817.84</v>
      </c>
      <c r="N48" s="251">
        <v>0</v>
      </c>
      <c r="O48" s="252">
        <v>3809454.7199999997</v>
      </c>
      <c r="P48" s="251">
        <v>1738727.32</v>
      </c>
      <c r="Q48" s="247"/>
      <c r="R48" s="247"/>
      <c r="S48" s="247"/>
      <c r="T48" s="247"/>
      <c r="U48" s="247"/>
      <c r="V48" s="247"/>
    </row>
    <row r="49" spans="1:22">
      <c r="A49" s="253"/>
      <c r="B49" s="281" t="str">
        <f t="shared" si="17"/>
        <v>May</v>
      </c>
      <c r="C49" s="252">
        <v>128165358.96999997</v>
      </c>
      <c r="D49" s="251">
        <v>7333109.6570000006</v>
      </c>
      <c r="E49" s="252">
        <v>76718813.129999995</v>
      </c>
      <c r="F49" s="251">
        <v>135368814.19999999</v>
      </c>
      <c r="G49" s="252">
        <v>1164494.27</v>
      </c>
      <c r="H49" s="251">
        <v>2012460.0550000002</v>
      </c>
      <c r="I49" s="252">
        <v>583826.41500000004</v>
      </c>
      <c r="J49" s="251">
        <v>364633.32500000001</v>
      </c>
      <c r="K49" s="252">
        <v>14096682.619999999</v>
      </c>
      <c r="L49" s="251">
        <v>0</v>
      </c>
      <c r="M49" s="252">
        <v>109921855.53999999</v>
      </c>
      <c r="N49" s="251">
        <v>0</v>
      </c>
      <c r="O49" s="252">
        <v>4804304.870000002</v>
      </c>
      <c r="P49" s="251">
        <v>2324500.1800000002</v>
      </c>
      <c r="Q49" s="247"/>
      <c r="R49" s="247"/>
      <c r="S49" s="247"/>
      <c r="T49" s="247"/>
      <c r="U49" s="247"/>
      <c r="V49" s="247"/>
    </row>
    <row r="50" spans="1:22">
      <c r="A50" s="253"/>
      <c r="B50" s="281" t="str">
        <f t="shared" si="17"/>
        <v>June</v>
      </c>
      <c r="C50" s="252">
        <v>127844694.46999997</v>
      </c>
      <c r="D50" s="251">
        <v>7312143.3170000007</v>
      </c>
      <c r="E50" s="252">
        <v>76529479.299999997</v>
      </c>
      <c r="F50" s="251">
        <v>135256152.78000003</v>
      </c>
      <c r="G50" s="252">
        <v>1161315.4100000001</v>
      </c>
      <c r="H50" s="251">
        <v>2007484.7450000001</v>
      </c>
      <c r="I50" s="252">
        <v>582303.17000000004</v>
      </c>
      <c r="J50" s="251">
        <v>363158.44500000001</v>
      </c>
      <c r="K50" s="252">
        <v>14058672.41</v>
      </c>
      <c r="L50" s="251">
        <v>0</v>
      </c>
      <c r="M50" s="252">
        <v>113315426.63000001</v>
      </c>
      <c r="N50" s="251">
        <v>0</v>
      </c>
      <c r="O50" s="252">
        <v>7189866.4199999999</v>
      </c>
      <c r="P50" s="251">
        <v>2821662.16</v>
      </c>
      <c r="Q50" s="247"/>
      <c r="R50" s="247"/>
      <c r="S50" s="247"/>
      <c r="T50" s="247"/>
      <c r="U50" s="247"/>
      <c r="V50" s="247"/>
    </row>
    <row r="51" spans="1:22">
      <c r="A51" s="253"/>
      <c r="B51" s="281" t="str">
        <f t="shared" si="17"/>
        <v>July</v>
      </c>
      <c r="C51" s="252">
        <v>127524029.96999997</v>
      </c>
      <c r="D51" s="251">
        <v>7291176.977</v>
      </c>
      <c r="E51" s="252">
        <v>76340145.469999999</v>
      </c>
      <c r="F51" s="251">
        <v>134952403.51000002</v>
      </c>
      <c r="G51" s="252">
        <v>1158136.55</v>
      </c>
      <c r="H51" s="251">
        <v>2002509.4350000001</v>
      </c>
      <c r="I51" s="252">
        <v>580779.92500000005</v>
      </c>
      <c r="J51" s="251">
        <v>361683.56500000006</v>
      </c>
      <c r="K51" s="252">
        <v>14020662.199999999</v>
      </c>
      <c r="L51" s="251">
        <v>0</v>
      </c>
      <c r="M51" s="252">
        <v>113716119.17000002</v>
      </c>
      <c r="N51" s="251">
        <v>0</v>
      </c>
      <c r="O51" s="252">
        <v>10127996.040000003</v>
      </c>
      <c r="P51" s="251">
        <v>3279490.7576000006</v>
      </c>
      <c r="Q51" s="247"/>
      <c r="R51" s="247"/>
      <c r="S51" s="247"/>
      <c r="T51" s="247"/>
      <c r="U51" s="247"/>
      <c r="V51" s="247"/>
    </row>
    <row r="52" spans="1:22">
      <c r="A52" s="253"/>
      <c r="B52" s="281" t="str">
        <f t="shared" si="17"/>
        <v xml:space="preserve">August </v>
      </c>
      <c r="C52" s="252">
        <v>127203365.47</v>
      </c>
      <c r="D52" s="251">
        <v>7270210.6369999982</v>
      </c>
      <c r="E52" s="252">
        <v>76150811.469999999</v>
      </c>
      <c r="F52" s="251">
        <v>134802522.17000002</v>
      </c>
      <c r="G52" s="252">
        <v>1154957.6900000004</v>
      </c>
      <c r="H52" s="251">
        <v>1997534.125</v>
      </c>
      <c r="I52" s="252">
        <v>579256.68000000005</v>
      </c>
      <c r="J52" s="251">
        <v>360208.685</v>
      </c>
      <c r="K52" s="252">
        <v>13982651.99</v>
      </c>
      <c r="L52" s="251">
        <v>0</v>
      </c>
      <c r="M52" s="252">
        <v>119498636.14</v>
      </c>
      <c r="N52" s="251">
        <v>0</v>
      </c>
      <c r="O52" s="252">
        <v>15622837.630000001</v>
      </c>
      <c r="P52" s="251">
        <v>4042590.41</v>
      </c>
      <c r="Q52" s="247"/>
      <c r="R52" s="247"/>
      <c r="S52" s="247"/>
      <c r="T52" s="247"/>
      <c r="U52" s="247"/>
      <c r="V52" s="247"/>
    </row>
    <row r="53" spans="1:22">
      <c r="A53" s="253"/>
      <c r="B53" s="281" t="str">
        <f t="shared" si="17"/>
        <v>September</v>
      </c>
      <c r="C53" s="252">
        <v>126882700.97</v>
      </c>
      <c r="D53" s="251">
        <v>7249244.2969999984</v>
      </c>
      <c r="E53" s="252">
        <v>75961471.459999993</v>
      </c>
      <c r="F53" s="251">
        <v>134417695.70000002</v>
      </c>
      <c r="G53" s="252">
        <v>1151778.8300000003</v>
      </c>
      <c r="H53" s="251">
        <v>1992558.8150000004</v>
      </c>
      <c r="I53" s="252">
        <v>577733.43500000006</v>
      </c>
      <c r="J53" s="251">
        <v>358733.80500000005</v>
      </c>
      <c r="K53" s="252">
        <v>13944641.779999999</v>
      </c>
      <c r="L53" s="251">
        <v>0</v>
      </c>
      <c r="M53" s="252">
        <v>119350481.21000001</v>
      </c>
      <c r="N53" s="251">
        <v>0</v>
      </c>
      <c r="O53" s="252">
        <v>17497064.150000002</v>
      </c>
      <c r="P53" s="251">
        <v>5050931.54</v>
      </c>
      <c r="Q53" s="247"/>
      <c r="R53" s="247"/>
      <c r="S53" s="247"/>
      <c r="T53" s="247"/>
      <c r="U53" s="247"/>
      <c r="V53" s="247"/>
    </row>
    <row r="54" spans="1:22">
      <c r="A54" s="253"/>
      <c r="B54" s="281" t="str">
        <f t="shared" si="17"/>
        <v>October</v>
      </c>
      <c r="C54" s="252">
        <v>126562036.47</v>
      </c>
      <c r="D54" s="251">
        <v>7228277.9569999985</v>
      </c>
      <c r="E54" s="252">
        <v>75761122.439999998</v>
      </c>
      <c r="F54" s="251">
        <v>134143887.05</v>
      </c>
      <c r="G54" s="252">
        <v>1148599.9700000002</v>
      </c>
      <c r="H54" s="251">
        <v>1987583.5050000006</v>
      </c>
      <c r="I54" s="252">
        <v>576210.19000000006</v>
      </c>
      <c r="J54" s="251">
        <v>357258.92500000005</v>
      </c>
      <c r="K54" s="252">
        <v>13906631.57</v>
      </c>
      <c r="L54" s="251">
        <v>0</v>
      </c>
      <c r="M54" s="252">
        <v>119346888.37</v>
      </c>
      <c r="N54" s="251">
        <v>0</v>
      </c>
      <c r="O54" s="252">
        <v>20429303.040000007</v>
      </c>
      <c r="P54" s="251">
        <v>6624708.0700000003</v>
      </c>
      <c r="Q54" s="247"/>
      <c r="R54" s="247"/>
      <c r="S54" s="247"/>
      <c r="T54" s="247"/>
      <c r="U54" s="247"/>
      <c r="V54" s="247"/>
    </row>
    <row r="55" spans="1:22">
      <c r="A55" s="253"/>
      <c r="B55" s="281" t="str">
        <f t="shared" si="17"/>
        <v>November</v>
      </c>
      <c r="C55" s="252">
        <v>126241371.97</v>
      </c>
      <c r="D55" s="251">
        <v>7207311.6169999987</v>
      </c>
      <c r="E55" s="252">
        <v>75571825.099999994</v>
      </c>
      <c r="F55" s="251">
        <v>133848196.91000003</v>
      </c>
      <c r="G55" s="252">
        <v>1145421.1100000003</v>
      </c>
      <c r="H55" s="251">
        <v>1982608.1950000001</v>
      </c>
      <c r="I55" s="252">
        <v>574686.94500000007</v>
      </c>
      <c r="J55" s="251">
        <v>355784.04500000004</v>
      </c>
      <c r="K55" s="252">
        <v>13868621.359999999</v>
      </c>
      <c r="L55" s="251">
        <v>0</v>
      </c>
      <c r="M55" s="252">
        <v>119168215.44</v>
      </c>
      <c r="N55" s="251">
        <v>0</v>
      </c>
      <c r="O55" s="252">
        <v>21829456.360000003</v>
      </c>
      <c r="P55" s="251">
        <v>8139138.6200000001</v>
      </c>
      <c r="Q55" s="247"/>
      <c r="R55" s="247"/>
      <c r="S55" s="247"/>
      <c r="T55" s="247"/>
      <c r="U55" s="247"/>
      <c r="V55" s="247"/>
    </row>
    <row r="56" spans="1:22">
      <c r="A56" s="253"/>
      <c r="B56" s="281" t="str">
        <f t="shared" si="17"/>
        <v>December 2014</v>
      </c>
      <c r="C56" s="267">
        <v>125920707.47</v>
      </c>
      <c r="D56" s="266">
        <v>7186345.2769999979</v>
      </c>
      <c r="E56" s="267">
        <v>75382527.75999999</v>
      </c>
      <c r="F56" s="266">
        <v>134216458.69</v>
      </c>
      <c r="G56" s="267">
        <v>1142242.2500000005</v>
      </c>
      <c r="H56" s="266">
        <v>1977632.885</v>
      </c>
      <c r="I56" s="267">
        <v>573163.70000000007</v>
      </c>
      <c r="J56" s="266">
        <v>354309.16499999998</v>
      </c>
      <c r="K56" s="267">
        <v>13830611.359999999</v>
      </c>
      <c r="L56" s="266">
        <v>0</v>
      </c>
      <c r="M56" s="267">
        <v>118976634.97</v>
      </c>
      <c r="N56" s="266">
        <v>0</v>
      </c>
      <c r="O56" s="267">
        <v>22993236.770000003</v>
      </c>
      <c r="P56" s="266">
        <v>11164441.16</v>
      </c>
      <c r="Q56" s="247"/>
      <c r="R56" s="247"/>
      <c r="S56" s="247"/>
      <c r="T56" s="247"/>
      <c r="U56" s="247"/>
      <c r="V56" s="247"/>
    </row>
    <row r="57" spans="1:22">
      <c r="A57" s="282"/>
      <c r="B57" s="268" t="s">
        <v>4</v>
      </c>
      <c r="C57" s="260">
        <f t="shared" ref="C57:P57" si="18">AVERAGE(C44:C56)</f>
        <v>127844694.47000001</v>
      </c>
      <c r="D57" s="260">
        <f t="shared" si="18"/>
        <v>7312143.3170000007</v>
      </c>
      <c r="E57" s="260">
        <f t="shared" si="18"/>
        <v>76526943.780000001</v>
      </c>
      <c r="F57" s="260">
        <f t="shared" si="18"/>
        <v>135179630.02076924</v>
      </c>
      <c r="G57" s="260">
        <f t="shared" si="18"/>
        <v>1161315.4100000001</v>
      </c>
      <c r="H57" s="260">
        <f t="shared" si="18"/>
        <v>2007484.7450000006</v>
      </c>
      <c r="I57" s="260">
        <f t="shared" si="18"/>
        <v>582303.17000000004</v>
      </c>
      <c r="J57" s="260">
        <f t="shared" si="18"/>
        <v>363158.44500000001</v>
      </c>
      <c r="K57" s="260">
        <f t="shared" si="18"/>
        <v>14058672.426153848</v>
      </c>
      <c r="L57" s="260">
        <f t="shared" si="18"/>
        <v>0</v>
      </c>
      <c r="M57" s="261">
        <f t="shared" si="18"/>
        <v>112737667.08615385</v>
      </c>
      <c r="N57" s="260">
        <f t="shared" si="18"/>
        <v>0</v>
      </c>
      <c r="O57" s="260">
        <f t="shared" si="18"/>
        <v>10459716.731538463</v>
      </c>
      <c r="P57" s="260">
        <f t="shared" si="18"/>
        <v>3702498.4790461534</v>
      </c>
      <c r="Q57" s="247"/>
      <c r="R57" s="247"/>
      <c r="S57" s="247"/>
      <c r="T57" s="247"/>
      <c r="U57" s="247"/>
      <c r="V57" s="247"/>
    </row>
    <row r="58" spans="1:22">
      <c r="A58" s="258"/>
      <c r="B58" s="273"/>
      <c r="C58" s="283"/>
      <c r="D58" s="283"/>
      <c r="E58" s="283"/>
      <c r="F58" s="283"/>
      <c r="G58" s="283"/>
      <c r="H58" s="284"/>
      <c r="I58" s="284"/>
      <c r="J58" s="472"/>
      <c r="K58" s="471"/>
      <c r="L58" s="510"/>
      <c r="M58" s="510"/>
      <c r="N58" s="472"/>
      <c r="O58" s="471"/>
      <c r="P58" s="284"/>
      <c r="Q58" s="247"/>
      <c r="R58" s="247"/>
      <c r="S58" s="247"/>
      <c r="T58" s="247"/>
      <c r="U58" s="247"/>
      <c r="V58" s="247"/>
    </row>
    <row r="59" spans="1:22">
      <c r="A59" s="258"/>
      <c r="B59" s="515"/>
      <c r="C59" s="285"/>
      <c r="D59" s="285"/>
      <c r="E59" s="285"/>
      <c r="F59" s="285"/>
      <c r="G59" s="285"/>
      <c r="H59" s="285"/>
      <c r="I59" s="285"/>
      <c r="J59" s="478"/>
      <c r="K59" s="478"/>
      <c r="L59" s="514"/>
      <c r="M59" s="514"/>
      <c r="N59" s="478"/>
      <c r="O59" s="478"/>
      <c r="P59" s="285"/>
      <c r="Q59" s="247"/>
      <c r="R59" s="247"/>
      <c r="S59" s="247"/>
      <c r="T59" s="247"/>
      <c r="U59" s="247"/>
      <c r="V59" s="247"/>
    </row>
    <row r="60" spans="1:22">
      <c r="A60" s="287" t="s">
        <v>3</v>
      </c>
      <c r="B60" s="288" t="s">
        <v>2</v>
      </c>
      <c r="C60" s="262">
        <v>3847974</v>
      </c>
      <c r="D60" s="263">
        <v>251596.08</v>
      </c>
      <c r="E60" s="262">
        <v>2271945.48</v>
      </c>
      <c r="F60" s="263">
        <v>3571084.2399999993</v>
      </c>
      <c r="G60" s="262">
        <v>76292.639999999999</v>
      </c>
      <c r="H60" s="263">
        <v>119407.43999999999</v>
      </c>
      <c r="I60" s="262">
        <v>36557.87999999999</v>
      </c>
      <c r="J60" s="263">
        <v>35397.12000000001</v>
      </c>
      <c r="K60" s="262">
        <v>456122.31000000006</v>
      </c>
      <c r="L60" s="263">
        <v>0</v>
      </c>
      <c r="M60" s="264">
        <v>1491012.5700000003</v>
      </c>
      <c r="N60" s="263">
        <v>0</v>
      </c>
      <c r="O60" s="262">
        <v>0</v>
      </c>
      <c r="P60" s="296">
        <v>0</v>
      </c>
      <c r="Q60" s="247"/>
      <c r="R60" s="247"/>
      <c r="S60" s="247"/>
      <c r="T60" s="247"/>
      <c r="U60" s="247"/>
      <c r="V60" s="247"/>
    </row>
    <row r="61" spans="1:22">
      <c r="A61" s="256" t="s">
        <v>464</v>
      </c>
      <c r="B61" s="289" t="s">
        <v>1</v>
      </c>
      <c r="C61" s="250">
        <v>0</v>
      </c>
      <c r="D61" s="251">
        <v>0</v>
      </c>
      <c r="E61" s="250">
        <v>0</v>
      </c>
      <c r="F61" s="251">
        <v>0</v>
      </c>
      <c r="G61" s="250">
        <v>0</v>
      </c>
      <c r="H61" s="251">
        <v>0</v>
      </c>
      <c r="I61" s="250">
        <v>0</v>
      </c>
      <c r="J61" s="251">
        <v>0</v>
      </c>
      <c r="K61" s="250">
        <v>0</v>
      </c>
      <c r="L61" s="251">
        <v>0</v>
      </c>
      <c r="M61" s="252">
        <v>0</v>
      </c>
      <c r="N61" s="251">
        <v>0</v>
      </c>
      <c r="O61" s="250">
        <v>0</v>
      </c>
      <c r="P61" s="295">
        <v>0</v>
      </c>
      <c r="Q61" s="247"/>
      <c r="R61" s="247"/>
      <c r="S61" s="247"/>
      <c r="T61" s="247"/>
      <c r="U61" s="247"/>
      <c r="V61" s="247"/>
    </row>
    <row r="62" spans="1:22">
      <c r="A62" s="243"/>
      <c r="B62" s="290" t="s">
        <v>465</v>
      </c>
      <c r="C62" s="291">
        <f t="shared" ref="C62:P62" si="19">SUM(C60:C61)</f>
        <v>3847974</v>
      </c>
      <c r="D62" s="291">
        <f t="shared" si="19"/>
        <v>251596.08</v>
      </c>
      <c r="E62" s="291">
        <f t="shared" si="19"/>
        <v>2271945.48</v>
      </c>
      <c r="F62" s="291">
        <f t="shared" si="19"/>
        <v>3571084.2399999993</v>
      </c>
      <c r="G62" s="291">
        <f t="shared" si="19"/>
        <v>76292.639999999999</v>
      </c>
      <c r="H62" s="291">
        <f t="shared" si="19"/>
        <v>119407.43999999999</v>
      </c>
      <c r="I62" s="291">
        <f t="shared" si="19"/>
        <v>36557.87999999999</v>
      </c>
      <c r="J62" s="291">
        <f t="shared" si="19"/>
        <v>35397.12000000001</v>
      </c>
      <c r="K62" s="291">
        <f t="shared" si="19"/>
        <v>456122.31000000006</v>
      </c>
      <c r="L62" s="291">
        <f t="shared" si="19"/>
        <v>0</v>
      </c>
      <c r="M62" s="292">
        <f t="shared" si="19"/>
        <v>1491012.5700000003</v>
      </c>
      <c r="N62" s="291">
        <f t="shared" si="19"/>
        <v>0</v>
      </c>
      <c r="O62" s="291">
        <f t="shared" si="19"/>
        <v>0</v>
      </c>
      <c r="P62" s="292">
        <f t="shared" si="19"/>
        <v>0</v>
      </c>
      <c r="Q62" s="247"/>
      <c r="R62" s="247"/>
      <c r="S62" s="247"/>
      <c r="T62" s="247"/>
      <c r="U62" s="247"/>
      <c r="V62" s="247"/>
    </row>
    <row r="63" spans="1:22">
      <c r="A63" s="258"/>
      <c r="B63" s="273"/>
      <c r="C63" s="283"/>
      <c r="D63" s="283"/>
      <c r="E63" s="283"/>
      <c r="F63" s="283"/>
      <c r="G63" s="283"/>
      <c r="H63" s="284"/>
      <c r="I63" s="284"/>
      <c r="J63" s="284"/>
      <c r="K63" s="471"/>
      <c r="L63" s="510"/>
      <c r="M63" s="510"/>
      <c r="N63" s="472"/>
      <c r="O63" s="471"/>
      <c r="P63" s="284"/>
      <c r="Q63" s="247"/>
      <c r="R63" s="247"/>
      <c r="S63" s="247"/>
      <c r="T63" s="247"/>
      <c r="U63" s="247"/>
      <c r="V63" s="247"/>
    </row>
    <row r="64" spans="1:22">
      <c r="A64" s="258"/>
      <c r="B64" s="515"/>
      <c r="C64" s="285"/>
      <c r="D64" s="285"/>
      <c r="E64" s="285"/>
      <c r="F64" s="285"/>
      <c r="G64" s="285"/>
      <c r="H64" s="285"/>
      <c r="I64" s="285"/>
      <c r="J64" s="285"/>
      <c r="K64" s="478"/>
      <c r="L64" s="514"/>
      <c r="M64" s="514"/>
      <c r="N64" s="478"/>
      <c r="O64" s="478"/>
      <c r="P64" s="285"/>
      <c r="Q64" s="247"/>
      <c r="R64" s="247"/>
      <c r="S64" s="247"/>
      <c r="T64" s="247"/>
      <c r="U64" s="247"/>
      <c r="V64" s="247"/>
    </row>
    <row r="65" spans="1:22">
      <c r="A65" s="287" t="s">
        <v>467</v>
      </c>
      <c r="B65" s="288" t="s">
        <v>471</v>
      </c>
      <c r="C65" s="262">
        <v>0</v>
      </c>
      <c r="D65" s="263">
        <v>0</v>
      </c>
      <c r="E65" s="262">
        <v>0</v>
      </c>
      <c r="F65" s="263">
        <v>0</v>
      </c>
      <c r="G65" s="262">
        <v>0</v>
      </c>
      <c r="H65" s="263">
        <v>0</v>
      </c>
      <c r="I65" s="262">
        <v>0</v>
      </c>
      <c r="J65" s="263">
        <v>0</v>
      </c>
      <c r="K65" s="262">
        <v>0</v>
      </c>
      <c r="L65" s="263">
        <v>859167.39</v>
      </c>
      <c r="M65" s="264">
        <v>0</v>
      </c>
      <c r="N65" s="263">
        <v>0</v>
      </c>
      <c r="O65" s="262">
        <v>0</v>
      </c>
      <c r="P65" s="296">
        <v>2194035.5940000005</v>
      </c>
      <c r="Q65" s="247"/>
      <c r="R65" s="247"/>
      <c r="S65" s="247"/>
      <c r="T65" s="247"/>
      <c r="U65" s="247"/>
      <c r="V65" s="247"/>
    </row>
    <row r="66" spans="1:22">
      <c r="A66" s="256" t="s">
        <v>532</v>
      </c>
      <c r="B66" s="289"/>
      <c r="C66" s="250">
        <v>0</v>
      </c>
      <c r="D66" s="251"/>
      <c r="E66" s="250"/>
      <c r="F66" s="251"/>
      <c r="G66" s="250"/>
      <c r="H66" s="251"/>
      <c r="I66" s="250"/>
      <c r="J66" s="251"/>
      <c r="K66" s="250"/>
      <c r="L66" s="251"/>
      <c r="M66" s="252"/>
      <c r="N66" s="251"/>
      <c r="O66" s="250"/>
      <c r="P66" s="295"/>
      <c r="Q66" s="247"/>
      <c r="R66" s="247"/>
      <c r="S66" s="247"/>
      <c r="T66" s="247"/>
      <c r="U66" s="247"/>
      <c r="V66" s="247"/>
    </row>
    <row r="67" spans="1:22">
      <c r="A67" s="480"/>
      <c r="B67" s="470" t="s">
        <v>496</v>
      </c>
      <c r="C67" s="291">
        <f t="shared" ref="C67:P67" si="20">SUM(C65:C66)</f>
        <v>0</v>
      </c>
      <c r="D67" s="291">
        <f t="shared" si="20"/>
        <v>0</v>
      </c>
      <c r="E67" s="291">
        <f t="shared" si="20"/>
        <v>0</v>
      </c>
      <c r="F67" s="291">
        <f t="shared" si="20"/>
        <v>0</v>
      </c>
      <c r="G67" s="291">
        <f t="shared" si="20"/>
        <v>0</v>
      </c>
      <c r="H67" s="291">
        <f t="shared" si="20"/>
        <v>0</v>
      </c>
      <c r="I67" s="291">
        <f t="shared" si="20"/>
        <v>0</v>
      </c>
      <c r="J67" s="291">
        <f t="shared" si="20"/>
        <v>0</v>
      </c>
      <c r="K67" s="291">
        <f t="shared" si="20"/>
        <v>0</v>
      </c>
      <c r="L67" s="291">
        <f t="shared" si="20"/>
        <v>859167.39</v>
      </c>
      <c r="M67" s="292">
        <f t="shared" si="20"/>
        <v>0</v>
      </c>
      <c r="N67" s="291">
        <f t="shared" si="20"/>
        <v>0</v>
      </c>
      <c r="O67" s="291">
        <f t="shared" si="20"/>
        <v>0</v>
      </c>
      <c r="P67" s="292">
        <f t="shared" si="20"/>
        <v>2194035.5940000005</v>
      </c>
      <c r="Q67" s="247"/>
      <c r="R67" s="247"/>
      <c r="S67" s="247"/>
      <c r="T67" s="247"/>
      <c r="U67" s="247"/>
      <c r="V67" s="247"/>
    </row>
    <row r="68" spans="1:22">
      <c r="E68" s="293"/>
      <c r="I68" s="293"/>
      <c r="Q68" s="247"/>
      <c r="R68" s="247"/>
      <c r="S68" s="247"/>
      <c r="T68" s="247"/>
      <c r="U68" s="247"/>
      <c r="V68" s="247"/>
    </row>
    <row r="69" spans="1:22">
      <c r="Q69" s="247"/>
      <c r="R69" s="247"/>
      <c r="S69" s="247"/>
      <c r="T69" s="247"/>
      <c r="U69" s="247"/>
      <c r="V69" s="247"/>
    </row>
    <row r="70" spans="1:22">
      <c r="B70" s="307"/>
      <c r="C70" s="516"/>
      <c r="D70" s="516"/>
      <c r="E70" s="516"/>
      <c r="F70" s="516"/>
      <c r="G70" s="516"/>
      <c r="H70" s="516"/>
      <c r="I70" s="516"/>
      <c r="J70" s="516"/>
      <c r="K70" s="516"/>
      <c r="L70" s="516"/>
      <c r="M70" s="516"/>
      <c r="N70" s="516"/>
      <c r="O70" s="516"/>
      <c r="P70" s="516"/>
      <c r="Q70" s="247"/>
      <c r="R70" s="247"/>
      <c r="S70" s="247"/>
      <c r="T70" s="247"/>
      <c r="U70" s="247"/>
      <c r="V70" s="247"/>
    </row>
    <row r="71" spans="1:22">
      <c r="B71" s="307"/>
      <c r="C71" s="516"/>
      <c r="D71" s="516"/>
      <c r="E71" s="516"/>
      <c r="F71" s="516"/>
      <c r="G71" s="516"/>
      <c r="H71" s="516"/>
      <c r="I71" s="516"/>
      <c r="J71" s="516"/>
      <c r="K71" s="516"/>
      <c r="L71" s="516"/>
      <c r="M71" s="516"/>
      <c r="N71" s="516"/>
      <c r="O71" s="516"/>
      <c r="P71" s="516"/>
      <c r="Q71" s="247"/>
      <c r="R71" s="247"/>
      <c r="S71" s="247"/>
      <c r="T71" s="247"/>
      <c r="U71" s="247"/>
      <c r="V71" s="247"/>
    </row>
    <row r="72" spans="1:22">
      <c r="B72" s="307"/>
      <c r="C72" s="516"/>
      <c r="D72" s="516"/>
      <c r="E72" s="516"/>
      <c r="F72" s="516"/>
      <c r="G72" s="516"/>
      <c r="H72" s="516"/>
      <c r="I72" s="516"/>
      <c r="J72" s="516"/>
      <c r="K72" s="516"/>
      <c r="L72" s="516"/>
      <c r="M72" s="516"/>
      <c r="N72" s="516"/>
      <c r="O72" s="516"/>
      <c r="P72" s="516"/>
      <c r="Q72" s="247"/>
      <c r="R72" s="247"/>
      <c r="S72" s="247"/>
      <c r="T72" s="247"/>
      <c r="U72" s="247"/>
      <c r="V72" s="247"/>
    </row>
    <row r="73" spans="1:22">
      <c r="Q73" s="247"/>
      <c r="R73" s="247"/>
      <c r="S73" s="247"/>
      <c r="T73" s="247"/>
      <c r="U73" s="247"/>
      <c r="V73" s="247"/>
    </row>
    <row r="74" spans="1:22">
      <c r="Q74" s="247"/>
      <c r="R74" s="247"/>
      <c r="S74" s="247"/>
      <c r="T74" s="247"/>
      <c r="U74" s="247"/>
      <c r="V74" s="247"/>
    </row>
    <row r="75" spans="1:22">
      <c r="Q75" s="247"/>
      <c r="R75" s="247"/>
      <c r="S75" s="247"/>
      <c r="T75" s="247"/>
      <c r="U75" s="247"/>
      <c r="V75" s="247"/>
    </row>
    <row r="76" spans="1:22">
      <c r="Q76" s="247"/>
      <c r="R76" s="247"/>
      <c r="S76" s="247"/>
      <c r="T76" s="247"/>
      <c r="U76" s="247"/>
      <c r="V76" s="247"/>
    </row>
    <row r="77" spans="1:22">
      <c r="Q77" s="247"/>
      <c r="R77" s="247"/>
      <c r="S77" s="247"/>
      <c r="T77" s="247"/>
      <c r="U77" s="247"/>
      <c r="V77" s="247"/>
    </row>
  </sheetData>
  <pageMargins left="0.7" right="0.7" top="0.75" bottom="0.75" header="0.3" footer="0.3"/>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FFFF"/>
  </sheetPr>
  <dimension ref="A1:BS250"/>
  <sheetViews>
    <sheetView zoomScale="70" zoomScaleNormal="70" zoomScaleSheetLayoutView="70" workbookViewId="0">
      <selection activeCell="S74" sqref="S74"/>
    </sheetView>
  </sheetViews>
  <sheetFormatPr defaultColWidth="9.140625" defaultRowHeight="15"/>
  <cols>
    <col min="1" max="1" width="9.140625" style="156"/>
    <col min="2" max="2" width="7.7109375" style="156" customWidth="1"/>
    <col min="3" max="3" width="1.85546875" style="156" customWidth="1"/>
    <col min="4" max="4" width="72" style="156" customWidth="1"/>
    <col min="5" max="5" width="13.140625" style="156" customWidth="1"/>
    <col min="6" max="8" width="17.140625" style="156" customWidth="1"/>
    <col min="9" max="9" width="23.85546875" style="156" customWidth="1"/>
    <col min="10" max="10" width="17.140625" style="156" customWidth="1"/>
    <col min="11" max="11" width="18.5703125" style="156" customWidth="1"/>
    <col min="12" max="17" width="17.140625" style="156" customWidth="1"/>
    <col min="18" max="18" width="20.140625" style="156" bestFit="1" customWidth="1"/>
    <col min="19" max="20" width="19.7109375" style="156" customWidth="1"/>
    <col min="21" max="21" width="5.7109375" style="156" bestFit="1" customWidth="1"/>
    <col min="22" max="22" width="16.7109375" style="156" customWidth="1"/>
    <col min="23" max="16384" width="9.140625" style="156"/>
  </cols>
  <sheetData>
    <row r="1" spans="2:71">
      <c r="T1" s="195"/>
    </row>
    <row r="2" spans="2:71">
      <c r="T2" s="195"/>
    </row>
    <row r="4" spans="2:71">
      <c r="T4" s="396" t="s">
        <v>494</v>
      </c>
    </row>
    <row r="5" spans="2:71">
      <c r="D5" s="223" t="s">
        <v>398</v>
      </c>
      <c r="E5" s="223"/>
      <c r="F5" s="223"/>
      <c r="G5" s="223"/>
      <c r="H5" s="223"/>
      <c r="I5" s="223"/>
      <c r="J5" s="223"/>
      <c r="K5" s="225" t="s">
        <v>397</v>
      </c>
      <c r="L5" s="225"/>
      <c r="M5" s="223"/>
      <c r="N5" s="223"/>
      <c r="O5" s="223"/>
      <c r="P5" s="222"/>
      <c r="Q5" s="222"/>
      <c r="S5" s="306"/>
      <c r="T5" s="394" t="s">
        <v>644</v>
      </c>
      <c r="U5" s="178"/>
      <c r="V5" s="220"/>
      <c r="W5" s="220"/>
      <c r="X5" s="178"/>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7"/>
      <c r="BI5" s="167"/>
      <c r="BJ5" s="167"/>
      <c r="BK5" s="167"/>
      <c r="BL5" s="167"/>
      <c r="BM5" s="167"/>
      <c r="BN5" s="167"/>
      <c r="BO5" s="167"/>
      <c r="BP5" s="167"/>
      <c r="BQ5" s="167"/>
      <c r="BR5" s="167"/>
      <c r="BS5" s="167"/>
    </row>
    <row r="6" spans="2:71">
      <c r="D6" s="223"/>
      <c r="E6" s="223"/>
      <c r="F6" s="223"/>
      <c r="G6" s="223"/>
      <c r="H6" s="223"/>
      <c r="I6" s="159" t="s">
        <v>68</v>
      </c>
      <c r="J6" s="159"/>
      <c r="K6" s="159" t="s">
        <v>504</v>
      </c>
      <c r="L6" s="159"/>
      <c r="M6" s="159"/>
      <c r="N6" s="159"/>
      <c r="O6" s="159"/>
      <c r="P6" s="222"/>
      <c r="Q6" s="222"/>
      <c r="S6" s="181"/>
      <c r="T6" s="222"/>
      <c r="U6" s="178"/>
      <c r="V6" s="221"/>
      <c r="W6" s="220"/>
      <c r="X6" s="178"/>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row>
    <row r="7" spans="2:71">
      <c r="D7" s="181"/>
      <c r="E7" s="181"/>
      <c r="F7" s="181"/>
      <c r="G7" s="181"/>
      <c r="H7" s="181"/>
      <c r="I7" s="181"/>
      <c r="J7" s="181"/>
      <c r="K7" s="181"/>
      <c r="L7" s="181"/>
      <c r="M7" s="181"/>
      <c r="N7" s="181"/>
      <c r="O7" s="181"/>
      <c r="P7" s="181"/>
      <c r="Q7" s="181"/>
      <c r="S7" s="181"/>
      <c r="T7" s="181" t="s">
        <v>396</v>
      </c>
      <c r="U7" s="178"/>
      <c r="V7" s="220"/>
      <c r="W7" s="220"/>
      <c r="X7" s="178"/>
      <c r="Y7" s="167"/>
      <c r="Z7" s="167"/>
      <c r="AA7" s="167"/>
      <c r="AB7" s="167"/>
      <c r="AC7" s="16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167"/>
      <c r="BC7" s="167"/>
      <c r="BD7" s="167"/>
      <c r="BE7" s="167"/>
      <c r="BF7" s="167"/>
      <c r="BG7" s="167"/>
      <c r="BH7" s="167"/>
      <c r="BI7" s="167"/>
      <c r="BJ7" s="167"/>
      <c r="BK7" s="167"/>
      <c r="BL7" s="167"/>
      <c r="BM7" s="167"/>
      <c r="BN7" s="167"/>
      <c r="BO7" s="167"/>
      <c r="BP7" s="167"/>
      <c r="BQ7" s="167"/>
      <c r="BR7" s="167"/>
      <c r="BS7" s="167"/>
    </row>
    <row r="8" spans="2:71">
      <c r="B8" s="193"/>
      <c r="D8" s="181"/>
      <c r="E8" s="181"/>
      <c r="F8" s="181"/>
      <c r="G8" s="181"/>
      <c r="H8" s="181"/>
      <c r="I8" s="181"/>
      <c r="J8" s="174"/>
      <c r="K8" s="393" t="s">
        <v>342</v>
      </c>
      <c r="L8" s="393"/>
      <c r="M8" s="174"/>
      <c r="N8" s="181"/>
      <c r="O8" s="181"/>
      <c r="P8" s="181"/>
      <c r="Q8" s="181"/>
      <c r="R8" s="181"/>
      <c r="S8" s="181"/>
      <c r="T8" s="181"/>
      <c r="U8" s="178"/>
      <c r="V8" s="220"/>
      <c r="W8" s="220"/>
      <c r="X8" s="178"/>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row>
    <row r="9" spans="2:71">
      <c r="B9" s="193"/>
      <c r="D9" s="181"/>
      <c r="E9" s="181"/>
      <c r="F9" s="181"/>
      <c r="G9" s="181"/>
      <c r="H9" s="181"/>
      <c r="I9" s="181"/>
      <c r="J9" s="181"/>
      <c r="K9" s="219"/>
      <c r="L9" s="219"/>
      <c r="M9" s="181"/>
      <c r="N9" s="181"/>
      <c r="O9" s="181"/>
      <c r="P9" s="181"/>
      <c r="Q9" s="181"/>
      <c r="R9" s="181"/>
      <c r="S9" s="181"/>
      <c r="T9" s="181"/>
      <c r="U9" s="178"/>
      <c r="V9" s="220"/>
      <c r="W9" s="220"/>
      <c r="X9" s="178"/>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c r="AZ9" s="167"/>
      <c r="BA9" s="167"/>
      <c r="BB9" s="167"/>
      <c r="BC9" s="167"/>
      <c r="BD9" s="167"/>
      <c r="BE9" s="167"/>
      <c r="BF9" s="167"/>
      <c r="BG9" s="167"/>
      <c r="BH9" s="167"/>
      <c r="BI9" s="167"/>
      <c r="BJ9" s="167"/>
      <c r="BK9" s="167"/>
      <c r="BL9" s="167"/>
      <c r="BM9" s="167"/>
      <c r="BN9" s="167"/>
      <c r="BO9" s="167"/>
      <c r="BP9" s="167"/>
      <c r="BQ9" s="167"/>
      <c r="BR9" s="167"/>
      <c r="BS9" s="167"/>
    </row>
    <row r="10" spans="2:71">
      <c r="B10" s="193"/>
      <c r="D10" s="181" t="s">
        <v>520</v>
      </c>
      <c r="E10" s="181"/>
      <c r="F10" s="181"/>
      <c r="G10" s="181"/>
      <c r="H10" s="181"/>
      <c r="I10" s="181"/>
      <c r="J10" s="181"/>
      <c r="K10" s="219"/>
      <c r="L10" s="219"/>
      <c r="M10" s="181"/>
      <c r="N10" s="181"/>
      <c r="O10" s="181"/>
      <c r="P10" s="181"/>
      <c r="Q10" s="181"/>
      <c r="R10" s="181"/>
      <c r="S10" s="181"/>
      <c r="T10" s="181"/>
      <c r="U10" s="178"/>
      <c r="V10" s="220"/>
      <c r="W10" s="220"/>
      <c r="X10" s="178"/>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row>
    <row r="11" spans="2:71">
      <c r="B11" s="193"/>
      <c r="D11" s="392" t="s">
        <v>519</v>
      </c>
      <c r="E11" s="181"/>
      <c r="F11" s="181"/>
      <c r="G11" s="181"/>
      <c r="H11" s="181"/>
      <c r="I11" s="181"/>
      <c r="J11" s="181"/>
      <c r="K11" s="219"/>
      <c r="L11" s="219"/>
      <c r="R11" s="181"/>
      <c r="S11" s="181"/>
      <c r="T11" s="181"/>
      <c r="U11" s="178"/>
      <c r="V11" s="178"/>
      <c r="W11" s="178"/>
      <c r="X11" s="178"/>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row>
    <row r="12" spans="2:71">
      <c r="B12" s="193"/>
      <c r="D12" s="181"/>
      <c r="E12" s="181"/>
      <c r="F12" s="181"/>
      <c r="G12" s="181"/>
      <c r="H12" s="181"/>
      <c r="I12" s="181"/>
      <c r="J12" s="181"/>
      <c r="K12" s="181"/>
      <c r="L12" s="181"/>
      <c r="R12" s="218"/>
      <c r="S12" s="181"/>
      <c r="T12" s="181"/>
      <c r="U12" s="178"/>
      <c r="V12" s="178"/>
      <c r="W12" s="178"/>
      <c r="X12" s="178"/>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row>
    <row r="13" spans="2:71">
      <c r="D13" s="217" t="s">
        <v>246</v>
      </c>
      <c r="E13" s="217"/>
      <c r="F13" s="217"/>
      <c r="G13" s="217"/>
      <c r="H13" s="217"/>
      <c r="I13" s="217" t="s">
        <v>245</v>
      </c>
      <c r="J13" s="217"/>
      <c r="K13" s="217" t="s">
        <v>244</v>
      </c>
      <c r="L13" s="217"/>
      <c r="M13" s="174" t="s">
        <v>243</v>
      </c>
      <c r="S13" s="159"/>
      <c r="T13" s="174"/>
      <c r="U13" s="177"/>
      <c r="V13" s="174"/>
      <c r="W13" s="177"/>
      <c r="X13" s="176"/>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67"/>
      <c r="BQ13" s="167"/>
      <c r="BR13" s="167"/>
      <c r="BS13" s="167"/>
    </row>
    <row r="14" spans="2:71" ht="15.75">
      <c r="B14" s="167"/>
      <c r="C14" s="167"/>
      <c r="D14" s="172"/>
      <c r="E14" s="172"/>
      <c r="F14" s="172"/>
      <c r="G14" s="172"/>
      <c r="H14" s="172"/>
      <c r="I14" s="202" t="s">
        <v>518</v>
      </c>
      <c r="J14" s="202"/>
      <c r="K14" s="159"/>
      <c r="L14" s="159"/>
      <c r="S14" s="159"/>
      <c r="U14" s="177"/>
      <c r="V14" s="196"/>
      <c r="W14" s="196"/>
      <c r="X14" s="176"/>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row>
    <row r="15" spans="2:71" ht="15.75">
      <c r="B15" s="391" t="s">
        <v>8</v>
      </c>
      <c r="C15" s="167"/>
      <c r="D15" s="172"/>
      <c r="E15" s="172"/>
      <c r="F15" s="172"/>
      <c r="G15" s="172"/>
      <c r="H15" s="172"/>
      <c r="I15" s="216" t="s">
        <v>240</v>
      </c>
      <c r="J15" s="216"/>
      <c r="K15" s="215" t="s">
        <v>25</v>
      </c>
      <c r="L15" s="215"/>
      <c r="M15" s="215" t="s">
        <v>334</v>
      </c>
      <c r="S15" s="159"/>
      <c r="U15" s="178"/>
      <c r="V15" s="214"/>
      <c r="W15" s="196"/>
      <c r="X15" s="176"/>
      <c r="Y15" s="167"/>
      <c r="Z15" s="167"/>
      <c r="AA15" s="167"/>
      <c r="AB15" s="167"/>
      <c r="AC15" s="167"/>
      <c r="AD15" s="167"/>
      <c r="AE15" s="167"/>
      <c r="AF15" s="167"/>
      <c r="AG15" s="167"/>
      <c r="AH15" s="167"/>
      <c r="AI15" s="167"/>
      <c r="AJ15" s="167"/>
      <c r="AK15" s="167"/>
      <c r="AL15" s="167"/>
      <c r="AM15" s="167"/>
      <c r="AN15" s="167"/>
      <c r="AO15" s="167"/>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7"/>
      <c r="BN15" s="167"/>
      <c r="BO15" s="167"/>
      <c r="BP15" s="167"/>
      <c r="BQ15" s="167"/>
      <c r="BR15" s="167"/>
      <c r="BS15" s="167"/>
    </row>
    <row r="16" spans="2:71" ht="15.75">
      <c r="B16" s="391" t="s">
        <v>178</v>
      </c>
      <c r="C16" s="167"/>
      <c r="D16" s="194"/>
      <c r="E16" s="194"/>
      <c r="F16" s="194"/>
      <c r="G16" s="194"/>
      <c r="H16" s="194"/>
      <c r="I16" s="159"/>
      <c r="J16" s="159"/>
      <c r="K16" s="159"/>
      <c r="L16" s="159"/>
      <c r="M16" s="159"/>
      <c r="S16" s="159"/>
      <c r="T16" s="159"/>
      <c r="U16" s="178"/>
      <c r="V16" s="177"/>
      <c r="W16" s="177"/>
      <c r="X16" s="176"/>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row>
    <row r="17" spans="2:71" ht="15.75">
      <c r="B17" s="213"/>
      <c r="C17" s="167"/>
      <c r="D17" s="172"/>
      <c r="E17" s="172"/>
      <c r="F17" s="172"/>
      <c r="G17" s="172"/>
      <c r="H17" s="172"/>
      <c r="I17" s="159"/>
      <c r="J17" s="159"/>
      <c r="K17" s="159"/>
      <c r="L17" s="159"/>
      <c r="M17" s="159"/>
      <c r="S17" s="159"/>
      <c r="T17" s="159"/>
      <c r="U17" s="178"/>
      <c r="V17" s="177"/>
      <c r="W17" s="177"/>
      <c r="X17" s="176"/>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row>
    <row r="18" spans="2:71">
      <c r="B18" s="197">
        <v>1</v>
      </c>
      <c r="C18" s="167"/>
      <c r="D18" s="172" t="s">
        <v>395</v>
      </c>
      <c r="E18" s="172"/>
      <c r="F18" s="172"/>
      <c r="G18" s="172"/>
      <c r="H18" s="172"/>
      <c r="I18" s="205" t="s">
        <v>517</v>
      </c>
      <c r="J18" s="205"/>
      <c r="K18" s="234">
        <f>'ATC Attach O ER13-1181'!I87+'ATC Attach O ER13-1181'!I88</f>
        <v>4432968795.8369226</v>
      </c>
      <c r="L18" s="159"/>
      <c r="S18" s="159"/>
      <c r="T18" s="159"/>
      <c r="U18" s="178"/>
      <c r="V18" s="177"/>
      <c r="W18" s="177"/>
      <c r="X18" s="176"/>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167"/>
    </row>
    <row r="19" spans="2:71">
      <c r="B19" s="197" t="s">
        <v>235</v>
      </c>
      <c r="C19" s="167"/>
      <c r="D19" s="172" t="s">
        <v>451</v>
      </c>
      <c r="E19" s="172"/>
      <c r="F19" s="172"/>
      <c r="G19" s="172"/>
      <c r="H19" s="172"/>
      <c r="I19" s="205" t="s">
        <v>516</v>
      </c>
      <c r="J19" s="205"/>
      <c r="K19" s="238">
        <f>'ATC Attach O ER13-1181'!I96+'ATC Attach O ER13-1181'!I97</f>
        <v>1079094871</v>
      </c>
      <c r="L19" s="237"/>
      <c r="S19" s="159"/>
      <c r="T19" s="159"/>
      <c r="U19" s="178"/>
      <c r="V19" s="177"/>
      <c r="W19" s="177"/>
      <c r="X19" s="176"/>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7"/>
      <c r="BN19" s="167"/>
      <c r="BO19" s="167"/>
      <c r="BP19" s="167"/>
      <c r="BQ19" s="167"/>
      <c r="BR19" s="167"/>
      <c r="BS19" s="167"/>
    </row>
    <row r="20" spans="2:71">
      <c r="B20" s="197">
        <v>2</v>
      </c>
      <c r="C20" s="167"/>
      <c r="D20" s="172" t="s">
        <v>394</v>
      </c>
      <c r="E20" s="172"/>
      <c r="F20" s="172"/>
      <c r="G20" s="172"/>
      <c r="H20" s="172"/>
      <c r="I20" s="205" t="s">
        <v>450</v>
      </c>
      <c r="J20" s="205"/>
      <c r="K20" s="235">
        <f>K18-K19</f>
        <v>3353873924.8369226</v>
      </c>
      <c r="L20" s="239"/>
      <c r="S20" s="159"/>
      <c r="T20" s="159"/>
      <c r="U20" s="178"/>
      <c r="V20" s="177"/>
      <c r="W20" s="177"/>
      <c r="X20" s="176"/>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row>
    <row r="21" spans="2:71">
      <c r="B21" s="197"/>
      <c r="C21" s="167"/>
      <c r="D21" s="167"/>
      <c r="E21" s="167"/>
      <c r="F21" s="167"/>
      <c r="G21" s="167"/>
      <c r="H21" s="167"/>
      <c r="I21" s="205"/>
      <c r="J21" s="205"/>
      <c r="S21" s="159"/>
      <c r="T21" s="159"/>
      <c r="U21" s="178"/>
      <c r="V21" s="177"/>
      <c r="W21" s="177"/>
      <c r="X21" s="176"/>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7"/>
      <c r="BN21" s="167"/>
      <c r="BO21" s="167"/>
      <c r="BP21" s="167"/>
      <c r="BQ21" s="167"/>
      <c r="BR21" s="167"/>
      <c r="BS21" s="167"/>
    </row>
    <row r="22" spans="2:71">
      <c r="B22" s="197"/>
      <c r="C22" s="167"/>
      <c r="D22" s="172" t="s">
        <v>449</v>
      </c>
      <c r="E22" s="172"/>
      <c r="F22" s="172"/>
      <c r="G22" s="172"/>
      <c r="H22" s="172"/>
      <c r="I22" s="205"/>
      <c r="J22" s="205"/>
      <c r="K22" s="159"/>
      <c r="L22" s="159"/>
      <c r="M22" s="159"/>
      <c r="S22" s="159"/>
      <c r="T22" s="159"/>
      <c r="U22" s="177"/>
      <c r="V22" s="177"/>
      <c r="W22" s="177"/>
      <c r="X22" s="176"/>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7"/>
      <c r="BK22" s="167"/>
      <c r="BL22" s="167"/>
      <c r="BM22" s="167"/>
      <c r="BN22" s="167"/>
      <c r="BO22" s="167"/>
      <c r="BP22" s="167"/>
      <c r="BQ22" s="167"/>
      <c r="BR22" s="167"/>
      <c r="BS22" s="167"/>
    </row>
    <row r="23" spans="2:71">
      <c r="B23" s="197">
        <v>3</v>
      </c>
      <c r="C23" s="167"/>
      <c r="D23" s="172" t="s">
        <v>392</v>
      </c>
      <c r="E23" s="172"/>
      <c r="F23" s="172"/>
      <c r="G23" s="172"/>
      <c r="H23" s="172"/>
      <c r="I23" s="205" t="s">
        <v>515</v>
      </c>
      <c r="J23" s="205"/>
      <c r="K23" s="234">
        <f>'ATC Attach O ER13-1181'!I165</f>
        <v>143136929.99188033</v>
      </c>
      <c r="L23" s="159"/>
      <c r="S23" s="159"/>
      <c r="T23" s="159"/>
      <c r="U23" s="177"/>
      <c r="V23" s="177"/>
      <c r="W23" s="177"/>
      <c r="X23" s="176"/>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row>
    <row r="24" spans="2:71">
      <c r="B24" s="197" t="s">
        <v>448</v>
      </c>
      <c r="C24" s="167"/>
      <c r="D24" s="172" t="s">
        <v>447</v>
      </c>
      <c r="E24" s="172"/>
      <c r="F24" s="172"/>
      <c r="G24" s="172"/>
      <c r="H24" s="172"/>
      <c r="I24" s="205" t="s">
        <v>514</v>
      </c>
      <c r="J24" s="205"/>
      <c r="K24" s="234">
        <f>'ATC Attach O ER13-1181'!I156</f>
        <v>102704839.66</v>
      </c>
      <c r="L24" s="159"/>
      <c r="S24" s="159"/>
      <c r="T24" s="159"/>
      <c r="U24" s="177"/>
      <c r="V24" s="177"/>
      <c r="W24" s="177"/>
      <c r="X24" s="176"/>
      <c r="Y24" s="167"/>
      <c r="Z24" s="167"/>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row>
    <row r="25" spans="2:71" ht="32.25" customHeight="1">
      <c r="B25" s="197" t="s">
        <v>466</v>
      </c>
      <c r="C25" s="167"/>
      <c r="D25" s="172" t="s">
        <v>495</v>
      </c>
      <c r="E25" s="172"/>
      <c r="F25" s="172"/>
      <c r="G25" s="172"/>
      <c r="H25" s="876" t="s">
        <v>513</v>
      </c>
      <c r="I25" s="876"/>
      <c r="J25" s="876"/>
      <c r="K25" s="234">
        <v>15474432</v>
      </c>
      <c r="L25" s="159"/>
      <c r="S25" s="159"/>
      <c r="T25" s="159"/>
      <c r="U25" s="177"/>
      <c r="V25" s="177"/>
      <c r="W25" s="177"/>
      <c r="X25" s="176"/>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row>
    <row r="26" spans="2:71">
      <c r="B26" s="197" t="s">
        <v>446</v>
      </c>
      <c r="C26" s="167"/>
      <c r="D26" s="172" t="s">
        <v>445</v>
      </c>
      <c r="E26" s="172"/>
      <c r="F26" s="172"/>
      <c r="G26" s="172"/>
      <c r="H26" s="172"/>
      <c r="I26" s="205" t="s">
        <v>512</v>
      </c>
      <c r="J26" s="205"/>
      <c r="K26" s="234">
        <f>'ATC Attach O ER13-1181'!I157</f>
        <v>0</v>
      </c>
      <c r="L26" s="159"/>
      <c r="S26" s="159"/>
      <c r="T26" s="159"/>
      <c r="U26" s="177"/>
      <c r="V26" s="177"/>
      <c r="W26" s="177"/>
      <c r="X26" s="176"/>
      <c r="Y26" s="167"/>
      <c r="Z26" s="167"/>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row>
    <row r="27" spans="2:71">
      <c r="B27" s="197" t="s">
        <v>444</v>
      </c>
      <c r="C27" s="167"/>
      <c r="D27" s="172" t="s">
        <v>443</v>
      </c>
      <c r="E27" s="172"/>
      <c r="F27" s="172"/>
      <c r="G27" s="172"/>
      <c r="H27" s="172"/>
      <c r="I27" s="205" t="s">
        <v>511</v>
      </c>
      <c r="J27" s="205"/>
      <c r="K27" s="238">
        <f>'ATC Attach O ER13-1181'!I158</f>
        <v>0</v>
      </c>
      <c r="L27" s="237"/>
      <c r="S27" s="159"/>
      <c r="T27" s="159"/>
      <c r="U27" s="177"/>
      <c r="V27" s="177"/>
      <c r="W27" s="177"/>
      <c r="X27" s="176"/>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row>
    <row r="28" spans="2:71">
      <c r="B28" s="197" t="s">
        <v>442</v>
      </c>
      <c r="C28" s="167"/>
      <c r="D28" s="172" t="s">
        <v>441</v>
      </c>
      <c r="E28" s="172"/>
      <c r="F28" s="172"/>
      <c r="G28" s="172"/>
      <c r="H28" s="172"/>
      <c r="I28" s="205" t="s">
        <v>510</v>
      </c>
      <c r="J28" s="205"/>
      <c r="K28" s="235">
        <f>K24-(K26+K27+K25)</f>
        <v>87230407.659999996</v>
      </c>
      <c r="L28" s="159"/>
      <c r="S28" s="159"/>
      <c r="T28" s="159"/>
      <c r="U28" s="177"/>
      <c r="V28" s="177"/>
      <c r="W28" s="177"/>
      <c r="X28" s="176"/>
      <c r="Y28" s="167"/>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7"/>
      <c r="AZ28" s="167"/>
      <c r="BA28" s="167"/>
      <c r="BB28" s="167"/>
      <c r="BC28" s="167"/>
      <c r="BD28" s="167"/>
      <c r="BE28" s="167"/>
      <c r="BF28" s="167"/>
      <c r="BG28" s="167"/>
      <c r="BH28" s="167"/>
      <c r="BI28" s="167"/>
      <c r="BJ28" s="167"/>
      <c r="BK28" s="167"/>
      <c r="BL28" s="167"/>
      <c r="BM28" s="167"/>
      <c r="BN28" s="167"/>
      <c r="BO28" s="167"/>
      <c r="BP28" s="167"/>
      <c r="BQ28" s="167"/>
      <c r="BR28" s="167"/>
      <c r="BS28" s="167"/>
    </row>
    <row r="29" spans="2:71">
      <c r="B29" s="197"/>
      <c r="C29" s="167"/>
      <c r="D29" s="172"/>
      <c r="E29" s="172"/>
      <c r="F29" s="172"/>
      <c r="G29" s="172"/>
      <c r="H29" s="172"/>
      <c r="I29" s="205"/>
      <c r="J29" s="205"/>
      <c r="K29" s="159"/>
      <c r="L29" s="159"/>
      <c r="S29" s="159"/>
      <c r="T29" s="159"/>
      <c r="U29" s="177"/>
      <c r="V29" s="177"/>
      <c r="W29" s="177"/>
      <c r="X29" s="176"/>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c r="BI29" s="167"/>
      <c r="BJ29" s="167"/>
      <c r="BK29" s="167"/>
      <c r="BL29" s="167"/>
      <c r="BM29" s="167"/>
      <c r="BN29" s="167"/>
      <c r="BO29" s="167"/>
      <c r="BP29" s="167"/>
      <c r="BQ29" s="167"/>
      <c r="BR29" s="167"/>
      <c r="BS29" s="167"/>
    </row>
    <row r="30" spans="2:71" ht="15.75">
      <c r="B30" s="197">
        <v>4</v>
      </c>
      <c r="C30" s="167"/>
      <c r="D30" s="194" t="s">
        <v>440</v>
      </c>
      <c r="E30" s="194"/>
      <c r="F30" s="194"/>
      <c r="G30" s="194"/>
      <c r="H30" s="172"/>
      <c r="I30" s="205" t="s">
        <v>439</v>
      </c>
      <c r="J30" s="205"/>
      <c r="K30" s="158">
        <f>IF(K28=0,0,K28/K19)</f>
        <v>8.083664375048262E-2</v>
      </c>
      <c r="L30" s="158"/>
      <c r="M30" s="236">
        <f>K30</f>
        <v>8.083664375048262E-2</v>
      </c>
      <c r="S30" s="159"/>
      <c r="T30" s="159"/>
      <c r="U30" s="177"/>
      <c r="V30" s="177"/>
      <c r="W30" s="177"/>
      <c r="X30" s="176"/>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7"/>
      <c r="BP30" s="167"/>
      <c r="BQ30" s="167"/>
      <c r="BR30" s="167"/>
      <c r="BS30" s="167"/>
    </row>
    <row r="31" spans="2:71">
      <c r="B31" s="197"/>
      <c r="C31" s="167"/>
      <c r="D31" s="172"/>
      <c r="E31" s="172"/>
      <c r="F31" s="172"/>
      <c r="G31" s="172"/>
      <c r="H31" s="172"/>
      <c r="I31" s="205"/>
      <c r="J31" s="205"/>
      <c r="K31" s="159"/>
      <c r="L31" s="159"/>
      <c r="S31" s="159"/>
      <c r="T31" s="159"/>
      <c r="U31" s="177"/>
      <c r="V31" s="177"/>
      <c r="W31" s="177"/>
      <c r="X31" s="176"/>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7"/>
      <c r="BN31" s="167"/>
      <c r="BO31" s="167"/>
      <c r="BP31" s="167"/>
      <c r="BQ31" s="167"/>
      <c r="BR31" s="167"/>
      <c r="BS31" s="167"/>
    </row>
    <row r="32" spans="2:71">
      <c r="B32" s="197"/>
      <c r="C32" s="167"/>
      <c r="D32" s="172"/>
      <c r="E32" s="172"/>
      <c r="F32" s="172"/>
      <c r="G32" s="172"/>
      <c r="H32" s="172"/>
      <c r="I32" s="205"/>
      <c r="J32" s="205"/>
      <c r="K32" s="159"/>
      <c r="L32" s="159"/>
      <c r="S32" s="159"/>
      <c r="T32" s="159"/>
      <c r="U32" s="177"/>
      <c r="V32" s="177"/>
      <c r="W32" s="177"/>
      <c r="X32" s="176"/>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c r="BF32" s="167"/>
      <c r="BG32" s="167"/>
      <c r="BH32" s="167"/>
      <c r="BI32" s="167"/>
      <c r="BJ32" s="167"/>
      <c r="BK32" s="167"/>
      <c r="BL32" s="167"/>
      <c r="BM32" s="167"/>
      <c r="BN32" s="167"/>
      <c r="BO32" s="167"/>
      <c r="BP32" s="167"/>
      <c r="BQ32" s="167"/>
      <c r="BR32" s="167"/>
      <c r="BS32" s="167"/>
    </row>
    <row r="33" spans="2:71" ht="15.75">
      <c r="B33" s="197"/>
      <c r="C33" s="167"/>
      <c r="D33" s="172" t="s">
        <v>438</v>
      </c>
      <c r="E33" s="172"/>
      <c r="F33" s="172"/>
      <c r="G33" s="172"/>
      <c r="H33" s="172"/>
      <c r="I33" s="205"/>
      <c r="J33" s="205"/>
      <c r="K33" s="161"/>
      <c r="L33" s="161"/>
      <c r="M33" s="207"/>
      <c r="S33" s="159"/>
      <c r="T33" s="158"/>
      <c r="U33" s="185"/>
      <c r="V33" s="211"/>
      <c r="W33" s="177"/>
      <c r="X33" s="176"/>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7"/>
      <c r="BN33" s="167"/>
      <c r="BO33" s="167"/>
      <c r="BP33" s="167"/>
      <c r="BQ33" s="167"/>
      <c r="BR33" s="167"/>
      <c r="BS33" s="167"/>
    </row>
    <row r="34" spans="2:71" ht="15.75">
      <c r="B34" s="197" t="s">
        <v>437</v>
      </c>
      <c r="C34" s="167"/>
      <c r="D34" s="172" t="s">
        <v>436</v>
      </c>
      <c r="E34" s="172"/>
      <c r="F34" s="172"/>
      <c r="G34" s="172"/>
      <c r="H34" s="172"/>
      <c r="I34" s="205" t="s">
        <v>509</v>
      </c>
      <c r="J34" s="205"/>
      <c r="K34" s="235">
        <f>K23-K28-K25</f>
        <v>40432090.331880331</v>
      </c>
      <c r="L34" s="161"/>
      <c r="M34" s="207"/>
      <c r="S34" s="159"/>
      <c r="T34" s="158"/>
      <c r="U34" s="185"/>
      <c r="V34" s="211"/>
      <c r="W34" s="177"/>
      <c r="X34" s="176"/>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row>
    <row r="35" spans="2:71" ht="15.75">
      <c r="B35" s="197" t="s">
        <v>435</v>
      </c>
      <c r="C35" s="167"/>
      <c r="D35" s="172" t="s">
        <v>434</v>
      </c>
      <c r="E35" s="172"/>
      <c r="F35" s="172"/>
      <c r="G35" s="172"/>
      <c r="H35" s="172"/>
      <c r="I35" s="205" t="s">
        <v>433</v>
      </c>
      <c r="J35" s="205"/>
      <c r="K35" s="161">
        <f>IF(K34=0,0,K34/K18)</f>
        <v>9.1207703446617543E-3</v>
      </c>
      <c r="L35" s="161"/>
      <c r="M35" s="207">
        <f>K35</f>
        <v>9.1207703446617543E-3</v>
      </c>
      <c r="S35" s="159"/>
      <c r="T35" s="158"/>
      <c r="U35" s="185"/>
      <c r="V35" s="211"/>
      <c r="W35" s="177"/>
      <c r="X35" s="176"/>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7"/>
      <c r="BS35" s="167"/>
    </row>
    <row r="36" spans="2:71" ht="15.75">
      <c r="B36" s="197"/>
      <c r="C36" s="167"/>
      <c r="D36" s="172"/>
      <c r="E36" s="172"/>
      <c r="F36" s="172"/>
      <c r="G36" s="172"/>
      <c r="H36" s="172"/>
      <c r="I36" s="205"/>
      <c r="J36" s="205"/>
      <c r="K36" s="161"/>
      <c r="L36" s="161"/>
      <c r="M36" s="207"/>
      <c r="S36" s="159"/>
      <c r="T36" s="158"/>
      <c r="U36" s="185"/>
      <c r="V36" s="211"/>
      <c r="W36" s="177"/>
      <c r="X36" s="176"/>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167"/>
      <c r="AZ36" s="167"/>
      <c r="BA36" s="167"/>
      <c r="BB36" s="167"/>
      <c r="BC36" s="167"/>
      <c r="BD36" s="167"/>
      <c r="BE36" s="167"/>
      <c r="BF36" s="167"/>
      <c r="BG36" s="167"/>
      <c r="BH36" s="167"/>
      <c r="BI36" s="167"/>
      <c r="BJ36" s="167"/>
      <c r="BK36" s="167"/>
      <c r="BL36" s="167"/>
      <c r="BM36" s="167"/>
      <c r="BN36" s="167"/>
      <c r="BO36" s="167"/>
      <c r="BP36" s="167"/>
      <c r="BQ36" s="167"/>
      <c r="BR36" s="167"/>
      <c r="BS36" s="167"/>
    </row>
    <row r="37" spans="2:71" ht="15.75">
      <c r="B37" s="163"/>
      <c r="C37" s="167"/>
      <c r="D37" s="172" t="s">
        <v>390</v>
      </c>
      <c r="E37" s="172"/>
      <c r="F37" s="172"/>
      <c r="G37" s="172"/>
      <c r="H37" s="172"/>
      <c r="I37" s="162"/>
      <c r="J37" s="162"/>
      <c r="K37" s="159"/>
      <c r="L37" s="159"/>
      <c r="M37" s="159"/>
      <c r="O37" s="167"/>
      <c r="P37" s="167"/>
      <c r="Q37" s="167"/>
      <c r="S37" s="159"/>
      <c r="T37" s="158"/>
      <c r="U37" s="185"/>
      <c r="V37" s="211"/>
      <c r="W37" s="177"/>
      <c r="X37" s="176"/>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7"/>
      <c r="BN37" s="167"/>
      <c r="BO37" s="167"/>
      <c r="BP37" s="167"/>
      <c r="BQ37" s="167"/>
      <c r="BR37" s="167"/>
      <c r="BS37" s="167"/>
    </row>
    <row r="38" spans="2:71" ht="15.75">
      <c r="B38" s="163" t="s">
        <v>389</v>
      </c>
      <c r="C38" s="167"/>
      <c r="D38" s="172" t="s">
        <v>388</v>
      </c>
      <c r="E38" s="172"/>
      <c r="F38" s="172"/>
      <c r="G38" s="172"/>
      <c r="H38" s="172"/>
      <c r="I38" s="205" t="s">
        <v>508</v>
      </c>
      <c r="J38" s="205"/>
      <c r="K38" s="234">
        <f>'ATC Attach O ER13-1181'!I169+'ATC Attach O ER13-1181'!I170</f>
        <v>8601812</v>
      </c>
      <c r="L38" s="159"/>
      <c r="M38" s="167"/>
      <c r="O38" s="167"/>
      <c r="P38" s="167"/>
      <c r="Q38" s="167"/>
      <c r="S38" s="159"/>
      <c r="T38" s="158"/>
      <c r="U38" s="185"/>
      <c r="V38" s="211"/>
      <c r="W38" s="177"/>
      <c r="X38" s="176"/>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c r="BC38" s="167"/>
      <c r="BD38" s="167"/>
      <c r="BE38" s="167"/>
      <c r="BF38" s="167"/>
      <c r="BG38" s="167"/>
      <c r="BH38" s="167"/>
      <c r="BI38" s="167"/>
      <c r="BJ38" s="167"/>
      <c r="BK38" s="167"/>
      <c r="BL38" s="167"/>
      <c r="BM38" s="167"/>
      <c r="BN38" s="167"/>
      <c r="BO38" s="167"/>
      <c r="BP38" s="167"/>
      <c r="BQ38" s="167"/>
      <c r="BR38" s="167"/>
      <c r="BS38" s="167"/>
    </row>
    <row r="39" spans="2:71" ht="15.75">
      <c r="B39" s="163" t="s">
        <v>387</v>
      </c>
      <c r="C39" s="167"/>
      <c r="D39" s="172" t="s">
        <v>386</v>
      </c>
      <c r="E39" s="172"/>
      <c r="F39" s="172"/>
      <c r="G39" s="172"/>
      <c r="H39" s="172"/>
      <c r="I39" s="205" t="s">
        <v>385</v>
      </c>
      <c r="J39" s="205"/>
      <c r="K39" s="161">
        <f>IF(K38=0,0,K38/K18)</f>
        <v>1.9404178996428104E-3</v>
      </c>
      <c r="L39" s="161"/>
      <c r="M39" s="207">
        <f>K39</f>
        <v>1.9404178996428104E-3</v>
      </c>
      <c r="O39" s="167"/>
      <c r="P39" s="167"/>
      <c r="Q39" s="167"/>
      <c r="S39" s="159"/>
      <c r="T39" s="158"/>
      <c r="U39" s="185"/>
      <c r="V39" s="211"/>
      <c r="W39" s="177"/>
      <c r="X39" s="176"/>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7"/>
      <c r="BN39" s="167"/>
      <c r="BO39" s="167"/>
      <c r="BP39" s="167"/>
      <c r="BQ39" s="167"/>
      <c r="BR39" s="167"/>
      <c r="BS39" s="167"/>
    </row>
    <row r="40" spans="2:71" ht="15.75">
      <c r="B40" s="197"/>
      <c r="C40" s="167"/>
      <c r="D40" s="172"/>
      <c r="E40" s="172"/>
      <c r="F40" s="172"/>
      <c r="G40" s="172"/>
      <c r="H40" s="172"/>
      <c r="I40" s="205"/>
      <c r="J40" s="205"/>
      <c r="K40" s="161"/>
      <c r="L40" s="161"/>
      <c r="M40" s="207"/>
      <c r="S40" s="159"/>
      <c r="T40" s="158"/>
      <c r="U40" s="185"/>
      <c r="V40" s="211"/>
      <c r="W40" s="177"/>
      <c r="X40" s="176"/>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row>
    <row r="41" spans="2:71">
      <c r="B41" s="163"/>
      <c r="C41" s="167"/>
      <c r="D41" s="172" t="s">
        <v>384</v>
      </c>
      <c r="E41" s="172"/>
      <c r="F41" s="172"/>
      <c r="G41" s="172"/>
      <c r="H41" s="172"/>
      <c r="I41" s="162"/>
      <c r="J41" s="162"/>
      <c r="K41" s="159"/>
      <c r="L41" s="159"/>
      <c r="M41" s="159"/>
      <c r="S41" s="159"/>
      <c r="T41" s="159"/>
      <c r="U41" s="177"/>
      <c r="V41" s="159"/>
      <c r="W41" s="177"/>
      <c r="X41" s="176"/>
      <c r="Y41" s="167"/>
      <c r="Z41" s="167"/>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7"/>
      <c r="BN41" s="167"/>
      <c r="BO41" s="167"/>
      <c r="BP41" s="167"/>
      <c r="BQ41" s="167"/>
      <c r="BR41" s="167"/>
      <c r="BS41" s="167"/>
    </row>
    <row r="42" spans="2:71" ht="15.75">
      <c r="B42" s="163" t="s">
        <v>383</v>
      </c>
      <c r="C42" s="167"/>
      <c r="D42" s="172" t="s">
        <v>382</v>
      </c>
      <c r="E42" s="172"/>
      <c r="F42" s="172"/>
      <c r="G42" s="172"/>
      <c r="H42" s="172"/>
      <c r="I42" s="205" t="s">
        <v>507</v>
      </c>
      <c r="J42" s="205"/>
      <c r="K42" s="234">
        <f>'ATC Attach O ER13-1181'!I182</f>
        <v>20406107.91</v>
      </c>
      <c r="L42" s="159"/>
      <c r="S42" s="159"/>
      <c r="T42" s="212"/>
      <c r="U42" s="177"/>
      <c r="V42" s="197"/>
      <c r="W42" s="196"/>
      <c r="X42" s="176"/>
      <c r="Y42" s="167"/>
      <c r="Z42" s="167"/>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67"/>
      <c r="BP42" s="167"/>
      <c r="BQ42" s="167"/>
      <c r="BR42" s="167"/>
      <c r="BS42" s="167"/>
    </row>
    <row r="43" spans="2:71" ht="15.75">
      <c r="B43" s="163" t="s">
        <v>381</v>
      </c>
      <c r="C43" s="167"/>
      <c r="D43" s="172" t="s">
        <v>380</v>
      </c>
      <c r="E43" s="172"/>
      <c r="F43" s="172"/>
      <c r="G43" s="172"/>
      <c r="H43" s="172"/>
      <c r="I43" s="205" t="s">
        <v>379</v>
      </c>
      <c r="J43" s="205"/>
      <c r="K43" s="161">
        <f>IF(K42=0,0,K42/K18)</f>
        <v>4.6032599934300754E-3</v>
      </c>
      <c r="L43" s="161"/>
      <c r="M43" s="207">
        <f>K43</f>
        <v>4.6032599934300754E-3</v>
      </c>
      <c r="S43" s="159"/>
      <c r="T43" s="158"/>
      <c r="U43" s="177"/>
      <c r="V43" s="211"/>
      <c r="W43" s="196"/>
      <c r="X43" s="176"/>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7"/>
      <c r="BS43" s="167"/>
    </row>
    <row r="44" spans="2:71">
      <c r="B44" s="163"/>
      <c r="C44" s="167"/>
      <c r="D44" s="172"/>
      <c r="E44" s="172"/>
      <c r="F44" s="172"/>
      <c r="G44" s="172"/>
      <c r="H44" s="172"/>
      <c r="I44" s="205"/>
      <c r="J44" s="205"/>
      <c r="K44" s="159"/>
      <c r="L44" s="159"/>
      <c r="M44" s="159"/>
      <c r="S44" s="159"/>
      <c r="W44" s="177"/>
      <c r="X44" s="176"/>
      <c r="Y44" s="167"/>
      <c r="Z44" s="167"/>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7"/>
      <c r="BD44" s="167"/>
      <c r="BE44" s="167"/>
      <c r="BF44" s="167"/>
      <c r="BG44" s="167"/>
      <c r="BH44" s="167"/>
      <c r="BI44" s="167"/>
      <c r="BJ44" s="167"/>
      <c r="BK44" s="167"/>
      <c r="BL44" s="167"/>
      <c r="BM44" s="167"/>
      <c r="BN44" s="167"/>
      <c r="BO44" s="167"/>
      <c r="BP44" s="167"/>
      <c r="BQ44" s="167"/>
      <c r="BR44" s="167"/>
      <c r="BS44" s="167"/>
    </row>
    <row r="45" spans="2:71" ht="15.75">
      <c r="B45" s="204" t="s">
        <v>378</v>
      </c>
      <c r="C45" s="203"/>
      <c r="D45" s="194" t="s">
        <v>432</v>
      </c>
      <c r="E45" s="194"/>
      <c r="F45" s="194"/>
      <c r="G45" s="194"/>
      <c r="H45" s="194"/>
      <c r="I45" s="202" t="s">
        <v>431</v>
      </c>
      <c r="J45" s="202"/>
      <c r="K45" s="200">
        <f>K35+K39+K43</f>
        <v>1.5664448237734638E-2</v>
      </c>
      <c r="L45" s="200"/>
      <c r="M45" s="200">
        <f>M35+M39+M43</f>
        <v>1.5664448237734638E-2</v>
      </c>
      <c r="S45" s="159"/>
      <c r="W45" s="177"/>
      <c r="X45" s="176"/>
      <c r="Y45" s="167"/>
      <c r="Z45" s="167"/>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7"/>
      <c r="BD45" s="167"/>
      <c r="BE45" s="167"/>
      <c r="BF45" s="167"/>
      <c r="BG45" s="167"/>
      <c r="BH45" s="167"/>
      <c r="BI45" s="167"/>
      <c r="BJ45" s="167"/>
      <c r="BK45" s="167"/>
      <c r="BL45" s="167"/>
      <c r="BM45" s="167"/>
      <c r="BN45" s="167"/>
      <c r="BO45" s="167"/>
      <c r="BP45" s="167"/>
      <c r="BQ45" s="167"/>
      <c r="BR45" s="167"/>
      <c r="BS45" s="167"/>
    </row>
    <row r="46" spans="2:71">
      <c r="B46" s="163"/>
      <c r="C46" s="167"/>
      <c r="D46" s="172"/>
      <c r="E46" s="172"/>
      <c r="F46" s="172"/>
      <c r="G46" s="172"/>
      <c r="H46" s="172"/>
      <c r="I46" s="205"/>
      <c r="J46" s="205"/>
      <c r="K46" s="159"/>
      <c r="L46" s="159"/>
      <c r="M46" s="159"/>
      <c r="S46" s="159"/>
      <c r="T46" s="159"/>
      <c r="U46" s="177"/>
      <c r="V46" s="210"/>
      <c r="W46" s="177"/>
      <c r="X46" s="176"/>
      <c r="Y46" s="167"/>
      <c r="Z46" s="167"/>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7"/>
      <c r="BD46" s="167"/>
      <c r="BE46" s="167"/>
      <c r="BF46" s="167"/>
      <c r="BG46" s="167"/>
      <c r="BH46" s="167"/>
      <c r="BI46" s="167"/>
      <c r="BJ46" s="167"/>
      <c r="BK46" s="167"/>
      <c r="BL46" s="167"/>
      <c r="BM46" s="167"/>
      <c r="BN46" s="167"/>
      <c r="BO46" s="167"/>
      <c r="BP46" s="167"/>
      <c r="BQ46" s="167"/>
      <c r="BR46" s="167"/>
      <c r="BS46" s="167"/>
    </row>
    <row r="47" spans="2:71">
      <c r="B47" s="163"/>
      <c r="C47" s="167"/>
      <c r="D47" s="159" t="s">
        <v>376</v>
      </c>
      <c r="E47" s="159"/>
      <c r="F47" s="159"/>
      <c r="G47" s="159"/>
      <c r="H47" s="159"/>
      <c r="I47" s="205"/>
      <c r="J47" s="205"/>
      <c r="K47" s="159"/>
      <c r="L47" s="159"/>
      <c r="M47" s="159"/>
      <c r="S47" s="209"/>
      <c r="T47" s="173"/>
      <c r="W47" s="196"/>
      <c r="X47" s="177" t="s">
        <v>68</v>
      </c>
      <c r="Y47" s="167"/>
      <c r="Z47" s="167"/>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7"/>
      <c r="BD47" s="167"/>
      <c r="BE47" s="167"/>
      <c r="BF47" s="167"/>
      <c r="BG47" s="167"/>
      <c r="BH47" s="167"/>
      <c r="BI47" s="167"/>
      <c r="BJ47" s="167"/>
      <c r="BK47" s="167"/>
      <c r="BL47" s="167"/>
      <c r="BM47" s="167"/>
      <c r="BN47" s="167"/>
      <c r="BO47" s="167"/>
      <c r="BP47" s="167"/>
      <c r="BQ47" s="167"/>
      <c r="BR47" s="167"/>
      <c r="BS47" s="167"/>
    </row>
    <row r="48" spans="2:71">
      <c r="B48" s="163" t="s">
        <v>375</v>
      </c>
      <c r="C48" s="167"/>
      <c r="D48" s="159" t="s">
        <v>13</v>
      </c>
      <c r="E48" s="159"/>
      <c r="F48" s="159"/>
      <c r="G48" s="159"/>
      <c r="H48" s="159"/>
      <c r="I48" s="205" t="s">
        <v>506</v>
      </c>
      <c r="J48" s="205"/>
      <c r="K48" s="234">
        <f>'ATC Attach O ER13-1181'!I197</f>
        <v>103489195.10818884</v>
      </c>
      <c r="L48" s="159"/>
      <c r="M48" s="159"/>
      <c r="S48" s="209"/>
      <c r="T48" s="173"/>
      <c r="W48" s="196"/>
      <c r="X48" s="177"/>
      <c r="Y48" s="167"/>
      <c r="Z48" s="167"/>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7"/>
      <c r="BD48" s="167"/>
      <c r="BE48" s="167"/>
      <c r="BF48" s="167"/>
      <c r="BG48" s="167"/>
      <c r="BH48" s="167"/>
      <c r="BI48" s="167"/>
      <c r="BJ48" s="167"/>
      <c r="BK48" s="167"/>
      <c r="BL48" s="167"/>
      <c r="BM48" s="167"/>
      <c r="BN48" s="167"/>
      <c r="BO48" s="167"/>
      <c r="BP48" s="167"/>
      <c r="BQ48" s="167"/>
      <c r="BR48" s="167"/>
      <c r="BS48" s="167"/>
    </row>
    <row r="49" spans="2:71">
      <c r="B49" s="163" t="s">
        <v>374</v>
      </c>
      <c r="C49" s="167"/>
      <c r="D49" s="159" t="s">
        <v>373</v>
      </c>
      <c r="E49" s="159"/>
      <c r="F49" s="159"/>
      <c r="G49" s="159"/>
      <c r="H49" s="159"/>
      <c r="I49" s="205" t="s">
        <v>372</v>
      </c>
      <c r="J49" s="205"/>
      <c r="K49" s="161">
        <f>IF(K48=0,0,K48/K20)</f>
        <v>3.0856614597765734E-2</v>
      </c>
      <c r="L49" s="161"/>
      <c r="M49" s="207">
        <f>K49</f>
        <v>3.0856614597765734E-2</v>
      </c>
      <c r="S49" s="209"/>
      <c r="T49" s="173"/>
      <c r="U49" s="177"/>
      <c r="V49" s="177"/>
      <c r="W49" s="196"/>
      <c r="X49" s="177"/>
      <c r="Y49" s="167"/>
      <c r="Z49" s="167"/>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7"/>
      <c r="BR49" s="167"/>
      <c r="BS49" s="167"/>
    </row>
    <row r="50" spans="2:71">
      <c r="B50" s="163"/>
      <c r="C50" s="167"/>
      <c r="D50" s="159"/>
      <c r="E50" s="159"/>
      <c r="F50" s="159"/>
      <c r="G50" s="159"/>
      <c r="H50" s="159"/>
      <c r="I50" s="205"/>
      <c r="J50" s="205"/>
      <c r="K50" s="159"/>
      <c r="L50" s="159"/>
      <c r="M50" s="159"/>
      <c r="S50" s="159"/>
      <c r="U50" s="178"/>
      <c r="V50" s="177"/>
      <c r="W50" s="178"/>
      <c r="X50" s="176"/>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7"/>
      <c r="BR50" s="167"/>
      <c r="BS50" s="167"/>
    </row>
    <row r="51" spans="2:71">
      <c r="B51" s="163"/>
      <c r="C51" s="167"/>
      <c r="D51" s="172" t="s">
        <v>190</v>
      </c>
      <c r="E51" s="172"/>
      <c r="F51" s="172"/>
      <c r="G51" s="172"/>
      <c r="H51" s="172"/>
      <c r="I51" s="199"/>
      <c r="J51" s="199"/>
      <c r="S51" s="159"/>
      <c r="U51" s="177"/>
      <c r="V51" s="177"/>
      <c r="W51" s="177"/>
      <c r="X51" s="176"/>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7"/>
      <c r="BR51" s="167"/>
      <c r="BS51" s="167"/>
    </row>
    <row r="52" spans="2:71">
      <c r="B52" s="163" t="s">
        <v>371</v>
      </c>
      <c r="C52" s="167"/>
      <c r="D52" s="172" t="s">
        <v>370</v>
      </c>
      <c r="E52" s="172"/>
      <c r="F52" s="172"/>
      <c r="G52" s="172"/>
      <c r="H52" s="172"/>
      <c r="I52" s="205" t="s">
        <v>505</v>
      </c>
      <c r="J52" s="205"/>
      <c r="K52" s="234">
        <f>'ATC Attach O ER13-1181'!I199</f>
        <v>246303484.88554946</v>
      </c>
      <c r="L52" s="159"/>
      <c r="M52" s="159"/>
      <c r="S52" s="159"/>
      <c r="U52" s="177"/>
      <c r="V52" s="177"/>
      <c r="W52" s="177"/>
      <c r="X52" s="176"/>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7"/>
      <c r="BR52" s="167"/>
      <c r="BS52" s="167"/>
    </row>
    <row r="53" spans="2:71">
      <c r="B53" s="163" t="s">
        <v>369</v>
      </c>
      <c r="C53" s="167"/>
      <c r="D53" s="159" t="s">
        <v>368</v>
      </c>
      <c r="E53" s="159"/>
      <c r="F53" s="159"/>
      <c r="G53" s="159"/>
      <c r="H53" s="159"/>
      <c r="I53" s="205" t="s">
        <v>367</v>
      </c>
      <c r="J53" s="205"/>
      <c r="K53" s="175">
        <f>IF(K52=0,0,K52/K20)</f>
        <v>7.3438504369995244E-2</v>
      </c>
      <c r="L53" s="175"/>
      <c r="M53" s="207">
        <f>K53</f>
        <v>7.3438504369995244E-2</v>
      </c>
      <c r="S53" s="159"/>
      <c r="V53" s="206"/>
      <c r="W53" s="196"/>
      <c r="X53" s="17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7"/>
      <c r="BR53" s="167"/>
      <c r="BS53" s="167"/>
    </row>
    <row r="54" spans="2:71">
      <c r="B54" s="163"/>
      <c r="C54" s="167"/>
      <c r="D54" s="172"/>
      <c r="E54" s="172"/>
      <c r="F54" s="172"/>
      <c r="G54" s="172"/>
      <c r="H54" s="172"/>
      <c r="I54" s="205"/>
      <c r="J54" s="205"/>
      <c r="K54" s="159"/>
      <c r="L54" s="159"/>
      <c r="M54" s="159"/>
      <c r="S54" s="159"/>
      <c r="T54" s="199"/>
      <c r="U54" s="177"/>
      <c r="V54" s="177"/>
      <c r="W54" s="177"/>
      <c r="X54" s="176"/>
      <c r="Y54" s="167"/>
      <c r="Z54" s="167"/>
      <c r="AA54" s="167"/>
      <c r="AB54" s="167"/>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7"/>
      <c r="BR54" s="167"/>
      <c r="BS54" s="167"/>
    </row>
    <row r="55" spans="2:71" ht="15.75">
      <c r="B55" s="204" t="s">
        <v>366</v>
      </c>
      <c r="C55" s="203"/>
      <c r="D55" s="194" t="s">
        <v>9</v>
      </c>
      <c r="E55" s="194"/>
      <c r="F55" s="194"/>
      <c r="G55" s="194"/>
      <c r="H55" s="194"/>
      <c r="I55" s="202" t="s">
        <v>365</v>
      </c>
      <c r="J55" s="202"/>
      <c r="K55" s="200">
        <f>K49+K53</f>
        <v>0.10429511896776097</v>
      </c>
      <c r="L55" s="201"/>
      <c r="M55" s="200">
        <f>M49+M53</f>
        <v>0.10429511896776097</v>
      </c>
      <c r="S55" s="159"/>
      <c r="T55" s="199"/>
      <c r="U55" s="177"/>
      <c r="V55" s="177"/>
      <c r="W55" s="177"/>
      <c r="X55" s="176"/>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c r="BE55" s="167"/>
      <c r="BF55" s="167"/>
      <c r="BG55" s="167"/>
      <c r="BH55" s="167"/>
      <c r="BI55" s="167"/>
      <c r="BJ55" s="167"/>
      <c r="BK55" s="167"/>
      <c r="BL55" s="167"/>
      <c r="BM55" s="167"/>
      <c r="BN55" s="167"/>
      <c r="BO55" s="167"/>
      <c r="BP55" s="167"/>
      <c r="BQ55" s="167"/>
      <c r="BR55" s="167"/>
      <c r="BS55" s="167"/>
    </row>
    <row r="56" spans="2:71">
      <c r="B56" s="167"/>
      <c r="C56" s="167"/>
      <c r="D56" s="167"/>
      <c r="E56" s="167"/>
      <c r="F56" s="167"/>
      <c r="G56" s="167"/>
      <c r="H56" s="167"/>
      <c r="I56" s="167"/>
      <c r="J56" s="167"/>
      <c r="S56" s="198"/>
      <c r="T56" s="198"/>
      <c r="U56" s="177"/>
      <c r="V56" s="177"/>
      <c r="W56" s="177"/>
      <c r="X56" s="176"/>
      <c r="Y56" s="167"/>
      <c r="Z56" s="167"/>
      <c r="AA56" s="167"/>
      <c r="AB56" s="167"/>
      <c r="AC56" s="167"/>
      <c r="AD56" s="167"/>
      <c r="AE56" s="167"/>
      <c r="AF56" s="167"/>
      <c r="AG56" s="167"/>
      <c r="AH56" s="167"/>
      <c r="AI56" s="167"/>
      <c r="AJ56" s="167"/>
      <c r="AK56" s="167"/>
      <c r="AL56" s="167"/>
      <c r="AM56" s="167"/>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7"/>
      <c r="BR56" s="167"/>
      <c r="BS56" s="167"/>
    </row>
    <row r="57" spans="2:71">
      <c r="B57" s="391"/>
      <c r="C57" s="167"/>
      <c r="D57" s="160"/>
      <c r="E57" s="160"/>
      <c r="F57" s="160"/>
      <c r="G57" s="160"/>
      <c r="H57" s="160"/>
      <c r="I57" s="160"/>
      <c r="J57" s="160"/>
      <c r="K57" s="159"/>
      <c r="L57" s="159"/>
      <c r="M57" s="160"/>
      <c r="N57" s="160"/>
      <c r="O57" s="160"/>
      <c r="P57" s="160"/>
      <c r="Q57" s="160"/>
      <c r="S57" s="159"/>
      <c r="T57" s="159"/>
      <c r="U57" s="177"/>
      <c r="V57" s="177"/>
      <c r="W57" s="196"/>
      <c r="X57" s="177" t="s">
        <v>68</v>
      </c>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7"/>
      <c r="BR57" s="167"/>
      <c r="BS57" s="167"/>
    </row>
    <row r="58" spans="2:71">
      <c r="T58" s="195"/>
    </row>
    <row r="59" spans="2:71">
      <c r="T59" s="195"/>
    </row>
    <row r="61" spans="2:71">
      <c r="B61" s="193"/>
      <c r="D61" s="160"/>
      <c r="E61" s="160"/>
      <c r="F61" s="160"/>
      <c r="G61" s="160"/>
      <c r="H61" s="160"/>
      <c r="I61" s="160"/>
      <c r="J61" s="160"/>
      <c r="K61" s="159"/>
      <c r="L61" s="159"/>
      <c r="M61" s="160"/>
      <c r="N61" s="160"/>
      <c r="O61" s="160"/>
      <c r="P61" s="160"/>
      <c r="Q61" s="160"/>
      <c r="S61" s="159"/>
      <c r="T61" s="195" t="s">
        <v>494</v>
      </c>
      <c r="U61" s="177"/>
      <c r="V61" s="178"/>
      <c r="W61" s="177"/>
      <c r="X61" s="176"/>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167"/>
      <c r="BD61" s="167"/>
      <c r="BE61" s="167"/>
      <c r="BF61" s="167"/>
      <c r="BG61" s="167"/>
      <c r="BH61" s="167"/>
      <c r="BI61" s="167"/>
      <c r="BJ61" s="167"/>
      <c r="BK61" s="167"/>
      <c r="BL61" s="167"/>
      <c r="BM61" s="167"/>
      <c r="BN61" s="167"/>
      <c r="BO61" s="167"/>
      <c r="BP61" s="167"/>
      <c r="BQ61" s="167"/>
      <c r="BR61" s="167"/>
      <c r="BS61" s="167"/>
    </row>
    <row r="62" spans="2:71">
      <c r="B62" s="193"/>
      <c r="D62" s="172" t="str">
        <f>D5</f>
        <v>Formula Rate calculation</v>
      </c>
      <c r="E62" s="172"/>
      <c r="F62" s="172"/>
      <c r="G62" s="172"/>
      <c r="H62" s="172"/>
      <c r="I62" s="160"/>
      <c r="J62" s="160"/>
      <c r="K62" s="160" t="str">
        <f>K5</f>
        <v xml:space="preserve">     Rate Formula Template</v>
      </c>
      <c r="L62" s="160"/>
      <c r="M62" s="160"/>
      <c r="N62" s="160"/>
      <c r="O62" s="160"/>
      <c r="P62" s="160"/>
      <c r="Q62" s="160"/>
      <c r="S62" s="159"/>
      <c r="T62" s="395" t="str">
        <f>T5</f>
        <v>For  the 12 months ended 12/31/2014</v>
      </c>
      <c r="U62" s="177"/>
      <c r="V62" s="178"/>
      <c r="W62" s="177"/>
      <c r="X62" s="176"/>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7"/>
      <c r="BR62" s="167"/>
      <c r="BS62" s="167"/>
    </row>
    <row r="63" spans="2:71">
      <c r="B63" s="193"/>
      <c r="D63" s="172"/>
      <c r="E63" s="172"/>
      <c r="F63" s="172"/>
      <c r="G63" s="172"/>
      <c r="H63" s="172"/>
      <c r="I63" s="160"/>
      <c r="J63" s="160"/>
      <c r="K63" s="159" t="s">
        <v>504</v>
      </c>
      <c r="L63" s="160"/>
      <c r="M63" s="160"/>
      <c r="N63" s="160"/>
      <c r="O63" s="160"/>
      <c r="P63" s="160"/>
      <c r="Q63" s="160"/>
      <c r="R63" s="159"/>
      <c r="S63" s="159"/>
      <c r="U63" s="177"/>
      <c r="V63" s="178"/>
      <c r="W63" s="177"/>
      <c r="X63" s="176"/>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7"/>
      <c r="BR63" s="167"/>
      <c r="BS63" s="167"/>
    </row>
    <row r="64" spans="2:71" ht="14.25" customHeight="1">
      <c r="B64" s="193"/>
      <c r="D64" s="160"/>
      <c r="E64" s="160"/>
      <c r="F64" s="160"/>
      <c r="G64" s="160"/>
      <c r="H64" s="160"/>
      <c r="I64" s="160"/>
      <c r="J64" s="160"/>
      <c r="K64" s="160"/>
      <c r="L64" s="160"/>
      <c r="M64" s="160"/>
      <c r="N64" s="160"/>
      <c r="O64" s="160"/>
      <c r="P64" s="160"/>
      <c r="Q64" s="160"/>
      <c r="S64" s="159"/>
      <c r="T64" s="160" t="s">
        <v>364</v>
      </c>
      <c r="U64" s="177"/>
      <c r="V64" s="178"/>
      <c r="W64" s="177"/>
      <c r="X64" s="176"/>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7"/>
      <c r="BR64" s="167"/>
      <c r="BS64" s="167"/>
    </row>
    <row r="65" spans="1:71">
      <c r="B65" s="193"/>
      <c r="I65" s="160"/>
      <c r="J65" s="160"/>
      <c r="K65" s="160" t="str">
        <f>K8</f>
        <v>American Transmission Company LLC</v>
      </c>
      <c r="L65" s="160"/>
      <c r="M65" s="160"/>
      <c r="N65" s="160"/>
      <c r="O65" s="160"/>
      <c r="P65" s="160"/>
      <c r="Q65" s="160"/>
      <c r="R65" s="160"/>
      <c r="S65" s="159"/>
      <c r="T65" s="159"/>
      <c r="U65" s="177"/>
      <c r="V65" s="178"/>
      <c r="W65" s="177"/>
      <c r="X65" s="176"/>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7"/>
      <c r="BR65" s="167"/>
      <c r="BS65" s="167"/>
    </row>
    <row r="66" spans="1:71">
      <c r="B66" s="193"/>
      <c r="I66" s="172"/>
      <c r="J66" s="172"/>
      <c r="K66" s="172"/>
      <c r="L66" s="172"/>
      <c r="M66" s="172"/>
      <c r="N66" s="172"/>
      <c r="O66" s="172"/>
      <c r="P66" s="172"/>
      <c r="Q66" s="172"/>
      <c r="R66" s="172"/>
      <c r="S66" s="172"/>
      <c r="T66" s="172"/>
      <c r="U66" s="177"/>
      <c r="V66" s="178"/>
      <c r="W66" s="177"/>
      <c r="X66" s="176"/>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7"/>
      <c r="BR66" s="167"/>
      <c r="BS66" s="167"/>
    </row>
    <row r="67" spans="1:71" ht="15.75">
      <c r="B67" s="193"/>
      <c r="D67" s="160"/>
      <c r="E67" s="160"/>
      <c r="F67" s="160"/>
      <c r="G67" s="160"/>
      <c r="H67" s="160"/>
      <c r="I67" s="194" t="s">
        <v>402</v>
      </c>
      <c r="J67" s="194"/>
      <c r="M67" s="181"/>
      <c r="N67" s="181"/>
      <c r="O67" s="181"/>
      <c r="P67" s="181"/>
      <c r="Q67" s="181"/>
      <c r="R67" s="181"/>
      <c r="S67" s="159"/>
      <c r="T67" s="159"/>
      <c r="U67" s="177"/>
      <c r="V67" s="178"/>
      <c r="W67" s="177"/>
      <c r="X67" s="176"/>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67"/>
      <c r="BL67" s="167"/>
      <c r="BM67" s="167"/>
      <c r="BN67" s="167"/>
      <c r="BO67" s="167"/>
      <c r="BP67" s="167"/>
      <c r="BQ67" s="167"/>
      <c r="BR67" s="167"/>
      <c r="BS67" s="167"/>
    </row>
    <row r="68" spans="1:71" ht="15.75">
      <c r="B68" s="193"/>
      <c r="D68" s="160"/>
      <c r="E68" s="160"/>
      <c r="F68" s="160"/>
      <c r="G68" s="160"/>
      <c r="H68" s="160"/>
      <c r="I68" s="194"/>
      <c r="J68" s="194"/>
      <c r="M68" s="181"/>
      <c r="N68" s="181"/>
      <c r="O68" s="181"/>
      <c r="P68" s="181"/>
      <c r="Q68" s="181"/>
      <c r="R68" s="181"/>
      <c r="S68" s="159"/>
      <c r="T68" s="159"/>
      <c r="U68" s="177"/>
      <c r="V68" s="178"/>
      <c r="W68" s="177"/>
      <c r="X68" s="176"/>
      <c r="Y68" s="167"/>
      <c r="Z68" s="167"/>
      <c r="AA68" s="167"/>
      <c r="AB68" s="167"/>
      <c r="AC68" s="167"/>
      <c r="AD68" s="167"/>
      <c r="AE68" s="167"/>
      <c r="AF68" s="167"/>
      <c r="AG68" s="167"/>
      <c r="AH68" s="167"/>
      <c r="AI68" s="167"/>
      <c r="AJ68" s="167"/>
      <c r="AK68" s="167"/>
      <c r="AL68" s="167"/>
      <c r="AM68" s="167"/>
      <c r="AN68" s="167"/>
      <c r="AO68" s="167"/>
      <c r="AP68" s="167"/>
      <c r="AQ68" s="167"/>
      <c r="AR68" s="167"/>
      <c r="AS68" s="167"/>
      <c r="AT68" s="167"/>
      <c r="AU68" s="167"/>
      <c r="AV68" s="167"/>
      <c r="AW68" s="167"/>
      <c r="AX68" s="167"/>
      <c r="AY68" s="167"/>
      <c r="AZ68" s="167"/>
      <c r="BA68" s="167"/>
      <c r="BB68" s="167"/>
      <c r="BC68" s="167"/>
      <c r="BD68" s="167"/>
      <c r="BE68" s="167"/>
      <c r="BF68" s="167"/>
      <c r="BG68" s="167"/>
      <c r="BH68" s="167"/>
      <c r="BI68" s="167"/>
      <c r="BJ68" s="167"/>
      <c r="BK68" s="167"/>
      <c r="BL68" s="167"/>
      <c r="BM68" s="167"/>
      <c r="BN68" s="167"/>
      <c r="BO68" s="167"/>
      <c r="BP68" s="167"/>
      <c r="BQ68" s="167"/>
      <c r="BR68" s="167"/>
      <c r="BS68" s="167"/>
    </row>
    <row r="69" spans="1:71" ht="15.75">
      <c r="B69" s="233"/>
      <c r="D69" s="232" t="s">
        <v>246</v>
      </c>
      <c r="E69" s="232" t="s">
        <v>245</v>
      </c>
      <c r="F69" s="232" t="s">
        <v>244</v>
      </c>
      <c r="G69" s="232" t="s">
        <v>243</v>
      </c>
      <c r="H69" s="232" t="s">
        <v>242</v>
      </c>
      <c r="I69" s="232" t="s">
        <v>430</v>
      </c>
      <c r="J69" s="232" t="s">
        <v>429</v>
      </c>
      <c r="K69" s="232" t="s">
        <v>428</v>
      </c>
      <c r="L69" s="232" t="s">
        <v>427</v>
      </c>
      <c r="M69" s="232" t="s">
        <v>426</v>
      </c>
      <c r="N69" s="232" t="s">
        <v>425</v>
      </c>
      <c r="O69" s="232" t="s">
        <v>424</v>
      </c>
      <c r="P69" s="232" t="s">
        <v>423</v>
      </c>
      <c r="Q69" s="232" t="s">
        <v>493</v>
      </c>
      <c r="R69" s="232" t="s">
        <v>422</v>
      </c>
      <c r="S69" s="232" t="s">
        <v>421</v>
      </c>
      <c r="T69" s="232" t="s">
        <v>420</v>
      </c>
      <c r="U69" s="177"/>
      <c r="V69" s="178"/>
      <c r="W69" s="177"/>
      <c r="X69" s="176"/>
      <c r="Y69" s="167"/>
      <c r="Z69" s="167"/>
      <c r="AA69" s="167"/>
      <c r="AB69" s="167"/>
      <c r="AC69" s="167"/>
      <c r="AD69" s="167"/>
      <c r="AE69" s="167"/>
      <c r="AF69" s="167"/>
      <c r="AG69" s="167"/>
      <c r="AH69" s="167"/>
      <c r="AI69" s="167"/>
      <c r="AJ69" s="167"/>
      <c r="AK69" s="167"/>
      <c r="AL69" s="167"/>
      <c r="AM69" s="167"/>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7"/>
      <c r="BR69" s="167"/>
      <c r="BS69" s="167"/>
    </row>
    <row r="70" spans="1:71" ht="65.25" customHeight="1">
      <c r="B70" s="192" t="s">
        <v>362</v>
      </c>
      <c r="C70" s="191"/>
      <c r="D70" s="190" t="s">
        <v>361</v>
      </c>
      <c r="E70" s="190" t="s">
        <v>360</v>
      </c>
      <c r="F70" s="190" t="s">
        <v>419</v>
      </c>
      <c r="G70" s="190" t="s">
        <v>418</v>
      </c>
      <c r="H70" s="190" t="s">
        <v>417</v>
      </c>
      <c r="I70" s="188" t="s">
        <v>416</v>
      </c>
      <c r="J70" s="188" t="s">
        <v>415</v>
      </c>
      <c r="K70" s="231" t="s">
        <v>414</v>
      </c>
      <c r="L70" s="189" t="s">
        <v>358</v>
      </c>
      <c r="M70" s="188" t="s">
        <v>357</v>
      </c>
      <c r="N70" s="188" t="s">
        <v>9</v>
      </c>
      <c r="O70" s="189" t="s">
        <v>356</v>
      </c>
      <c r="P70" s="188" t="s">
        <v>2</v>
      </c>
      <c r="Q70" s="188" t="s">
        <v>492</v>
      </c>
      <c r="R70" s="186" t="s">
        <v>355</v>
      </c>
      <c r="S70" s="187" t="s">
        <v>354</v>
      </c>
      <c r="T70" s="186" t="s">
        <v>401</v>
      </c>
      <c r="U70" s="185"/>
      <c r="V70" s="178"/>
      <c r="W70" s="177"/>
      <c r="X70" s="176"/>
      <c r="Y70" s="167"/>
      <c r="Z70" s="167"/>
      <c r="AA70" s="167"/>
      <c r="AB70" s="167"/>
      <c r="AC70" s="167"/>
      <c r="AD70" s="167"/>
      <c r="AE70" s="167"/>
      <c r="AF70" s="167"/>
      <c r="AG70" s="167"/>
      <c r="AH70" s="167"/>
      <c r="AI70" s="167"/>
      <c r="AJ70" s="167"/>
      <c r="AK70" s="167"/>
      <c r="AL70" s="167"/>
      <c r="AM70" s="167"/>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7"/>
      <c r="BR70" s="167"/>
      <c r="BS70" s="167"/>
    </row>
    <row r="71" spans="1:71" ht="46.5" customHeight="1">
      <c r="B71" s="184"/>
      <c r="C71" s="183"/>
      <c r="D71" s="183"/>
      <c r="E71" s="183"/>
      <c r="F71" s="230" t="s">
        <v>319</v>
      </c>
      <c r="G71" s="183"/>
      <c r="H71" s="299" t="s">
        <v>413</v>
      </c>
      <c r="I71" s="300" t="s">
        <v>412</v>
      </c>
      <c r="J71" s="301" t="s">
        <v>411</v>
      </c>
      <c r="K71" s="300" t="s">
        <v>410</v>
      </c>
      <c r="L71" s="302" t="s">
        <v>409</v>
      </c>
      <c r="M71" s="300" t="s">
        <v>408</v>
      </c>
      <c r="N71" s="301" t="s">
        <v>350</v>
      </c>
      <c r="O71" s="303" t="s">
        <v>407</v>
      </c>
      <c r="P71" s="301" t="s">
        <v>295</v>
      </c>
      <c r="Q71" s="301" t="s">
        <v>491</v>
      </c>
      <c r="R71" s="303" t="s">
        <v>521</v>
      </c>
      <c r="S71" s="304" t="s">
        <v>348</v>
      </c>
      <c r="T71" s="305" t="s">
        <v>406</v>
      </c>
      <c r="U71" s="177"/>
      <c r="V71" s="178"/>
      <c r="W71" s="177"/>
      <c r="X71" s="176"/>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7"/>
      <c r="BR71" s="167"/>
      <c r="BS71" s="167"/>
    </row>
    <row r="72" spans="1:71">
      <c r="B72" s="182" t="s">
        <v>400</v>
      </c>
      <c r="C72" s="181"/>
      <c r="D72" s="181"/>
      <c r="E72" s="181"/>
      <c r="F72" s="181"/>
      <c r="G72" s="181"/>
      <c r="H72" s="181"/>
      <c r="I72" s="181"/>
      <c r="J72" s="181"/>
      <c r="K72" s="181"/>
      <c r="L72" s="180"/>
      <c r="M72" s="181"/>
      <c r="N72" s="181"/>
      <c r="O72" s="180"/>
      <c r="P72" s="181"/>
      <c r="Q72" s="181"/>
      <c r="R72" s="180"/>
      <c r="S72" s="159"/>
      <c r="T72" s="179"/>
      <c r="U72" s="177"/>
      <c r="V72" s="178"/>
      <c r="W72" s="177"/>
      <c r="X72" s="176"/>
      <c r="Y72" s="167"/>
      <c r="Z72" s="167"/>
      <c r="AA72" s="167"/>
      <c r="AB72" s="167"/>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7"/>
      <c r="BR72" s="167"/>
      <c r="BS72" s="167"/>
    </row>
    <row r="73" spans="1:71" s="167" customFormat="1">
      <c r="A73" s="404"/>
      <c r="B73" s="386" t="s">
        <v>235</v>
      </c>
      <c r="D73" s="309" t="s">
        <v>717</v>
      </c>
      <c r="E73" s="405">
        <v>2844</v>
      </c>
      <c r="F73" s="310">
        <f>'MM Support Data'!D24</f>
        <v>33376630.756153844</v>
      </c>
      <c r="G73" s="310">
        <f>'MM Support Data'!D40</f>
        <v>412466.11153846118</v>
      </c>
      <c r="H73" s="175">
        <f t="shared" ref="H73:H75" si="0">$M$30</f>
        <v>8.083664375048262E-2</v>
      </c>
      <c r="I73" s="298">
        <f>G73*H73</f>
        <v>33342.376117581414</v>
      </c>
      <c r="J73" s="175">
        <f t="shared" ref="J73:J75" si="1">$M$45</f>
        <v>1.5664448237734638E-2</v>
      </c>
      <c r="K73" s="298">
        <f>F73*J73</f>
        <v>522826.50482975383</v>
      </c>
      <c r="L73" s="229">
        <f t="shared" ref="L73:L75" si="2">I73+K73</f>
        <v>556168.88094733527</v>
      </c>
      <c r="M73" s="310">
        <f>'MM Support Data'!D57</f>
        <v>32964164.644615386</v>
      </c>
      <c r="N73" s="175">
        <f t="shared" ref="N73:N75" si="3">$M$55</f>
        <v>0.10429511896776097</v>
      </c>
      <c r="O73" s="229">
        <f t="shared" ref="O73:O75" si="4">M73*N73</f>
        <v>3438001.4732830217</v>
      </c>
      <c r="P73" s="310">
        <f>'MM Support Data'!D62</f>
        <v>743344.22</v>
      </c>
      <c r="Q73" s="310">
        <f>'MM Support Data'!D67</f>
        <v>0</v>
      </c>
      <c r="R73" s="229">
        <f t="shared" ref="R73:R75" si="5">L73+O73+P73+Q73</f>
        <v>4737514.5742303571</v>
      </c>
      <c r="S73" s="334">
        <f>'Schedule 26A True-up'!AO12</f>
        <v>412048.65038589755</v>
      </c>
      <c r="T73" s="229">
        <f t="shared" ref="T73:T75" si="6">R73+S73</f>
        <v>5149563.2246162547</v>
      </c>
      <c r="V73" s="312"/>
    </row>
    <row r="74" spans="1:71" s="167" customFormat="1">
      <c r="A74" s="404"/>
      <c r="B74" s="386" t="s">
        <v>646</v>
      </c>
      <c r="D74" s="309" t="s">
        <v>718</v>
      </c>
      <c r="E74" s="405">
        <v>3127</v>
      </c>
      <c r="F74" s="310">
        <f>'MM Support Data'!C24</f>
        <v>0</v>
      </c>
      <c r="G74" s="310">
        <f>'MM Support Data'!C40</f>
        <v>0</v>
      </c>
      <c r="H74" s="175">
        <f t="shared" si="0"/>
        <v>8.083664375048262E-2</v>
      </c>
      <c r="I74" s="298">
        <f t="shared" ref="I74:I75" si="7">G74*H74</f>
        <v>0</v>
      </c>
      <c r="J74" s="175">
        <f t="shared" si="1"/>
        <v>1.5664448237734638E-2</v>
      </c>
      <c r="K74" s="298">
        <f t="shared" ref="K74:K75" si="8">F74*J74</f>
        <v>0</v>
      </c>
      <c r="L74" s="229">
        <f t="shared" si="2"/>
        <v>0</v>
      </c>
      <c r="M74" s="310">
        <f>'MM Support Data'!C57</f>
        <v>0</v>
      </c>
      <c r="N74" s="175">
        <f t="shared" si="3"/>
        <v>0.10429511896776097</v>
      </c>
      <c r="O74" s="229">
        <f t="shared" si="4"/>
        <v>0</v>
      </c>
      <c r="P74" s="310">
        <f>'MM Support Data'!C62</f>
        <v>0</v>
      </c>
      <c r="Q74" s="310">
        <f>'MM Support Data'!C67</f>
        <v>4880805.01</v>
      </c>
      <c r="R74" s="229">
        <f t="shared" si="5"/>
        <v>4880805.01</v>
      </c>
      <c r="S74" s="334">
        <f>'Schedule 26A True-up'!AO13</f>
        <v>3973413.9987276574</v>
      </c>
      <c r="T74" s="229">
        <f t="shared" si="6"/>
        <v>8854219.0087276567</v>
      </c>
      <c r="V74" s="312"/>
    </row>
    <row r="75" spans="1:71" s="167" customFormat="1">
      <c r="A75" s="404"/>
      <c r="B75" s="386"/>
      <c r="D75" s="309"/>
      <c r="E75" s="405"/>
      <c r="F75" s="310">
        <f>IF(ISNA(HLOOKUP($E75,'MM Support Data'!$C$8:$N$67,17,FALSE)),0,HLOOKUP($E75,'MM Support Data'!$C$8:$N$67,17,FALSE))</f>
        <v>0</v>
      </c>
      <c r="G75" s="310">
        <v>0</v>
      </c>
      <c r="H75" s="175">
        <f t="shared" si="0"/>
        <v>8.083664375048262E-2</v>
      </c>
      <c r="I75" s="298">
        <f t="shared" si="7"/>
        <v>0</v>
      </c>
      <c r="J75" s="175">
        <f t="shared" si="1"/>
        <v>1.5664448237734638E-2</v>
      </c>
      <c r="K75" s="298">
        <f t="shared" si="8"/>
        <v>0</v>
      </c>
      <c r="L75" s="229">
        <f t="shared" si="2"/>
        <v>0</v>
      </c>
      <c r="M75" s="310">
        <f>IF(ISNA(HLOOKUP($E75,'MM Support Data'!$C$8:$N$67,50,FALSE)),0,HLOOKUP($E75,'MM Support Data'!$C$8:$N$67,50,FALSE))</f>
        <v>0</v>
      </c>
      <c r="N75" s="175">
        <f t="shared" si="3"/>
        <v>0.10429511896776097</v>
      </c>
      <c r="O75" s="229">
        <f t="shared" si="4"/>
        <v>0</v>
      </c>
      <c r="P75" s="310">
        <v>0</v>
      </c>
      <c r="Q75" s="310">
        <v>0</v>
      </c>
      <c r="R75" s="229">
        <f t="shared" si="5"/>
        <v>0</v>
      </c>
      <c r="S75" s="334">
        <v>0</v>
      </c>
      <c r="T75" s="229">
        <f t="shared" si="6"/>
        <v>0</v>
      </c>
      <c r="V75" s="312"/>
    </row>
    <row r="76" spans="1:71" s="167" customFormat="1">
      <c r="A76" s="404"/>
      <c r="B76" s="386"/>
      <c r="D76" s="309" t="s">
        <v>574</v>
      </c>
      <c r="E76" s="405" t="s">
        <v>574</v>
      </c>
      <c r="F76" s="298"/>
      <c r="G76" s="298"/>
      <c r="H76" s="175"/>
      <c r="I76" s="298"/>
      <c r="J76" s="175"/>
      <c r="K76" s="298"/>
      <c r="L76" s="229"/>
      <c r="M76" s="298"/>
      <c r="N76" s="175"/>
      <c r="O76" s="229"/>
      <c r="P76" s="298"/>
      <c r="Q76" s="298"/>
      <c r="R76" s="229"/>
      <c r="S76" s="298"/>
      <c r="T76" s="229"/>
      <c r="V76" s="312"/>
    </row>
    <row r="77" spans="1:71" s="167" customFormat="1">
      <c r="A77" s="404"/>
      <c r="B77" s="386"/>
      <c r="D77" s="309" t="s">
        <v>574</v>
      </c>
      <c r="E77" s="405" t="s">
        <v>574</v>
      </c>
      <c r="F77" s="298"/>
      <c r="G77" s="298"/>
      <c r="H77" s="175"/>
      <c r="I77" s="298"/>
      <c r="J77" s="175"/>
      <c r="K77" s="298"/>
      <c r="L77" s="229"/>
      <c r="M77" s="298"/>
      <c r="N77" s="175"/>
      <c r="O77" s="229"/>
      <c r="P77" s="298"/>
      <c r="Q77" s="298"/>
      <c r="R77" s="229"/>
      <c r="S77" s="298"/>
      <c r="T77" s="229"/>
      <c r="V77" s="312"/>
    </row>
    <row r="78" spans="1:71" s="167" customFormat="1">
      <c r="A78" s="404"/>
      <c r="B78" s="386"/>
      <c r="D78" s="309" t="s">
        <v>574</v>
      </c>
      <c r="E78" s="405" t="s">
        <v>574</v>
      </c>
      <c r="F78" s="298"/>
      <c r="G78" s="298"/>
      <c r="H78" s="175"/>
      <c r="I78" s="298"/>
      <c r="J78" s="175"/>
      <c r="K78" s="298"/>
      <c r="L78" s="229"/>
      <c r="M78" s="298"/>
      <c r="N78" s="175"/>
      <c r="O78" s="229"/>
      <c r="P78" s="298"/>
      <c r="Q78" s="298"/>
      <c r="R78" s="229"/>
      <c r="S78" s="298"/>
      <c r="T78" s="229"/>
      <c r="V78" s="312"/>
    </row>
    <row r="79" spans="1:71" s="167" customFormat="1">
      <c r="A79" s="404"/>
      <c r="B79" s="386"/>
      <c r="D79" s="309" t="s">
        <v>574</v>
      </c>
      <c r="E79" s="405" t="s">
        <v>574</v>
      </c>
      <c r="F79" s="298"/>
      <c r="G79" s="298"/>
      <c r="H79" s="175"/>
      <c r="I79" s="298"/>
      <c r="J79" s="175"/>
      <c r="K79" s="298"/>
      <c r="L79" s="229"/>
      <c r="M79" s="298"/>
      <c r="N79" s="175"/>
      <c r="O79" s="229"/>
      <c r="P79" s="298"/>
      <c r="Q79" s="298"/>
      <c r="R79" s="229"/>
      <c r="S79" s="298"/>
      <c r="T79" s="229"/>
      <c r="V79" s="312"/>
    </row>
    <row r="80" spans="1:71" s="167" customFormat="1">
      <c r="A80" s="404"/>
      <c r="B80" s="386"/>
      <c r="D80" s="309" t="s">
        <v>574</v>
      </c>
      <c r="E80" s="405" t="s">
        <v>574</v>
      </c>
      <c r="F80" s="298"/>
      <c r="G80" s="298"/>
      <c r="H80" s="175"/>
      <c r="I80" s="298"/>
      <c r="J80" s="175"/>
      <c r="K80" s="298"/>
      <c r="L80" s="229"/>
      <c r="M80" s="298"/>
      <c r="N80" s="175"/>
      <c r="O80" s="229"/>
      <c r="P80" s="298"/>
      <c r="Q80" s="298"/>
      <c r="R80" s="229"/>
      <c r="S80" s="298"/>
      <c r="T80" s="229"/>
      <c r="V80" s="312"/>
    </row>
    <row r="81" spans="1:22" s="167" customFormat="1">
      <c r="A81" s="404"/>
      <c r="B81" s="386"/>
      <c r="D81" s="309" t="s">
        <v>574</v>
      </c>
      <c r="E81" s="405" t="s">
        <v>574</v>
      </c>
      <c r="F81" s="298"/>
      <c r="G81" s="298"/>
      <c r="H81" s="175"/>
      <c r="I81" s="298"/>
      <c r="J81" s="175"/>
      <c r="K81" s="298"/>
      <c r="L81" s="229"/>
      <c r="M81" s="298"/>
      <c r="N81" s="175"/>
      <c r="O81" s="229"/>
      <c r="P81" s="298"/>
      <c r="Q81" s="298"/>
      <c r="R81" s="229"/>
      <c r="S81" s="298"/>
      <c r="T81" s="229"/>
      <c r="V81" s="312"/>
    </row>
    <row r="82" spans="1:22" s="167" customFormat="1">
      <c r="A82" s="404"/>
      <c r="B82" s="386"/>
      <c r="D82" s="309" t="s">
        <v>574</v>
      </c>
      <c r="E82" s="405" t="s">
        <v>574</v>
      </c>
      <c r="F82" s="298"/>
      <c r="G82" s="298"/>
      <c r="H82" s="175"/>
      <c r="I82" s="298"/>
      <c r="J82" s="175"/>
      <c r="K82" s="298"/>
      <c r="L82" s="229"/>
      <c r="M82" s="298"/>
      <c r="N82" s="175"/>
      <c r="O82" s="229"/>
      <c r="P82" s="298"/>
      <c r="Q82" s="298"/>
      <c r="R82" s="229"/>
      <c r="S82" s="298"/>
      <c r="T82" s="229"/>
      <c r="V82" s="312"/>
    </row>
    <row r="83" spans="1:22" s="167" customFormat="1">
      <c r="A83" s="404"/>
      <c r="B83" s="386"/>
      <c r="D83" s="309" t="s">
        <v>574</v>
      </c>
      <c r="E83" s="405" t="s">
        <v>574</v>
      </c>
      <c r="F83" s="298"/>
      <c r="G83" s="298"/>
      <c r="H83" s="175"/>
      <c r="I83" s="298"/>
      <c r="J83" s="175"/>
      <c r="K83" s="298"/>
      <c r="L83" s="229"/>
      <c r="M83" s="298"/>
      <c r="N83" s="175"/>
      <c r="O83" s="229"/>
      <c r="P83" s="298"/>
      <c r="Q83" s="298"/>
      <c r="R83" s="229"/>
      <c r="S83" s="298"/>
      <c r="T83" s="229"/>
      <c r="V83" s="312"/>
    </row>
    <row r="84" spans="1:22" s="167" customFormat="1">
      <c r="A84" s="404"/>
      <c r="B84" s="386"/>
      <c r="D84" s="309" t="s">
        <v>574</v>
      </c>
      <c r="E84" s="405" t="s">
        <v>574</v>
      </c>
      <c r="F84" s="298"/>
      <c r="G84" s="298"/>
      <c r="H84" s="175"/>
      <c r="I84" s="298"/>
      <c r="J84" s="175"/>
      <c r="K84" s="298"/>
      <c r="L84" s="229"/>
      <c r="M84" s="298"/>
      <c r="N84" s="175"/>
      <c r="O84" s="229"/>
      <c r="P84" s="298"/>
      <c r="Q84" s="298"/>
      <c r="R84" s="229"/>
      <c r="S84" s="298"/>
      <c r="T84" s="229"/>
      <c r="V84" s="312"/>
    </row>
    <row r="85" spans="1:22" s="167" customFormat="1">
      <c r="A85" s="404"/>
      <c r="B85" s="386"/>
      <c r="D85" s="309" t="s">
        <v>574</v>
      </c>
      <c r="E85" s="405" t="s">
        <v>574</v>
      </c>
      <c r="F85" s="298"/>
      <c r="G85" s="298"/>
      <c r="H85" s="175"/>
      <c r="I85" s="298"/>
      <c r="J85" s="175"/>
      <c r="K85" s="298"/>
      <c r="L85" s="229"/>
      <c r="M85" s="298"/>
      <c r="N85" s="175"/>
      <c r="O85" s="229"/>
      <c r="P85" s="298"/>
      <c r="Q85" s="298"/>
      <c r="R85" s="229"/>
      <c r="S85" s="298"/>
      <c r="T85" s="229"/>
      <c r="V85" s="312"/>
    </row>
    <row r="86" spans="1:22" s="167" customFormat="1">
      <c r="A86" s="404"/>
      <c r="B86" s="386"/>
      <c r="D86" s="309" t="s">
        <v>574</v>
      </c>
      <c r="E86" s="405" t="s">
        <v>574</v>
      </c>
      <c r="F86" s="298"/>
      <c r="G86" s="298"/>
      <c r="H86" s="175"/>
      <c r="I86" s="298"/>
      <c r="J86" s="175"/>
      <c r="K86" s="298"/>
      <c r="L86" s="229"/>
      <c r="M86" s="298"/>
      <c r="N86" s="175"/>
      <c r="O86" s="229"/>
      <c r="P86" s="298"/>
      <c r="Q86" s="298"/>
      <c r="R86" s="229"/>
      <c r="S86" s="298"/>
      <c r="T86" s="229"/>
      <c r="V86" s="312"/>
    </row>
    <row r="87" spans="1:22" s="167" customFormat="1">
      <c r="A87" s="404"/>
      <c r="B87" s="386"/>
      <c r="D87" s="309" t="s">
        <v>574</v>
      </c>
      <c r="E87" s="405" t="s">
        <v>574</v>
      </c>
      <c r="F87" s="298"/>
      <c r="G87" s="298"/>
      <c r="H87" s="175"/>
      <c r="I87" s="298"/>
      <c r="J87" s="175"/>
      <c r="K87" s="298"/>
      <c r="L87" s="229"/>
      <c r="M87" s="298"/>
      <c r="N87" s="175"/>
      <c r="O87" s="229"/>
      <c r="P87" s="298"/>
      <c r="Q87" s="298"/>
      <c r="R87" s="229"/>
      <c r="S87" s="298"/>
      <c r="T87" s="229"/>
      <c r="V87" s="312"/>
    </row>
    <row r="88" spans="1:22" s="167" customFormat="1">
      <c r="A88" s="404"/>
      <c r="B88" s="386"/>
      <c r="D88" s="309" t="s">
        <v>574</v>
      </c>
      <c r="E88" s="405" t="s">
        <v>574</v>
      </c>
      <c r="F88" s="298"/>
      <c r="G88" s="298"/>
      <c r="H88" s="175"/>
      <c r="I88" s="298"/>
      <c r="J88" s="175"/>
      <c r="K88" s="298"/>
      <c r="L88" s="229"/>
      <c r="M88" s="298"/>
      <c r="N88" s="175"/>
      <c r="O88" s="229"/>
      <c r="P88" s="298"/>
      <c r="Q88" s="298"/>
      <c r="R88" s="229"/>
      <c r="S88" s="298"/>
      <c r="T88" s="229"/>
      <c r="V88" s="312"/>
    </row>
    <row r="89" spans="1:22" s="167" customFormat="1">
      <c r="A89" s="404"/>
      <c r="B89" s="386"/>
      <c r="D89" s="309" t="s">
        <v>574</v>
      </c>
      <c r="E89" s="405" t="s">
        <v>574</v>
      </c>
      <c r="F89" s="298"/>
      <c r="G89" s="298"/>
      <c r="H89" s="175"/>
      <c r="I89" s="298"/>
      <c r="J89" s="175"/>
      <c r="K89" s="298"/>
      <c r="L89" s="229"/>
      <c r="M89" s="298"/>
      <c r="N89" s="175"/>
      <c r="O89" s="229"/>
      <c r="P89" s="298"/>
      <c r="Q89" s="298"/>
      <c r="R89" s="229"/>
      <c r="S89" s="298"/>
      <c r="T89" s="229"/>
      <c r="V89" s="312"/>
    </row>
    <row r="90" spans="1:22" s="167" customFormat="1">
      <c r="A90" s="404"/>
      <c r="B90" s="386"/>
      <c r="D90" s="309" t="s">
        <v>574</v>
      </c>
      <c r="E90" s="405" t="s">
        <v>574</v>
      </c>
      <c r="F90" s="298"/>
      <c r="G90" s="298"/>
      <c r="H90" s="175"/>
      <c r="I90" s="298"/>
      <c r="J90" s="175"/>
      <c r="K90" s="298"/>
      <c r="L90" s="229"/>
      <c r="M90" s="298"/>
      <c r="N90" s="175"/>
      <c r="O90" s="229"/>
      <c r="P90" s="298"/>
      <c r="Q90" s="298"/>
      <c r="R90" s="229"/>
      <c r="S90" s="298"/>
      <c r="T90" s="229"/>
      <c r="V90" s="312"/>
    </row>
    <row r="91" spans="1:22" s="167" customFormat="1">
      <c r="A91" s="404"/>
      <c r="B91" s="386"/>
      <c r="D91" s="309" t="s">
        <v>574</v>
      </c>
      <c r="E91" s="405" t="s">
        <v>574</v>
      </c>
      <c r="F91" s="298"/>
      <c r="G91" s="298"/>
      <c r="H91" s="175"/>
      <c r="I91" s="298"/>
      <c r="J91" s="175"/>
      <c r="K91" s="298"/>
      <c r="L91" s="229"/>
      <c r="M91" s="298"/>
      <c r="N91" s="175"/>
      <c r="O91" s="229"/>
      <c r="P91" s="298"/>
      <c r="Q91" s="298"/>
      <c r="R91" s="229"/>
      <c r="S91" s="298"/>
      <c r="T91" s="229"/>
      <c r="V91" s="312"/>
    </row>
    <row r="92" spans="1:22" s="167" customFormat="1">
      <c r="A92" s="404"/>
      <c r="B92" s="386"/>
      <c r="D92" s="309" t="s">
        <v>574</v>
      </c>
      <c r="E92" s="405" t="s">
        <v>574</v>
      </c>
      <c r="F92" s="298"/>
      <c r="G92" s="298"/>
      <c r="H92" s="175"/>
      <c r="I92" s="298"/>
      <c r="J92" s="175"/>
      <c r="K92" s="298"/>
      <c r="L92" s="229"/>
      <c r="M92" s="298"/>
      <c r="N92" s="175"/>
      <c r="O92" s="229"/>
      <c r="P92" s="298"/>
      <c r="Q92" s="298"/>
      <c r="R92" s="229"/>
      <c r="S92" s="298"/>
      <c r="T92" s="229"/>
      <c r="V92" s="312"/>
    </row>
    <row r="93" spans="1:22" s="167" customFormat="1">
      <c r="A93" s="404"/>
      <c r="B93" s="386"/>
      <c r="D93" s="309" t="s">
        <v>574</v>
      </c>
      <c r="E93" s="405" t="s">
        <v>574</v>
      </c>
      <c r="F93" s="298"/>
      <c r="G93" s="298"/>
      <c r="H93" s="175"/>
      <c r="I93" s="298"/>
      <c r="J93" s="175"/>
      <c r="K93" s="298"/>
      <c r="L93" s="229"/>
      <c r="M93" s="298"/>
      <c r="N93" s="175"/>
      <c r="O93" s="229"/>
      <c r="P93" s="298"/>
      <c r="Q93" s="298"/>
      <c r="R93" s="229"/>
      <c r="S93" s="298"/>
      <c r="T93" s="229"/>
      <c r="V93" s="312"/>
    </row>
    <row r="94" spans="1:22" s="167" customFormat="1">
      <c r="A94" s="404"/>
      <c r="B94" s="386"/>
      <c r="D94" s="309" t="s">
        <v>574</v>
      </c>
      <c r="E94" s="405" t="s">
        <v>574</v>
      </c>
      <c r="F94" s="298"/>
      <c r="G94" s="298"/>
      <c r="H94" s="175"/>
      <c r="I94" s="298"/>
      <c r="J94" s="175"/>
      <c r="K94" s="298"/>
      <c r="L94" s="229"/>
      <c r="M94" s="298"/>
      <c r="N94" s="175"/>
      <c r="O94" s="229"/>
      <c r="P94" s="298"/>
      <c r="Q94" s="298"/>
      <c r="R94" s="229"/>
      <c r="S94" s="298"/>
      <c r="T94" s="229"/>
      <c r="V94" s="312"/>
    </row>
    <row r="95" spans="1:22" s="167" customFormat="1">
      <c r="A95" s="404"/>
      <c r="B95" s="386"/>
      <c r="D95" s="309" t="s">
        <v>574</v>
      </c>
      <c r="E95" s="405" t="s">
        <v>574</v>
      </c>
      <c r="F95" s="298"/>
      <c r="G95" s="298"/>
      <c r="H95" s="175"/>
      <c r="I95" s="298"/>
      <c r="J95" s="175"/>
      <c r="K95" s="298"/>
      <c r="L95" s="229"/>
      <c r="M95" s="298"/>
      <c r="N95" s="175"/>
      <c r="O95" s="229"/>
      <c r="P95" s="298"/>
      <c r="Q95" s="298"/>
      <c r="R95" s="229"/>
      <c r="S95" s="298"/>
      <c r="T95" s="229"/>
      <c r="V95" s="312"/>
    </row>
    <row r="96" spans="1:22" s="167" customFormat="1">
      <c r="A96" s="404"/>
      <c r="B96" s="386"/>
      <c r="D96" s="309" t="s">
        <v>574</v>
      </c>
      <c r="E96" s="405" t="s">
        <v>574</v>
      </c>
      <c r="F96" s="298"/>
      <c r="G96" s="298"/>
      <c r="H96" s="175"/>
      <c r="I96" s="298"/>
      <c r="J96" s="175"/>
      <c r="K96" s="298"/>
      <c r="L96" s="229"/>
      <c r="M96" s="298"/>
      <c r="N96" s="175"/>
      <c r="O96" s="229"/>
      <c r="P96" s="298"/>
      <c r="Q96" s="298"/>
      <c r="R96" s="229"/>
      <c r="S96" s="298"/>
      <c r="T96" s="229"/>
      <c r="V96" s="312"/>
    </row>
    <row r="97" spans="2:27">
      <c r="B97" s="385"/>
      <c r="C97" s="384"/>
      <c r="D97" s="383"/>
      <c r="E97" s="383"/>
      <c r="F97" s="383"/>
      <c r="G97" s="383"/>
      <c r="H97" s="383"/>
      <c r="I97" s="383"/>
      <c r="J97" s="383"/>
      <c r="K97" s="383"/>
      <c r="L97" s="382"/>
      <c r="M97" s="383"/>
      <c r="N97" s="383"/>
      <c r="O97" s="382"/>
      <c r="P97" s="383"/>
      <c r="Q97" s="383"/>
      <c r="R97" s="382"/>
      <c r="S97" s="383"/>
      <c r="T97" s="382"/>
      <c r="U97" s="157"/>
      <c r="V97" s="157"/>
      <c r="W97" s="157"/>
      <c r="X97" s="157"/>
      <c r="Y97" s="157"/>
      <c r="Z97" s="157"/>
      <c r="AA97" s="157"/>
    </row>
    <row r="98" spans="2:27">
      <c r="B98" s="174" t="s">
        <v>347</v>
      </c>
      <c r="C98" s="173"/>
      <c r="D98" s="172" t="s">
        <v>399</v>
      </c>
      <c r="E98" s="172"/>
      <c r="F98" s="172"/>
      <c r="G98" s="172"/>
      <c r="H98" s="172"/>
      <c r="I98" s="162"/>
      <c r="J98" s="162"/>
      <c r="K98" s="159"/>
      <c r="L98" s="159"/>
      <c r="M98" s="159"/>
      <c r="N98" s="159"/>
      <c r="O98" s="159"/>
      <c r="P98" s="159"/>
      <c r="Q98" s="377">
        <f>SUM(Q73:Q97)</f>
        <v>4880805.01</v>
      </c>
      <c r="R98" s="377">
        <f>SUM(R73:R97)</f>
        <v>9618319.5842303559</v>
      </c>
      <c r="S98" s="377">
        <f>SUM(S73:S97)</f>
        <v>4385462.6491135545</v>
      </c>
      <c r="T98" s="377">
        <f>SUM(T73:T97)</f>
        <v>14003782.23334391</v>
      </c>
      <c r="U98" s="157"/>
      <c r="V98" s="157"/>
      <c r="W98" s="157"/>
      <c r="X98" s="157"/>
      <c r="Y98" s="157"/>
      <c r="Z98" s="157"/>
      <c r="AA98" s="157"/>
    </row>
    <row r="99" spans="2:27">
      <c r="B99" s="171"/>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row>
    <row r="100" spans="2:27">
      <c r="B100" s="170">
        <v>3</v>
      </c>
      <c r="C100" s="157"/>
      <c r="D100" s="160" t="s">
        <v>490</v>
      </c>
      <c r="E100" s="160"/>
      <c r="F100" s="160"/>
      <c r="G100" s="160"/>
      <c r="H100" s="157"/>
      <c r="I100" s="157"/>
      <c r="J100" s="157"/>
      <c r="K100" s="157"/>
      <c r="L100" s="157"/>
      <c r="M100" s="157"/>
      <c r="N100" s="157"/>
      <c r="O100" s="157"/>
      <c r="P100" s="157"/>
      <c r="Q100" s="157"/>
      <c r="R100" s="381">
        <f>R98</f>
        <v>9618319.5842303559</v>
      </c>
      <c r="S100" s="157"/>
      <c r="T100" s="157"/>
      <c r="U100" s="157"/>
      <c r="V100" s="157"/>
      <c r="W100" s="157"/>
      <c r="X100" s="157"/>
      <c r="Y100" s="157"/>
      <c r="Z100" s="157"/>
      <c r="AA100" s="157"/>
    </row>
    <row r="101" spans="2:27">
      <c r="B101" s="157"/>
      <c r="C101" s="157"/>
      <c r="D101" s="157"/>
      <c r="E101" s="157"/>
      <c r="F101" s="157"/>
      <c r="G101" s="157"/>
      <c r="H101" s="157"/>
      <c r="I101" s="157"/>
      <c r="J101" s="157"/>
      <c r="K101" s="157"/>
      <c r="L101" s="157"/>
      <c r="M101" s="157"/>
      <c r="N101" s="157"/>
      <c r="O101" s="157"/>
      <c r="P101" s="157"/>
      <c r="Q101" s="157"/>
      <c r="R101" s="157"/>
      <c r="S101" s="157"/>
      <c r="T101" s="773"/>
      <c r="U101" s="157"/>
      <c r="V101" s="157"/>
      <c r="W101" s="157"/>
      <c r="X101" s="157"/>
      <c r="Y101" s="157"/>
      <c r="Z101" s="157"/>
      <c r="AA101" s="157"/>
    </row>
    <row r="102" spans="2:27">
      <c r="B102" s="157"/>
      <c r="C102" s="157"/>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row>
    <row r="103" spans="2:27">
      <c r="B103" s="160" t="s">
        <v>90</v>
      </c>
      <c r="C103" s="157"/>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row>
    <row r="104" spans="2:27" ht="15.75" thickBot="1">
      <c r="B104" s="380" t="s">
        <v>89</v>
      </c>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row>
    <row r="105" spans="2:27" ht="17.100000000000001" customHeight="1">
      <c r="B105" s="169" t="s">
        <v>88</v>
      </c>
      <c r="C105" s="167"/>
      <c r="D105" s="873" t="s">
        <v>503</v>
      </c>
      <c r="E105" s="873"/>
      <c r="F105" s="873"/>
      <c r="G105" s="873"/>
      <c r="H105" s="873"/>
      <c r="I105" s="873"/>
      <c r="J105" s="873"/>
      <c r="K105" s="873"/>
      <c r="L105" s="873"/>
      <c r="M105" s="873"/>
      <c r="N105" s="873"/>
      <c r="O105" s="873"/>
      <c r="P105" s="873"/>
      <c r="Q105" s="873"/>
      <c r="R105" s="873"/>
      <c r="S105" s="873"/>
      <c r="T105" s="873"/>
      <c r="U105" s="157"/>
      <c r="V105" s="157"/>
      <c r="W105" s="157"/>
      <c r="X105" s="157"/>
      <c r="Y105" s="157"/>
      <c r="Z105" s="157"/>
      <c r="AA105" s="157"/>
    </row>
    <row r="106" spans="2:27" ht="17.100000000000001" customHeight="1">
      <c r="B106" s="169"/>
      <c r="C106" s="167"/>
      <c r="D106" s="228"/>
      <c r="E106" s="388"/>
      <c r="F106" s="388"/>
      <c r="G106" s="388"/>
      <c r="H106" s="389"/>
      <c r="I106" s="389"/>
      <c r="J106" s="389"/>
      <c r="K106" s="389"/>
      <c r="L106" s="389"/>
      <c r="M106" s="389"/>
      <c r="N106" s="389"/>
      <c r="O106" s="389"/>
      <c r="P106" s="389"/>
      <c r="Q106" s="389"/>
      <c r="R106" s="389"/>
      <c r="S106" s="389"/>
      <c r="T106" s="389"/>
      <c r="U106" s="157"/>
      <c r="V106" s="157"/>
      <c r="W106" s="157"/>
      <c r="X106" s="157"/>
      <c r="Y106" s="157"/>
      <c r="Z106" s="157"/>
      <c r="AA106" s="157"/>
    </row>
    <row r="107" spans="2:27" ht="17.100000000000001" customHeight="1">
      <c r="B107" s="169" t="s">
        <v>86</v>
      </c>
      <c r="C107" s="167"/>
      <c r="D107" s="873" t="s">
        <v>502</v>
      </c>
      <c r="E107" s="873"/>
      <c r="F107" s="873"/>
      <c r="G107" s="873"/>
      <c r="H107" s="873"/>
      <c r="I107" s="873"/>
      <c r="J107" s="873"/>
      <c r="K107" s="873"/>
      <c r="L107" s="873"/>
      <c r="M107" s="873"/>
      <c r="N107" s="873"/>
      <c r="O107" s="873"/>
      <c r="P107" s="873"/>
      <c r="Q107" s="873"/>
      <c r="R107" s="873"/>
      <c r="S107" s="873"/>
      <c r="T107" s="873"/>
      <c r="U107" s="157"/>
      <c r="V107" s="157"/>
      <c r="W107" s="157"/>
      <c r="X107" s="157"/>
      <c r="Y107" s="157"/>
      <c r="Z107" s="157"/>
      <c r="AA107" s="157"/>
    </row>
    <row r="108" spans="2:27" ht="17.100000000000001" customHeight="1">
      <c r="B108" s="169" t="s">
        <v>84</v>
      </c>
      <c r="C108" s="167"/>
      <c r="D108" s="874" t="s">
        <v>501</v>
      </c>
      <c r="E108" s="874"/>
      <c r="F108" s="874"/>
      <c r="G108" s="874"/>
      <c r="H108" s="874"/>
      <c r="I108" s="874"/>
      <c r="J108" s="874"/>
      <c r="K108" s="874"/>
      <c r="L108" s="874"/>
      <c r="M108" s="874"/>
      <c r="N108" s="874"/>
      <c r="O108" s="874"/>
      <c r="P108" s="874"/>
      <c r="Q108" s="874"/>
      <c r="R108" s="874"/>
      <c r="S108" s="874"/>
      <c r="T108" s="874"/>
      <c r="U108" s="157"/>
      <c r="V108" s="157"/>
      <c r="W108" s="157"/>
      <c r="X108" s="157"/>
      <c r="Y108" s="157"/>
      <c r="Z108" s="157"/>
      <c r="AA108" s="157"/>
    </row>
    <row r="109" spans="2:27" ht="17.100000000000001" customHeight="1">
      <c r="B109" s="169"/>
      <c r="C109" s="167"/>
      <c r="D109" s="227"/>
      <c r="E109" s="387"/>
      <c r="F109" s="387"/>
      <c r="G109" s="387"/>
      <c r="H109" s="387"/>
      <c r="I109" s="387"/>
      <c r="J109" s="387"/>
      <c r="K109" s="387"/>
      <c r="L109" s="387"/>
      <c r="M109" s="387"/>
      <c r="N109" s="387"/>
      <c r="O109" s="387"/>
      <c r="P109" s="387"/>
      <c r="Q109" s="387"/>
      <c r="R109" s="387"/>
      <c r="S109" s="387"/>
      <c r="T109" s="387"/>
      <c r="U109" s="157"/>
      <c r="V109" s="157"/>
      <c r="W109" s="157"/>
      <c r="X109" s="157"/>
      <c r="Y109" s="157"/>
      <c r="Z109" s="157"/>
      <c r="AA109" s="157"/>
    </row>
    <row r="110" spans="2:27" ht="17.100000000000001" customHeight="1">
      <c r="B110" s="169" t="s">
        <v>83</v>
      </c>
      <c r="C110" s="167"/>
      <c r="D110" s="874" t="s">
        <v>405</v>
      </c>
      <c r="E110" s="874"/>
      <c r="F110" s="874"/>
      <c r="G110" s="874"/>
      <c r="H110" s="874"/>
      <c r="I110" s="874"/>
      <c r="J110" s="874"/>
      <c r="K110" s="874"/>
      <c r="L110" s="874"/>
      <c r="M110" s="874"/>
      <c r="N110" s="874"/>
      <c r="O110" s="874"/>
      <c r="P110" s="874"/>
      <c r="Q110" s="874"/>
      <c r="R110" s="874"/>
      <c r="S110" s="874"/>
      <c r="T110" s="874"/>
      <c r="U110" s="157"/>
      <c r="V110" s="157"/>
      <c r="W110" s="157"/>
      <c r="X110" s="157"/>
      <c r="Y110" s="157"/>
      <c r="Z110" s="157"/>
      <c r="AA110" s="157"/>
    </row>
    <row r="111" spans="2:27" ht="17.100000000000001" customHeight="1">
      <c r="B111" s="168" t="s">
        <v>81</v>
      </c>
      <c r="C111" s="167"/>
      <c r="D111" s="875" t="s">
        <v>500</v>
      </c>
      <c r="E111" s="875"/>
      <c r="F111" s="875"/>
      <c r="G111" s="875"/>
      <c r="H111" s="875"/>
      <c r="I111" s="875"/>
      <c r="J111" s="875"/>
      <c r="K111" s="875"/>
      <c r="L111" s="875"/>
      <c r="M111" s="875"/>
      <c r="N111" s="875"/>
      <c r="O111" s="875"/>
      <c r="P111" s="875"/>
      <c r="Q111" s="875"/>
      <c r="R111" s="875"/>
      <c r="S111" s="875"/>
      <c r="T111" s="875"/>
      <c r="U111" s="157"/>
      <c r="V111" s="157"/>
      <c r="W111" s="157"/>
      <c r="X111" s="157"/>
      <c r="Y111" s="157"/>
      <c r="Z111" s="157"/>
      <c r="AA111" s="157"/>
    </row>
    <row r="112" spans="2:27" ht="17.100000000000001" customHeight="1">
      <c r="B112" s="168" t="s">
        <v>79</v>
      </c>
      <c r="C112" s="167"/>
      <c r="D112" s="875" t="s">
        <v>499</v>
      </c>
      <c r="E112" s="875"/>
      <c r="F112" s="875"/>
      <c r="G112" s="875"/>
      <c r="H112" s="875"/>
      <c r="I112" s="875"/>
      <c r="J112" s="875"/>
      <c r="K112" s="875"/>
      <c r="L112" s="875"/>
      <c r="M112" s="875"/>
      <c r="N112" s="875"/>
      <c r="O112" s="875"/>
      <c r="P112" s="875"/>
      <c r="Q112" s="875"/>
      <c r="R112" s="875"/>
      <c r="S112" s="875"/>
      <c r="T112" s="875"/>
      <c r="U112" s="157"/>
      <c r="V112" s="157"/>
      <c r="W112" s="157"/>
      <c r="X112" s="157"/>
      <c r="Y112" s="157"/>
      <c r="Z112" s="157"/>
      <c r="AA112" s="157"/>
    </row>
    <row r="113" spans="2:27" ht="17.100000000000001" customHeight="1">
      <c r="B113" s="168" t="s">
        <v>77</v>
      </c>
      <c r="C113" s="167"/>
      <c r="D113" s="877" t="s">
        <v>404</v>
      </c>
      <c r="E113" s="877"/>
      <c r="F113" s="877"/>
      <c r="G113" s="877"/>
      <c r="H113" s="875"/>
      <c r="I113" s="875"/>
      <c r="J113" s="875"/>
      <c r="K113" s="875"/>
      <c r="L113" s="875"/>
      <c r="M113" s="875"/>
      <c r="N113" s="875"/>
      <c r="O113" s="875"/>
      <c r="P113" s="875"/>
      <c r="Q113" s="875"/>
      <c r="R113" s="875"/>
      <c r="S113" s="875"/>
      <c r="T113" s="875"/>
      <c r="U113" s="157"/>
      <c r="V113" s="157"/>
      <c r="W113" s="157"/>
      <c r="X113" s="157"/>
      <c r="Y113" s="157"/>
      <c r="Z113" s="157"/>
      <c r="AA113" s="157"/>
    </row>
    <row r="114" spans="2:27" ht="17.100000000000001" customHeight="1">
      <c r="B114" s="168" t="s">
        <v>75</v>
      </c>
      <c r="C114" s="167"/>
      <c r="D114" s="875" t="s">
        <v>403</v>
      </c>
      <c r="E114" s="875"/>
      <c r="F114" s="875"/>
      <c r="G114" s="875"/>
      <c r="H114" s="875"/>
      <c r="I114" s="875"/>
      <c r="J114" s="875"/>
      <c r="K114" s="875"/>
      <c r="L114" s="875"/>
      <c r="M114" s="875"/>
      <c r="N114" s="875"/>
      <c r="O114" s="875"/>
      <c r="P114" s="875"/>
      <c r="Q114" s="875"/>
      <c r="R114" s="875"/>
      <c r="S114" s="875"/>
      <c r="T114" s="875"/>
      <c r="U114" s="157"/>
      <c r="V114" s="157"/>
      <c r="W114" s="157"/>
      <c r="X114" s="157"/>
      <c r="Y114" s="157"/>
      <c r="Z114" s="157"/>
      <c r="AA114" s="157"/>
    </row>
    <row r="115" spans="2:27" ht="17.100000000000001" customHeight="1">
      <c r="B115" s="390" t="s">
        <v>73</v>
      </c>
      <c r="C115" s="167"/>
      <c r="D115" s="875" t="s">
        <v>498</v>
      </c>
      <c r="E115" s="875"/>
      <c r="F115" s="875"/>
      <c r="G115" s="875"/>
      <c r="H115" s="875"/>
      <c r="I115" s="875"/>
      <c r="J115" s="875"/>
      <c r="K115" s="875"/>
      <c r="L115" s="875"/>
      <c r="M115" s="875"/>
      <c r="N115" s="875"/>
      <c r="O115" s="875"/>
      <c r="P115" s="875"/>
      <c r="Q115" s="875"/>
      <c r="R115" s="875"/>
      <c r="S115" s="875"/>
      <c r="T115" s="875"/>
      <c r="U115" s="157"/>
      <c r="V115" s="157"/>
      <c r="W115" s="157"/>
      <c r="X115" s="157"/>
      <c r="Y115" s="157"/>
      <c r="Z115" s="157"/>
      <c r="AA115" s="157"/>
    </row>
    <row r="116" spans="2:27" ht="17.100000000000001" customHeight="1">
      <c r="B116" s="168" t="s">
        <v>71</v>
      </c>
      <c r="C116" s="157"/>
      <c r="D116" s="875" t="s">
        <v>497</v>
      </c>
      <c r="E116" s="875"/>
      <c r="F116" s="875"/>
      <c r="G116" s="875"/>
      <c r="H116" s="875"/>
      <c r="I116" s="875"/>
      <c r="J116" s="875"/>
      <c r="K116" s="875"/>
      <c r="L116" s="875"/>
      <c r="M116" s="875"/>
      <c r="N116" s="875"/>
      <c r="O116" s="875"/>
      <c r="P116" s="875"/>
      <c r="Q116" s="875"/>
      <c r="R116" s="875"/>
      <c r="S116" s="875"/>
      <c r="T116" s="875"/>
      <c r="U116" s="157"/>
      <c r="V116" s="157"/>
      <c r="W116" s="157"/>
      <c r="X116" s="157"/>
      <c r="Y116" s="157"/>
      <c r="Z116" s="157"/>
      <c r="AA116" s="157"/>
    </row>
    <row r="117" spans="2:27" ht="17.100000000000001" customHeight="1">
      <c r="B117" s="168"/>
      <c r="C117" s="165"/>
      <c r="D117" s="875"/>
      <c r="E117" s="875"/>
      <c r="F117" s="875"/>
      <c r="G117" s="875"/>
      <c r="H117" s="875"/>
      <c r="I117" s="875"/>
      <c r="J117" s="875"/>
      <c r="K117" s="875"/>
      <c r="L117" s="875"/>
      <c r="M117" s="875"/>
      <c r="N117" s="875"/>
      <c r="O117" s="875"/>
      <c r="P117" s="875"/>
      <c r="Q117" s="875"/>
      <c r="R117" s="875"/>
      <c r="S117" s="875"/>
      <c r="T117" s="875"/>
      <c r="U117" s="157"/>
      <c r="V117" s="157"/>
      <c r="W117" s="157"/>
      <c r="X117" s="157"/>
      <c r="Y117" s="157"/>
      <c r="Z117" s="157"/>
      <c r="AA117" s="157"/>
    </row>
    <row r="118" spans="2:27" ht="15.75">
      <c r="B118" s="166"/>
      <c r="C118" s="165"/>
      <c r="D118" s="164"/>
      <c r="E118" s="164"/>
      <c r="F118" s="164"/>
      <c r="G118" s="164"/>
      <c r="H118" s="163"/>
      <c r="I118" s="162"/>
      <c r="J118" s="162"/>
      <c r="K118" s="159"/>
      <c r="L118" s="159"/>
      <c r="M118" s="160"/>
      <c r="N118" s="160"/>
      <c r="O118" s="161"/>
      <c r="P118" s="160"/>
      <c r="Q118" s="160"/>
      <c r="S118" s="159"/>
      <c r="T118" s="158"/>
      <c r="U118" s="157"/>
      <c r="V118" s="157"/>
      <c r="W118" s="157"/>
      <c r="X118" s="157"/>
      <c r="Y118" s="157"/>
      <c r="Z118" s="157"/>
      <c r="AA118" s="157"/>
    </row>
    <row r="119" spans="2:2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row>
    <row r="120" spans="2:2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row>
    <row r="121" spans="2:2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row>
    <row r="122" spans="2:2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row>
    <row r="123" spans="2:2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row>
    <row r="124" spans="2:2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row>
    <row r="125" spans="2:2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row>
    <row r="126" spans="2:27">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row>
    <row r="127" spans="2:2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row>
    <row r="128" spans="2:2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row>
    <row r="129" spans="4:2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row>
    <row r="130" spans="4:2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row>
    <row r="131" spans="4:2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row>
    <row r="132" spans="4:2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row>
    <row r="133" spans="4:2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row>
    <row r="134" spans="4:27">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c r="AA134" s="157"/>
    </row>
    <row r="135" spans="4:27">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c r="AA135" s="157"/>
    </row>
    <row r="136" spans="4:2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c r="AA136" s="157"/>
    </row>
    <row r="137" spans="4:27">
      <c r="D137" s="157"/>
      <c r="E137" s="157"/>
      <c r="F137" s="157"/>
      <c r="G137" s="157"/>
      <c r="H137" s="157"/>
      <c r="I137" s="157"/>
      <c r="J137" s="157"/>
      <c r="K137" s="157"/>
      <c r="L137" s="157"/>
      <c r="M137" s="157"/>
      <c r="N137" s="157"/>
      <c r="O137" s="157"/>
      <c r="P137" s="157"/>
      <c r="Q137" s="157"/>
      <c r="R137" s="157"/>
      <c r="S137" s="157"/>
      <c r="T137" s="157"/>
      <c r="U137" s="157"/>
      <c r="V137" s="157"/>
      <c r="W137" s="157"/>
      <c r="X137" s="157"/>
      <c r="Y137" s="157"/>
      <c r="Z137" s="157"/>
      <c r="AA137" s="157"/>
    </row>
    <row r="138" spans="4:27">
      <c r="D138" s="157"/>
      <c r="E138" s="157"/>
      <c r="F138" s="157"/>
      <c r="G138" s="157"/>
      <c r="H138" s="157"/>
      <c r="I138" s="157"/>
      <c r="J138" s="157"/>
      <c r="K138" s="157"/>
      <c r="L138" s="157"/>
      <c r="M138" s="157"/>
      <c r="N138" s="157"/>
      <c r="O138" s="157"/>
      <c r="P138" s="157"/>
      <c r="Q138" s="157"/>
      <c r="R138" s="157"/>
      <c r="S138" s="157"/>
      <c r="T138" s="157"/>
      <c r="U138" s="157"/>
      <c r="V138" s="157"/>
      <c r="W138" s="157"/>
      <c r="X138" s="157"/>
      <c r="Y138" s="157"/>
      <c r="Z138" s="157"/>
      <c r="AA138" s="157"/>
    </row>
    <row r="139" spans="4:2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row>
    <row r="140" spans="4:2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row>
    <row r="141" spans="4:27">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c r="AA141" s="157"/>
    </row>
    <row r="142" spans="4:2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row>
    <row r="143" spans="4:2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row>
    <row r="144" spans="4:2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row>
    <row r="145" spans="4:2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row>
    <row r="146" spans="4:2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row>
    <row r="147" spans="4:2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row>
    <row r="148" spans="4:2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row>
    <row r="149" spans="4:2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row>
    <row r="150" spans="4:2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row>
    <row r="151" spans="4:2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row>
    <row r="152" spans="4:2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row>
    <row r="153" spans="4:2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row>
    <row r="154" spans="4:2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row>
    <row r="155" spans="4:2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row>
    <row r="156" spans="4:2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row>
    <row r="157" spans="4:2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row>
    <row r="158" spans="4:2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row>
    <row r="159" spans="4:2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row>
    <row r="160" spans="4:2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row>
    <row r="161" spans="4:2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row>
    <row r="162" spans="4:2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row>
    <row r="163" spans="4:2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row>
    <row r="164" spans="4:2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row>
    <row r="165" spans="4:2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row>
    <row r="166" spans="4:2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row>
    <row r="167" spans="4:2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row>
    <row r="168" spans="4:2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row>
    <row r="169" spans="4:2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row>
    <row r="170" spans="4:2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row>
    <row r="171" spans="4:2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row>
    <row r="172" spans="4:2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row>
    <row r="173" spans="4:2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row>
    <row r="174" spans="4:2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row>
    <row r="175" spans="4:2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row>
    <row r="176" spans="4:2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row>
    <row r="177" spans="4:27">
      <c r="D177" s="157"/>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c r="AA177" s="157"/>
    </row>
    <row r="178" spans="4:2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c r="AA178" s="157"/>
    </row>
    <row r="179" spans="4:2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row>
    <row r="180" spans="4:27">
      <c r="D180" s="157"/>
      <c r="E180" s="157"/>
      <c r="F180" s="157"/>
      <c r="G180" s="157"/>
      <c r="H180" s="157"/>
      <c r="I180" s="157"/>
      <c r="J180" s="157"/>
      <c r="K180" s="157"/>
      <c r="L180" s="157"/>
      <c r="M180" s="157"/>
      <c r="N180" s="157"/>
      <c r="O180" s="157"/>
      <c r="P180" s="157"/>
      <c r="Q180" s="157"/>
      <c r="R180" s="157"/>
      <c r="S180" s="157"/>
      <c r="T180" s="157"/>
      <c r="U180" s="157"/>
      <c r="V180" s="157"/>
      <c r="W180" s="157"/>
      <c r="X180" s="157"/>
      <c r="Y180" s="157"/>
      <c r="Z180" s="157"/>
      <c r="AA180" s="157"/>
    </row>
    <row r="181" spans="4:2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c r="AA181" s="157"/>
    </row>
    <row r="182" spans="4:27">
      <c r="D182" s="157"/>
      <c r="E182" s="157"/>
      <c r="F182" s="157"/>
      <c r="G182" s="157"/>
      <c r="H182" s="157"/>
      <c r="I182" s="157"/>
      <c r="J182" s="157"/>
      <c r="K182" s="157"/>
      <c r="L182" s="157"/>
      <c r="M182" s="157"/>
      <c r="N182" s="157"/>
      <c r="O182" s="157"/>
      <c r="P182" s="157"/>
      <c r="Q182" s="157"/>
      <c r="R182" s="157"/>
      <c r="S182" s="157"/>
      <c r="T182" s="157"/>
      <c r="U182" s="157"/>
      <c r="V182" s="157"/>
      <c r="W182" s="157"/>
      <c r="X182" s="157"/>
      <c r="Y182" s="157"/>
      <c r="Z182" s="157"/>
      <c r="AA182" s="157"/>
    </row>
    <row r="183" spans="4:2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c r="AA183" s="157"/>
    </row>
    <row r="184" spans="4:2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row>
    <row r="185" spans="4:2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row>
    <row r="186" spans="4:27">
      <c r="D186" s="157"/>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c r="AA186" s="157"/>
    </row>
    <row r="187" spans="4:2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row>
    <row r="188" spans="4:2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row>
    <row r="189" spans="4:27">
      <c r="D189" s="157"/>
      <c r="E189" s="157"/>
      <c r="F189" s="157"/>
      <c r="G189" s="157"/>
      <c r="H189" s="157"/>
      <c r="I189" s="157"/>
      <c r="J189" s="157"/>
      <c r="K189" s="157"/>
      <c r="L189" s="157"/>
      <c r="M189" s="157"/>
      <c r="N189" s="157"/>
      <c r="O189" s="157"/>
      <c r="P189" s="157"/>
      <c r="Q189" s="157"/>
      <c r="R189" s="157"/>
      <c r="S189" s="157"/>
      <c r="T189" s="157"/>
      <c r="U189" s="157"/>
      <c r="V189" s="157"/>
      <c r="W189" s="157"/>
      <c r="X189" s="157"/>
      <c r="Y189" s="157"/>
      <c r="Z189" s="157"/>
      <c r="AA189" s="157"/>
    </row>
    <row r="190" spans="4:2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row>
    <row r="191" spans="4:27">
      <c r="D191" s="157"/>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c r="AA191" s="157"/>
    </row>
    <row r="192" spans="4:27">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c r="AA192" s="157"/>
    </row>
    <row r="193" spans="4:27">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c r="AA193" s="157"/>
    </row>
    <row r="194" spans="4:27">
      <c r="D194" s="157"/>
      <c r="E194" s="157"/>
      <c r="F194" s="157"/>
      <c r="G194" s="157"/>
      <c r="H194" s="157"/>
      <c r="I194" s="157"/>
      <c r="J194" s="157"/>
      <c r="K194" s="157"/>
      <c r="L194" s="157"/>
      <c r="M194" s="157"/>
      <c r="N194" s="157"/>
      <c r="O194" s="157"/>
      <c r="P194" s="157"/>
      <c r="Q194" s="157"/>
      <c r="R194" s="157"/>
      <c r="S194" s="157"/>
      <c r="T194" s="157"/>
      <c r="U194" s="157"/>
      <c r="V194" s="157"/>
      <c r="W194" s="157"/>
      <c r="X194" s="157"/>
      <c r="Y194" s="157"/>
      <c r="Z194" s="157"/>
      <c r="AA194" s="157"/>
    </row>
    <row r="195" spans="4:27">
      <c r="D195" s="157"/>
      <c r="E195" s="157"/>
      <c r="F195" s="157"/>
      <c r="G195" s="157"/>
      <c r="H195" s="157"/>
      <c r="I195" s="157"/>
      <c r="J195" s="157"/>
      <c r="K195" s="157"/>
      <c r="L195" s="157"/>
      <c r="M195" s="157"/>
      <c r="N195" s="157"/>
      <c r="O195" s="157"/>
      <c r="P195" s="157"/>
      <c r="Q195" s="157"/>
      <c r="R195" s="157"/>
      <c r="S195" s="157"/>
      <c r="T195" s="157"/>
      <c r="U195" s="157"/>
      <c r="V195" s="157"/>
      <c r="W195" s="157"/>
      <c r="X195" s="157"/>
      <c r="Y195" s="157"/>
      <c r="Z195" s="157"/>
      <c r="AA195" s="157"/>
    </row>
    <row r="196" spans="4:27">
      <c r="D196" s="157"/>
      <c r="E196" s="157"/>
      <c r="F196" s="157"/>
      <c r="G196" s="157"/>
      <c r="H196" s="157"/>
      <c r="I196" s="157"/>
      <c r="J196" s="157"/>
      <c r="K196" s="157"/>
      <c r="L196" s="157"/>
      <c r="M196" s="157"/>
      <c r="N196" s="157"/>
      <c r="O196" s="157"/>
      <c r="P196" s="157"/>
      <c r="Q196" s="157"/>
      <c r="R196" s="157"/>
      <c r="S196" s="157"/>
      <c r="T196" s="157"/>
      <c r="U196" s="157"/>
      <c r="V196" s="157"/>
      <c r="W196" s="157"/>
      <c r="X196" s="157"/>
      <c r="Y196" s="157"/>
      <c r="Z196" s="157"/>
      <c r="AA196" s="157"/>
    </row>
    <row r="197" spans="4:27">
      <c r="D197" s="157"/>
      <c r="E197" s="157"/>
      <c r="F197" s="157"/>
      <c r="G197" s="157"/>
      <c r="H197" s="157"/>
      <c r="I197" s="157"/>
      <c r="J197" s="157"/>
      <c r="K197" s="157"/>
      <c r="L197" s="157"/>
      <c r="M197" s="157"/>
      <c r="N197" s="157"/>
      <c r="O197" s="157"/>
      <c r="P197" s="157"/>
      <c r="Q197" s="157"/>
      <c r="R197" s="157"/>
      <c r="S197" s="157"/>
      <c r="T197" s="157"/>
      <c r="U197" s="157"/>
      <c r="V197" s="157"/>
      <c r="W197" s="157"/>
      <c r="X197" s="157"/>
      <c r="Y197" s="157"/>
      <c r="Z197" s="157"/>
      <c r="AA197" s="157"/>
    </row>
    <row r="198" spans="4:27">
      <c r="D198" s="157"/>
      <c r="E198" s="157"/>
      <c r="F198" s="157"/>
      <c r="G198" s="157"/>
      <c r="H198" s="157"/>
      <c r="I198" s="157"/>
      <c r="J198" s="157"/>
      <c r="K198" s="157"/>
      <c r="L198" s="157"/>
      <c r="M198" s="157"/>
      <c r="N198" s="157"/>
      <c r="O198" s="157"/>
      <c r="P198" s="157"/>
      <c r="Q198" s="157"/>
      <c r="R198" s="157"/>
      <c r="S198" s="157"/>
      <c r="T198" s="157"/>
      <c r="U198" s="157"/>
      <c r="V198" s="157"/>
      <c r="W198" s="157"/>
      <c r="X198" s="157"/>
      <c r="Y198" s="157"/>
      <c r="Z198" s="157"/>
      <c r="AA198" s="157"/>
    </row>
    <row r="199" spans="4:27">
      <c r="D199" s="157"/>
      <c r="E199" s="157"/>
      <c r="F199" s="157"/>
      <c r="G199" s="157"/>
      <c r="H199" s="157"/>
      <c r="I199" s="157"/>
      <c r="J199" s="157"/>
      <c r="K199" s="157"/>
      <c r="L199" s="157"/>
      <c r="M199" s="157"/>
      <c r="N199" s="157"/>
      <c r="O199" s="157"/>
      <c r="P199" s="157"/>
      <c r="Q199" s="157"/>
      <c r="R199" s="157"/>
      <c r="S199" s="157"/>
      <c r="T199" s="157"/>
      <c r="U199" s="157"/>
      <c r="V199" s="157"/>
      <c r="W199" s="157"/>
      <c r="X199" s="157"/>
      <c r="Y199" s="157"/>
      <c r="Z199" s="157"/>
      <c r="AA199" s="157"/>
    </row>
    <row r="200" spans="4:27">
      <c r="D200" s="157"/>
      <c r="E200" s="157"/>
      <c r="F200" s="157"/>
      <c r="G200" s="157"/>
      <c r="H200" s="157"/>
      <c r="I200" s="157"/>
      <c r="J200" s="157"/>
      <c r="K200" s="157"/>
      <c r="L200" s="157"/>
      <c r="M200" s="157"/>
      <c r="N200" s="157"/>
      <c r="O200" s="157"/>
      <c r="P200" s="157"/>
      <c r="Q200" s="157"/>
      <c r="R200" s="157"/>
      <c r="S200" s="157"/>
      <c r="T200" s="157"/>
      <c r="U200" s="157"/>
      <c r="V200" s="157"/>
      <c r="W200" s="157"/>
      <c r="X200" s="157"/>
      <c r="Y200" s="157"/>
      <c r="Z200" s="157"/>
      <c r="AA200" s="157"/>
    </row>
    <row r="201" spans="4:27">
      <c r="D201" s="157"/>
      <c r="E201" s="157"/>
      <c r="F201" s="157"/>
      <c r="G201" s="157"/>
      <c r="H201" s="157"/>
      <c r="I201" s="157"/>
      <c r="J201" s="157"/>
      <c r="K201" s="157"/>
      <c r="L201" s="157"/>
      <c r="M201" s="157"/>
      <c r="N201" s="157"/>
      <c r="O201" s="157"/>
      <c r="P201" s="157"/>
      <c r="Q201" s="157"/>
      <c r="R201" s="157"/>
      <c r="S201" s="157"/>
      <c r="T201" s="157"/>
      <c r="U201" s="157"/>
      <c r="V201" s="157"/>
      <c r="W201" s="157"/>
      <c r="X201" s="157"/>
      <c r="Y201" s="157"/>
      <c r="Z201" s="157"/>
      <c r="AA201" s="157"/>
    </row>
    <row r="202" spans="4:27">
      <c r="D202" s="157"/>
      <c r="E202" s="157"/>
      <c r="F202" s="157"/>
      <c r="G202" s="157"/>
      <c r="H202" s="157"/>
      <c r="I202" s="157"/>
      <c r="J202" s="157"/>
      <c r="K202" s="157"/>
      <c r="L202" s="157"/>
      <c r="M202" s="157"/>
      <c r="N202" s="157"/>
      <c r="O202" s="157"/>
      <c r="P202" s="157"/>
      <c r="Q202" s="157"/>
      <c r="R202" s="157"/>
      <c r="S202" s="157"/>
      <c r="T202" s="157"/>
      <c r="U202" s="157"/>
      <c r="V202" s="157"/>
      <c r="W202" s="157"/>
      <c r="X202" s="157"/>
      <c r="Y202" s="157"/>
      <c r="Z202" s="157"/>
      <c r="AA202" s="157"/>
    </row>
    <row r="203" spans="4:27">
      <c r="D203" s="157"/>
      <c r="E203" s="157"/>
      <c r="F203" s="157"/>
      <c r="G203" s="157"/>
      <c r="H203" s="157"/>
      <c r="I203" s="157"/>
      <c r="J203" s="157"/>
      <c r="K203" s="157"/>
      <c r="L203" s="157"/>
      <c r="M203" s="157"/>
      <c r="N203" s="157"/>
      <c r="O203" s="157"/>
      <c r="P203" s="157"/>
      <c r="Q203" s="157"/>
      <c r="R203" s="157"/>
      <c r="S203" s="157"/>
      <c r="T203" s="157"/>
      <c r="U203" s="157"/>
      <c r="V203" s="157"/>
      <c r="W203" s="157"/>
      <c r="X203" s="157"/>
      <c r="Y203" s="157"/>
      <c r="Z203" s="157"/>
      <c r="AA203" s="157"/>
    </row>
    <row r="204" spans="4:27">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c r="AA204" s="157"/>
    </row>
    <row r="205" spans="4:27">
      <c r="D205" s="157"/>
      <c r="E205" s="157"/>
      <c r="F205" s="157"/>
      <c r="G205" s="157"/>
      <c r="H205" s="157"/>
      <c r="I205" s="157"/>
      <c r="J205" s="157"/>
      <c r="K205" s="157"/>
      <c r="L205" s="157"/>
      <c r="M205" s="157"/>
      <c r="N205" s="157"/>
      <c r="O205" s="157"/>
      <c r="P205" s="157"/>
      <c r="Q205" s="157"/>
      <c r="R205" s="157"/>
      <c r="S205" s="157"/>
      <c r="T205" s="157"/>
      <c r="U205" s="157"/>
      <c r="V205" s="157"/>
      <c r="W205" s="157"/>
      <c r="X205" s="157"/>
      <c r="Y205" s="157"/>
      <c r="Z205" s="157"/>
      <c r="AA205" s="157"/>
    </row>
    <row r="206" spans="4:27">
      <c r="D206" s="157"/>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c r="AA206" s="157"/>
    </row>
    <row r="207" spans="4:27">
      <c r="D207" s="157"/>
      <c r="E207" s="157"/>
      <c r="F207" s="157"/>
      <c r="G207" s="157"/>
      <c r="H207" s="157"/>
      <c r="I207" s="157"/>
      <c r="J207" s="157"/>
      <c r="K207" s="157"/>
      <c r="L207" s="157"/>
      <c r="M207" s="157"/>
      <c r="N207" s="157"/>
      <c r="O207" s="157"/>
      <c r="P207" s="157"/>
      <c r="Q207" s="157"/>
      <c r="R207" s="157"/>
      <c r="S207" s="157"/>
      <c r="T207" s="157"/>
      <c r="U207" s="157"/>
      <c r="V207" s="157"/>
      <c r="W207" s="157"/>
      <c r="X207" s="157"/>
      <c r="Y207" s="157"/>
      <c r="Z207" s="157"/>
      <c r="AA207" s="157"/>
    </row>
    <row r="208" spans="4:27">
      <c r="D208" s="157"/>
      <c r="E208" s="157"/>
      <c r="F208" s="157"/>
      <c r="G208" s="157"/>
      <c r="H208" s="157"/>
      <c r="I208" s="157"/>
      <c r="J208" s="157"/>
      <c r="K208" s="157"/>
      <c r="L208" s="157"/>
      <c r="M208" s="157"/>
      <c r="N208" s="157"/>
      <c r="O208" s="157"/>
      <c r="P208" s="157"/>
      <c r="Q208" s="157"/>
      <c r="R208" s="157"/>
      <c r="S208" s="157"/>
      <c r="T208" s="157"/>
      <c r="U208" s="157"/>
      <c r="V208" s="157"/>
      <c r="W208" s="157"/>
      <c r="X208" s="157"/>
      <c r="Y208" s="157"/>
      <c r="Z208" s="157"/>
      <c r="AA208" s="157"/>
    </row>
    <row r="209" spans="4:27">
      <c r="D209" s="157"/>
      <c r="E209" s="157"/>
      <c r="F209" s="157"/>
      <c r="G209" s="157"/>
      <c r="H209" s="157"/>
      <c r="I209" s="157"/>
      <c r="J209" s="157"/>
      <c r="K209" s="157"/>
      <c r="L209" s="157"/>
      <c r="M209" s="157"/>
      <c r="N209" s="157"/>
      <c r="O209" s="157"/>
      <c r="P209" s="157"/>
      <c r="Q209" s="157"/>
      <c r="R209" s="157"/>
      <c r="S209" s="157"/>
      <c r="T209" s="157"/>
      <c r="U209" s="157"/>
      <c r="V209" s="157"/>
      <c r="W209" s="157"/>
      <c r="X209" s="157"/>
      <c r="Y209" s="157"/>
      <c r="Z209" s="157"/>
      <c r="AA209" s="157"/>
    </row>
    <row r="210" spans="4:27">
      <c r="D210" s="157"/>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c r="AA210" s="157"/>
    </row>
    <row r="211" spans="4:27">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c r="AA211" s="157"/>
    </row>
    <row r="212" spans="4:27">
      <c r="D212" s="157"/>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c r="AA212" s="157"/>
    </row>
    <row r="213" spans="4:2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row>
    <row r="214" spans="4:27">
      <c r="D214" s="157"/>
      <c r="E214" s="157"/>
      <c r="F214" s="157"/>
      <c r="G214" s="157"/>
      <c r="H214" s="157"/>
      <c r="I214" s="157"/>
      <c r="J214" s="157"/>
      <c r="K214" s="157"/>
      <c r="L214" s="157"/>
      <c r="M214" s="157"/>
      <c r="N214" s="157"/>
      <c r="O214" s="157"/>
      <c r="P214" s="157"/>
      <c r="Q214" s="157"/>
      <c r="R214" s="157"/>
      <c r="S214" s="157"/>
      <c r="T214" s="157"/>
      <c r="U214" s="157"/>
      <c r="V214" s="157"/>
      <c r="W214" s="157"/>
      <c r="X214" s="157"/>
      <c r="Y214" s="157"/>
      <c r="Z214" s="157"/>
      <c r="AA214" s="157"/>
    </row>
    <row r="215" spans="4:2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row>
    <row r="216" spans="4:27">
      <c r="D216" s="157"/>
      <c r="E216" s="157"/>
      <c r="F216" s="157"/>
      <c r="G216" s="157"/>
      <c r="H216" s="157"/>
      <c r="I216" s="157"/>
      <c r="J216" s="157"/>
      <c r="K216" s="157"/>
      <c r="L216" s="157"/>
      <c r="M216" s="157"/>
      <c r="N216" s="157"/>
      <c r="O216" s="157"/>
      <c r="P216" s="157"/>
      <c r="Q216" s="157"/>
      <c r="R216" s="157"/>
      <c r="S216" s="157"/>
      <c r="T216" s="157"/>
      <c r="U216" s="157"/>
      <c r="V216" s="157"/>
      <c r="W216" s="157"/>
      <c r="X216" s="157"/>
      <c r="Y216" s="157"/>
      <c r="Z216" s="157"/>
      <c r="AA216" s="157"/>
    </row>
    <row r="217" spans="4:27">
      <c r="D217" s="157"/>
      <c r="E217" s="157"/>
      <c r="F217" s="157"/>
      <c r="G217" s="157"/>
      <c r="H217" s="157"/>
      <c r="I217" s="157"/>
      <c r="J217" s="157"/>
      <c r="K217" s="157"/>
      <c r="L217" s="157"/>
      <c r="M217" s="157"/>
      <c r="N217" s="157"/>
      <c r="O217" s="157"/>
      <c r="P217" s="157"/>
      <c r="Q217" s="157"/>
      <c r="R217" s="157"/>
      <c r="S217" s="157"/>
      <c r="T217" s="157"/>
      <c r="U217" s="157"/>
      <c r="V217" s="157"/>
      <c r="W217" s="157"/>
      <c r="X217" s="157"/>
      <c r="Y217" s="157"/>
      <c r="Z217" s="157"/>
      <c r="AA217" s="157"/>
    </row>
    <row r="218" spans="4:27">
      <c r="D218" s="157"/>
      <c r="E218" s="157"/>
      <c r="F218" s="157"/>
      <c r="G218" s="157"/>
      <c r="H218" s="157"/>
      <c r="I218" s="157"/>
      <c r="J218" s="157"/>
      <c r="K218" s="157"/>
      <c r="L218" s="157"/>
      <c r="M218" s="157"/>
      <c r="N218" s="157"/>
      <c r="O218" s="157"/>
      <c r="P218" s="157"/>
      <c r="Q218" s="157"/>
      <c r="R218" s="157"/>
      <c r="S218" s="157"/>
      <c r="T218" s="157"/>
      <c r="U218" s="157"/>
      <c r="V218" s="157"/>
      <c r="W218" s="157"/>
      <c r="X218" s="157"/>
      <c r="Y218" s="157"/>
      <c r="Z218" s="157"/>
      <c r="AA218" s="157"/>
    </row>
    <row r="219" spans="4:27">
      <c r="D219" s="157"/>
      <c r="E219" s="157"/>
      <c r="F219" s="157"/>
      <c r="G219" s="157"/>
      <c r="H219" s="157"/>
      <c r="I219" s="157"/>
      <c r="J219" s="157"/>
      <c r="K219" s="157"/>
      <c r="L219" s="157"/>
      <c r="M219" s="157"/>
      <c r="N219" s="157"/>
      <c r="O219" s="157"/>
      <c r="P219" s="157"/>
      <c r="Q219" s="157"/>
      <c r="R219" s="157"/>
      <c r="S219" s="157"/>
      <c r="T219" s="157"/>
      <c r="U219" s="157"/>
      <c r="V219" s="157"/>
      <c r="W219" s="157"/>
      <c r="X219" s="157"/>
      <c r="Y219" s="157"/>
      <c r="Z219" s="157"/>
      <c r="AA219" s="157"/>
    </row>
    <row r="220" spans="4:27">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c r="AA220" s="157"/>
    </row>
    <row r="221" spans="4:27">
      <c r="D221" s="157"/>
      <c r="E221" s="157"/>
      <c r="F221" s="157"/>
      <c r="G221" s="157"/>
      <c r="H221" s="157"/>
      <c r="I221" s="157"/>
      <c r="J221" s="157"/>
      <c r="K221" s="157"/>
      <c r="L221" s="157"/>
      <c r="M221" s="157"/>
      <c r="N221" s="157"/>
      <c r="O221" s="157"/>
      <c r="P221" s="157"/>
      <c r="Q221" s="157"/>
      <c r="R221" s="157"/>
      <c r="S221" s="157"/>
      <c r="T221" s="157"/>
      <c r="U221" s="157"/>
      <c r="V221" s="157"/>
      <c r="W221" s="157"/>
      <c r="X221" s="157"/>
      <c r="Y221" s="157"/>
      <c r="Z221" s="157"/>
      <c r="AA221" s="157"/>
    </row>
    <row r="222" spans="4:2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row>
    <row r="223" spans="4:27">
      <c r="D223" s="157"/>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c r="AA223" s="157"/>
    </row>
    <row r="224" spans="4:27">
      <c r="D224" s="157"/>
      <c r="E224" s="157"/>
      <c r="F224" s="157"/>
      <c r="G224" s="157"/>
      <c r="H224" s="157"/>
      <c r="I224" s="157"/>
      <c r="J224" s="157"/>
      <c r="K224" s="157"/>
      <c r="L224" s="157"/>
      <c r="M224" s="157"/>
      <c r="N224" s="157"/>
      <c r="O224" s="157"/>
      <c r="P224" s="157"/>
      <c r="Q224" s="157"/>
      <c r="R224" s="157"/>
      <c r="S224" s="157"/>
      <c r="T224" s="157"/>
      <c r="U224" s="157"/>
      <c r="V224" s="157"/>
      <c r="W224" s="157"/>
      <c r="X224" s="157"/>
      <c r="Y224" s="157"/>
      <c r="Z224" s="157"/>
      <c r="AA224" s="157"/>
    </row>
    <row r="225" spans="4:27">
      <c r="D225" s="157"/>
      <c r="E225" s="157"/>
      <c r="F225" s="157"/>
      <c r="G225" s="157"/>
      <c r="H225" s="157"/>
      <c r="I225" s="157"/>
      <c r="J225" s="157"/>
      <c r="K225" s="157"/>
      <c r="L225" s="157"/>
      <c r="M225" s="157"/>
      <c r="N225" s="157"/>
      <c r="O225" s="157"/>
      <c r="P225" s="157"/>
      <c r="Q225" s="157"/>
      <c r="R225" s="157"/>
      <c r="S225" s="157"/>
      <c r="T225" s="157"/>
      <c r="U225" s="157"/>
      <c r="V225" s="157"/>
      <c r="W225" s="157"/>
      <c r="X225" s="157"/>
      <c r="Y225" s="157"/>
      <c r="Z225" s="157"/>
      <c r="AA225" s="157"/>
    </row>
    <row r="226" spans="4:27">
      <c r="D226" s="157"/>
      <c r="E226" s="157"/>
      <c r="F226" s="157"/>
      <c r="G226" s="157"/>
      <c r="H226" s="157"/>
      <c r="I226" s="157"/>
      <c r="J226" s="157"/>
      <c r="K226" s="157"/>
      <c r="L226" s="157"/>
      <c r="M226" s="157"/>
      <c r="N226" s="157"/>
      <c r="O226" s="157"/>
      <c r="P226" s="157"/>
      <c r="Q226" s="157"/>
      <c r="R226" s="157"/>
      <c r="S226" s="157"/>
      <c r="T226" s="157"/>
      <c r="U226" s="157"/>
      <c r="V226" s="157"/>
      <c r="W226" s="157"/>
      <c r="X226" s="157"/>
      <c r="Y226" s="157"/>
      <c r="Z226" s="157"/>
      <c r="AA226" s="157"/>
    </row>
    <row r="227" spans="4:27">
      <c r="D227" s="157"/>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c r="AA227" s="157"/>
    </row>
    <row r="228" spans="4:27">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row>
    <row r="229" spans="4:27">
      <c r="D229" s="157"/>
      <c r="E229" s="157"/>
      <c r="F229" s="157"/>
      <c r="G229" s="157"/>
      <c r="H229" s="157"/>
      <c r="I229" s="157"/>
      <c r="J229" s="157"/>
      <c r="K229" s="157"/>
      <c r="L229" s="157"/>
      <c r="M229" s="157"/>
      <c r="N229" s="157"/>
      <c r="O229" s="157"/>
      <c r="P229" s="157"/>
      <c r="Q229" s="157"/>
      <c r="R229" s="157"/>
      <c r="S229" s="157"/>
      <c r="T229" s="157"/>
      <c r="U229" s="157"/>
      <c r="V229" s="157"/>
      <c r="W229" s="157"/>
      <c r="X229" s="157"/>
      <c r="Y229" s="157"/>
      <c r="Z229" s="157"/>
      <c r="AA229" s="157"/>
    </row>
    <row r="230" spans="4:27">
      <c r="D230" s="157"/>
      <c r="E230" s="157"/>
      <c r="F230" s="157"/>
      <c r="G230" s="157"/>
      <c r="H230" s="157"/>
      <c r="I230" s="157"/>
      <c r="J230" s="157"/>
      <c r="K230" s="157"/>
      <c r="L230" s="157"/>
      <c r="M230" s="157"/>
      <c r="N230" s="157"/>
      <c r="O230" s="157"/>
      <c r="P230" s="157"/>
      <c r="Q230" s="157"/>
      <c r="R230" s="157"/>
      <c r="S230" s="157"/>
      <c r="T230" s="157"/>
      <c r="U230" s="157"/>
      <c r="V230" s="157"/>
      <c r="W230" s="157"/>
      <c r="X230" s="157"/>
      <c r="Y230" s="157"/>
      <c r="Z230" s="157"/>
      <c r="AA230" s="157"/>
    </row>
    <row r="231" spans="4:27">
      <c r="D231" s="157"/>
      <c r="E231" s="157"/>
      <c r="F231" s="157"/>
      <c r="G231" s="157"/>
      <c r="H231" s="157"/>
      <c r="I231" s="157"/>
      <c r="J231" s="157"/>
      <c r="K231" s="157"/>
      <c r="L231" s="157"/>
      <c r="M231" s="157"/>
      <c r="N231" s="157"/>
      <c r="O231" s="157"/>
      <c r="P231" s="157"/>
      <c r="Q231" s="157"/>
      <c r="R231" s="157"/>
      <c r="S231" s="157"/>
      <c r="T231" s="157"/>
      <c r="U231" s="157"/>
      <c r="V231" s="157"/>
      <c r="W231" s="157"/>
      <c r="X231" s="157"/>
      <c r="Y231" s="157"/>
      <c r="Z231" s="157"/>
      <c r="AA231" s="157"/>
    </row>
    <row r="232" spans="4:27">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c r="AA232" s="157"/>
    </row>
    <row r="233" spans="4:27">
      <c r="D233" s="157"/>
      <c r="E233" s="157"/>
      <c r="F233" s="157"/>
      <c r="G233" s="157"/>
      <c r="H233" s="157"/>
      <c r="I233" s="157"/>
      <c r="J233" s="157"/>
      <c r="K233" s="157"/>
      <c r="L233" s="157"/>
      <c r="M233" s="157"/>
      <c r="N233" s="157"/>
      <c r="O233" s="157"/>
      <c r="P233" s="157"/>
      <c r="Q233" s="157"/>
      <c r="R233" s="157"/>
      <c r="S233" s="157"/>
      <c r="T233" s="157"/>
      <c r="U233" s="157"/>
      <c r="V233" s="157"/>
      <c r="W233" s="157"/>
      <c r="X233" s="157"/>
      <c r="Y233" s="157"/>
      <c r="Z233" s="157"/>
      <c r="AA233" s="157"/>
    </row>
    <row r="234" spans="4:2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c r="AA234" s="157"/>
    </row>
    <row r="235" spans="4:27">
      <c r="D235" s="157"/>
      <c r="E235" s="157"/>
      <c r="F235" s="157"/>
      <c r="G235" s="157"/>
      <c r="H235" s="157"/>
      <c r="I235" s="157"/>
      <c r="J235" s="157"/>
      <c r="K235" s="157"/>
      <c r="L235" s="157"/>
      <c r="M235" s="157"/>
      <c r="N235" s="157"/>
      <c r="O235" s="157"/>
      <c r="P235" s="157"/>
      <c r="Q235" s="157"/>
      <c r="R235" s="157"/>
      <c r="S235" s="157"/>
      <c r="T235" s="157"/>
      <c r="U235" s="157"/>
      <c r="V235" s="157"/>
      <c r="W235" s="157"/>
      <c r="X235" s="157"/>
      <c r="Y235" s="157"/>
      <c r="Z235" s="157"/>
      <c r="AA235" s="157"/>
    </row>
    <row r="236" spans="4:27">
      <c r="D236" s="157"/>
      <c r="E236" s="157"/>
      <c r="F236" s="157"/>
      <c r="G236" s="157"/>
      <c r="H236" s="157"/>
      <c r="I236" s="157"/>
      <c r="J236" s="157"/>
      <c r="K236" s="157"/>
      <c r="L236" s="157"/>
      <c r="M236" s="157"/>
      <c r="N236" s="157"/>
      <c r="O236" s="157"/>
      <c r="P236" s="157"/>
      <c r="Q236" s="157"/>
      <c r="R236" s="157"/>
      <c r="S236" s="157"/>
      <c r="T236" s="157"/>
      <c r="U236" s="157"/>
      <c r="V236" s="157"/>
      <c r="W236" s="157"/>
      <c r="X236" s="157"/>
      <c r="Y236" s="157"/>
      <c r="Z236" s="157"/>
      <c r="AA236" s="157"/>
    </row>
    <row r="237" spans="4:27">
      <c r="D237" s="157"/>
      <c r="E237" s="157"/>
      <c r="F237" s="157"/>
      <c r="G237" s="157"/>
      <c r="H237" s="157"/>
      <c r="I237" s="157"/>
      <c r="J237" s="157"/>
      <c r="K237" s="157"/>
      <c r="L237" s="157"/>
      <c r="M237" s="157"/>
      <c r="N237" s="157"/>
      <c r="O237" s="157"/>
      <c r="P237" s="157"/>
      <c r="Q237" s="157"/>
      <c r="R237" s="157"/>
      <c r="S237" s="157"/>
      <c r="T237" s="157"/>
      <c r="U237" s="157"/>
      <c r="V237" s="157"/>
      <c r="W237" s="157"/>
      <c r="X237" s="157"/>
      <c r="Y237" s="157"/>
      <c r="Z237" s="157"/>
      <c r="AA237" s="157"/>
    </row>
    <row r="238" spans="4:2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row>
    <row r="239" spans="4:27">
      <c r="D239" s="157"/>
      <c r="E239" s="157"/>
      <c r="F239" s="157"/>
      <c r="G239" s="157"/>
      <c r="H239" s="157"/>
      <c r="I239" s="157"/>
      <c r="J239" s="157"/>
      <c r="K239" s="157"/>
      <c r="L239" s="157"/>
      <c r="M239" s="157"/>
      <c r="N239" s="157"/>
      <c r="O239" s="157"/>
      <c r="P239" s="157"/>
      <c r="Q239" s="157"/>
      <c r="R239" s="157"/>
      <c r="S239" s="157"/>
      <c r="T239" s="157"/>
      <c r="U239" s="157"/>
      <c r="V239" s="157"/>
      <c r="W239" s="157"/>
      <c r="X239" s="157"/>
      <c r="Y239" s="157"/>
      <c r="Z239" s="157"/>
      <c r="AA239" s="157"/>
    </row>
    <row r="240" spans="4:27">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c r="AA240" s="157"/>
    </row>
    <row r="241" spans="4:27">
      <c r="D241" s="157"/>
      <c r="E241" s="157"/>
      <c r="F241" s="157"/>
      <c r="G241" s="157"/>
      <c r="H241" s="157"/>
      <c r="I241" s="157"/>
      <c r="J241" s="157"/>
      <c r="K241" s="157"/>
      <c r="L241" s="157"/>
      <c r="M241" s="157"/>
      <c r="N241" s="157"/>
      <c r="O241" s="157"/>
      <c r="P241" s="157"/>
      <c r="Q241" s="157"/>
      <c r="R241" s="157"/>
      <c r="S241" s="157"/>
      <c r="T241" s="157"/>
      <c r="U241" s="157"/>
      <c r="V241" s="157"/>
      <c r="W241" s="157"/>
      <c r="X241" s="157"/>
      <c r="Y241" s="157"/>
      <c r="Z241" s="157"/>
      <c r="AA241" s="157"/>
    </row>
    <row r="242" spans="4:27">
      <c r="D242" s="157"/>
      <c r="E242" s="157"/>
      <c r="F242" s="157"/>
      <c r="G242" s="157"/>
      <c r="H242" s="157"/>
      <c r="I242" s="157"/>
      <c r="J242" s="157"/>
      <c r="K242" s="157"/>
      <c r="L242" s="157"/>
      <c r="M242" s="157"/>
      <c r="N242" s="157"/>
      <c r="O242" s="157"/>
      <c r="P242" s="157"/>
      <c r="Q242" s="157"/>
      <c r="R242" s="157"/>
      <c r="S242" s="157"/>
      <c r="T242" s="157"/>
      <c r="U242" s="157"/>
      <c r="V242" s="157"/>
      <c r="W242" s="157"/>
      <c r="X242" s="157"/>
      <c r="Y242" s="157"/>
      <c r="Z242" s="157"/>
      <c r="AA242" s="157"/>
    </row>
    <row r="243" spans="4:27">
      <c r="D243" s="157"/>
      <c r="E243" s="157"/>
      <c r="F243" s="157"/>
      <c r="G243" s="157"/>
      <c r="H243" s="157"/>
      <c r="I243" s="157"/>
      <c r="J243" s="157"/>
      <c r="K243" s="157"/>
      <c r="L243" s="157"/>
      <c r="M243" s="157"/>
      <c r="N243" s="157"/>
      <c r="O243" s="157"/>
      <c r="P243" s="157"/>
      <c r="Q243" s="157"/>
      <c r="R243" s="157"/>
      <c r="S243" s="157"/>
      <c r="T243" s="157"/>
    </row>
    <row r="244" spans="4:27">
      <c r="D244" s="157"/>
      <c r="E244" s="157"/>
      <c r="F244" s="157"/>
      <c r="G244" s="157"/>
      <c r="H244" s="157"/>
      <c r="I244" s="157"/>
      <c r="J244" s="157"/>
      <c r="K244" s="157"/>
      <c r="L244" s="157"/>
      <c r="M244" s="157"/>
      <c r="N244" s="157"/>
      <c r="O244" s="157"/>
      <c r="P244" s="157"/>
      <c r="Q244" s="157"/>
      <c r="R244" s="157"/>
      <c r="S244" s="157"/>
      <c r="T244" s="157"/>
    </row>
    <row r="245" spans="4:27">
      <c r="D245" s="157"/>
      <c r="E245" s="157"/>
      <c r="F245" s="157"/>
      <c r="G245" s="157"/>
      <c r="H245" s="157"/>
      <c r="I245" s="157"/>
      <c r="J245" s="157"/>
      <c r="K245" s="157"/>
      <c r="L245" s="157"/>
      <c r="M245" s="157"/>
      <c r="N245" s="157"/>
      <c r="O245" s="157"/>
      <c r="P245" s="157"/>
      <c r="Q245" s="157"/>
      <c r="R245" s="157"/>
      <c r="S245" s="157"/>
      <c r="T245" s="157"/>
    </row>
    <row r="246" spans="4:27">
      <c r="D246" s="157"/>
      <c r="E246" s="157"/>
      <c r="F246" s="157"/>
      <c r="G246" s="157"/>
      <c r="H246" s="157"/>
      <c r="I246" s="157"/>
      <c r="J246" s="157"/>
      <c r="K246" s="157"/>
      <c r="L246" s="157"/>
      <c r="M246" s="157"/>
      <c r="N246" s="157"/>
      <c r="O246" s="157"/>
      <c r="P246" s="157"/>
      <c r="Q246" s="157"/>
      <c r="R246" s="157"/>
      <c r="S246" s="157"/>
      <c r="T246" s="157"/>
    </row>
    <row r="247" spans="4:27">
      <c r="D247" s="157"/>
      <c r="E247" s="157"/>
      <c r="F247" s="157"/>
      <c r="G247" s="157"/>
      <c r="H247" s="157"/>
      <c r="I247" s="157"/>
      <c r="J247" s="157"/>
      <c r="K247" s="157"/>
      <c r="L247" s="157"/>
      <c r="M247" s="157"/>
      <c r="N247" s="157"/>
      <c r="O247" s="157"/>
      <c r="P247" s="157"/>
      <c r="Q247" s="157"/>
      <c r="R247" s="157"/>
      <c r="S247" s="157"/>
      <c r="T247" s="157"/>
    </row>
    <row r="248" spans="4:27">
      <c r="D248" s="157"/>
      <c r="E248" s="157"/>
      <c r="F248" s="157"/>
      <c r="G248" s="157"/>
      <c r="H248" s="157"/>
      <c r="I248" s="157"/>
      <c r="J248" s="157"/>
      <c r="K248" s="157"/>
      <c r="L248" s="157"/>
      <c r="M248" s="157"/>
      <c r="N248" s="157"/>
      <c r="O248" s="157"/>
      <c r="P248" s="157"/>
      <c r="Q248" s="157"/>
      <c r="R248" s="157"/>
      <c r="S248" s="157"/>
      <c r="T248" s="157"/>
    </row>
    <row r="249" spans="4:27">
      <c r="D249" s="157"/>
      <c r="E249" s="157"/>
      <c r="F249" s="157"/>
      <c r="G249" s="157"/>
      <c r="H249" s="157"/>
      <c r="I249" s="157"/>
      <c r="J249" s="157"/>
      <c r="K249" s="157"/>
      <c r="L249" s="157"/>
      <c r="M249" s="157"/>
      <c r="N249" s="157"/>
      <c r="O249" s="157"/>
      <c r="P249" s="157"/>
      <c r="Q249" s="157"/>
      <c r="R249" s="157"/>
      <c r="S249" s="157"/>
      <c r="T249" s="157"/>
    </row>
    <row r="250" spans="4:27">
      <c r="D250" s="157"/>
      <c r="E250" s="157"/>
      <c r="F250" s="157"/>
      <c r="G250" s="157"/>
      <c r="H250" s="157"/>
      <c r="I250" s="157"/>
      <c r="J250" s="157"/>
      <c r="K250" s="157"/>
      <c r="L250" s="157"/>
      <c r="M250" s="157"/>
      <c r="N250" s="157"/>
      <c r="O250" s="157"/>
      <c r="P250" s="157"/>
      <c r="Q250" s="157"/>
      <c r="R250" s="157"/>
      <c r="S250" s="157"/>
      <c r="T250" s="157"/>
    </row>
  </sheetData>
  <mergeCells count="12">
    <mergeCell ref="D110:T110"/>
    <mergeCell ref="D115:T115"/>
    <mergeCell ref="H25:J25"/>
    <mergeCell ref="D117:T117"/>
    <mergeCell ref="D105:T105"/>
    <mergeCell ref="D107:T107"/>
    <mergeCell ref="D111:T111"/>
    <mergeCell ref="D112:T112"/>
    <mergeCell ref="D116:T116"/>
    <mergeCell ref="D114:T114"/>
    <mergeCell ref="D113:T113"/>
    <mergeCell ref="D108:T108"/>
  </mergeCells>
  <pageMargins left="0.7" right="0.7" top="0.75" bottom="0.75" header="0.3" footer="0.3"/>
  <pageSetup scale="32" fitToHeight="2" orientation="landscape" r:id="rId1"/>
  <rowBreaks count="1" manualBreakCount="1">
    <brk id="60" min="1"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B67"/>
  <sheetViews>
    <sheetView zoomScaleNormal="100" zoomScaleSheetLayoutView="85" workbookViewId="0">
      <pane xSplit="2" ySplit="10" topLeftCell="C11" activePane="bottomRight" state="frozen"/>
      <selection activeCell="M73" sqref="M73"/>
      <selection pane="topRight" activeCell="M73" sqref="M73"/>
      <selection pane="bottomLeft" activeCell="M73" sqref="M73"/>
      <selection pane="bottomRight" activeCell="B7" sqref="B7"/>
    </sheetView>
  </sheetViews>
  <sheetFormatPr defaultRowHeight="12.75"/>
  <cols>
    <col min="1" max="1" width="21.28515625" style="226" customWidth="1"/>
    <col min="2" max="2" width="32.85546875" style="226" customWidth="1"/>
    <col min="3" max="10" width="13.85546875" style="226" customWidth="1"/>
    <col min="11" max="11" width="13.85546875" style="294" customWidth="1"/>
    <col min="12" max="22" width="13.85546875" style="226" customWidth="1"/>
    <col min="23" max="16384" width="9.140625" style="226"/>
  </cols>
  <sheetData>
    <row r="1" spans="1:28">
      <c r="C1" s="406">
        <v>1</v>
      </c>
      <c r="D1" s="406">
        <f>+C1+1</f>
        <v>2</v>
      </c>
      <c r="E1" s="406">
        <f t="shared" ref="E1:N1" si="0">+D1+1</f>
        <v>3</v>
      </c>
      <c r="F1" s="406">
        <f t="shared" si="0"/>
        <v>4</v>
      </c>
      <c r="G1" s="406">
        <f t="shared" si="0"/>
        <v>5</v>
      </c>
      <c r="H1" s="406">
        <f t="shared" si="0"/>
        <v>6</v>
      </c>
      <c r="I1" s="406">
        <f t="shared" si="0"/>
        <v>7</v>
      </c>
      <c r="J1" s="406">
        <f t="shared" si="0"/>
        <v>8</v>
      </c>
      <c r="K1" s="406">
        <f t="shared" si="0"/>
        <v>9</v>
      </c>
      <c r="L1" s="406">
        <f t="shared" si="0"/>
        <v>10</v>
      </c>
      <c r="M1" s="406">
        <f t="shared" si="0"/>
        <v>11</v>
      </c>
      <c r="N1" s="406">
        <f t="shared" si="0"/>
        <v>12</v>
      </c>
    </row>
    <row r="2" spans="1:28" s="241" customFormat="1" ht="18">
      <c r="A2" s="240" t="s">
        <v>7</v>
      </c>
      <c r="K2" s="242"/>
    </row>
    <row r="3" spans="1:28">
      <c r="A3" s="243"/>
    </row>
    <row r="4" spans="1:28">
      <c r="A4" s="244" t="s">
        <v>454</v>
      </c>
      <c r="B4" s="517">
        <v>2014</v>
      </c>
      <c r="C4" s="245"/>
      <c r="D4" s="245"/>
      <c r="E4" s="245"/>
      <c r="G4" s="245"/>
      <c r="H4" s="245"/>
      <c r="I4" s="245"/>
    </row>
    <row r="5" spans="1:28">
      <c r="A5" s="243"/>
      <c r="B5" s="245"/>
      <c r="C5" s="245"/>
      <c r="D5" s="245"/>
      <c r="E5" s="245"/>
      <c r="G5" s="245"/>
      <c r="H5" s="245"/>
      <c r="I5" s="245"/>
    </row>
    <row r="6" spans="1:28">
      <c r="A6" s="244" t="s">
        <v>455</v>
      </c>
      <c r="B6" s="246" t="s">
        <v>342</v>
      </c>
      <c r="C6" s="245"/>
      <c r="D6" s="245"/>
      <c r="E6" s="245"/>
      <c r="G6" s="245"/>
      <c r="H6" s="245"/>
      <c r="I6" s="245"/>
    </row>
    <row r="7" spans="1:28">
      <c r="A7" s="243"/>
      <c r="B7" s="245"/>
      <c r="C7" s="403"/>
      <c r="D7" s="247"/>
      <c r="E7" s="247"/>
      <c r="F7" s="247"/>
      <c r="G7" s="247"/>
      <c r="H7" s="247"/>
      <c r="I7" s="247"/>
      <c r="J7" s="247"/>
      <c r="K7" s="247"/>
      <c r="L7" s="247"/>
      <c r="M7" s="247"/>
      <c r="N7" s="247"/>
    </row>
    <row r="8" spans="1:28">
      <c r="A8" s="518"/>
      <c r="B8" s="520" t="s">
        <v>6</v>
      </c>
      <c r="C8" s="521">
        <v>3127</v>
      </c>
      <c r="D8" s="521">
        <v>2844</v>
      </c>
      <c r="E8" s="521" t="s">
        <v>574</v>
      </c>
      <c r="F8" s="521" t="s">
        <v>574</v>
      </c>
      <c r="G8" s="521" t="s">
        <v>574</v>
      </c>
      <c r="H8" s="521" t="s">
        <v>574</v>
      </c>
      <c r="I8" s="521" t="s">
        <v>574</v>
      </c>
      <c r="J8" s="521" t="s">
        <v>574</v>
      </c>
      <c r="K8" s="521" t="s">
        <v>574</v>
      </c>
      <c r="L8" s="521" t="s">
        <v>574</v>
      </c>
      <c r="M8" s="521" t="s">
        <v>574</v>
      </c>
      <c r="N8" s="521" t="s">
        <v>574</v>
      </c>
    </row>
    <row r="9" spans="1:28">
      <c r="A9" s="518"/>
      <c r="B9" s="520" t="s">
        <v>457</v>
      </c>
      <c r="C9" s="522" t="s">
        <v>456</v>
      </c>
      <c r="D9" s="522" t="s">
        <v>456</v>
      </c>
      <c r="E9" s="522" t="s">
        <v>456</v>
      </c>
      <c r="F9" s="522" t="s">
        <v>456</v>
      </c>
      <c r="G9" s="522" t="s">
        <v>456</v>
      </c>
      <c r="H9" s="522" t="s">
        <v>456</v>
      </c>
      <c r="I9" s="522" t="s">
        <v>456</v>
      </c>
      <c r="J9" s="522" t="s">
        <v>456</v>
      </c>
      <c r="K9" s="522" t="s">
        <v>456</v>
      </c>
      <c r="L9" s="522" t="s">
        <v>456</v>
      </c>
      <c r="M9" s="522" t="s">
        <v>456</v>
      </c>
      <c r="N9" s="522" t="s">
        <v>456</v>
      </c>
    </row>
    <row r="10" spans="1:28" ht="15" customHeight="1">
      <c r="A10" s="518"/>
      <c r="B10" s="520" t="s">
        <v>5</v>
      </c>
      <c r="C10" s="523" t="s">
        <v>522</v>
      </c>
      <c r="D10" s="523" t="s">
        <v>522</v>
      </c>
      <c r="E10" s="523" t="s">
        <v>522</v>
      </c>
      <c r="F10" s="523" t="s">
        <v>522</v>
      </c>
      <c r="G10" s="523" t="s">
        <v>522</v>
      </c>
      <c r="H10" s="523" t="s">
        <v>522</v>
      </c>
      <c r="I10" s="523" t="s">
        <v>522</v>
      </c>
      <c r="J10" s="523" t="s">
        <v>522</v>
      </c>
      <c r="K10" s="523" t="s">
        <v>522</v>
      </c>
      <c r="L10" s="523" t="s">
        <v>522</v>
      </c>
      <c r="M10" s="523" t="s">
        <v>522</v>
      </c>
      <c r="N10" s="523" t="s">
        <v>522</v>
      </c>
    </row>
    <row r="11" spans="1:28">
      <c r="A11" s="248" t="s">
        <v>458</v>
      </c>
      <c r="B11" s="249" t="str">
        <f>"December "&amp;B4-1</f>
        <v>December 2013</v>
      </c>
      <c r="C11" s="262">
        <v>0</v>
      </c>
      <c r="D11" s="263">
        <v>32760890.759999994</v>
      </c>
      <c r="E11" s="262">
        <v>0</v>
      </c>
      <c r="F11" s="263">
        <v>0</v>
      </c>
      <c r="G11" s="262">
        <v>0</v>
      </c>
      <c r="H11" s="263">
        <v>0</v>
      </c>
      <c r="I11" s="262">
        <v>0</v>
      </c>
      <c r="J11" s="263">
        <v>0</v>
      </c>
      <c r="K11" s="262">
        <v>0</v>
      </c>
      <c r="L11" s="263">
        <v>0</v>
      </c>
      <c r="M11" s="262">
        <v>0</v>
      </c>
      <c r="N11" s="296">
        <v>0</v>
      </c>
      <c r="P11" s="704"/>
      <c r="Q11" s="704"/>
      <c r="R11" s="704"/>
      <c r="S11" s="704"/>
      <c r="T11" s="704"/>
      <c r="U11" s="704"/>
      <c r="V11" s="704"/>
      <c r="W11" s="704"/>
      <c r="X11" s="704"/>
      <c r="Y11" s="704"/>
      <c r="Z11" s="704"/>
      <c r="AA11" s="704"/>
      <c r="AB11" s="704"/>
    </row>
    <row r="12" spans="1:28">
      <c r="A12" s="253" t="s">
        <v>459</v>
      </c>
      <c r="B12" s="254" t="str">
        <f>"January "&amp;B4</f>
        <v>January 2014</v>
      </c>
      <c r="C12" s="250">
        <v>0</v>
      </c>
      <c r="D12" s="251">
        <v>32939259.180000003</v>
      </c>
      <c r="E12" s="250">
        <v>0</v>
      </c>
      <c r="F12" s="251">
        <v>0</v>
      </c>
      <c r="G12" s="250">
        <v>0</v>
      </c>
      <c r="H12" s="251">
        <v>0</v>
      </c>
      <c r="I12" s="250">
        <v>0</v>
      </c>
      <c r="J12" s="251">
        <v>0</v>
      </c>
      <c r="K12" s="250">
        <v>0</v>
      </c>
      <c r="L12" s="251">
        <v>0</v>
      </c>
      <c r="M12" s="250">
        <v>0</v>
      </c>
      <c r="N12" s="295">
        <v>0</v>
      </c>
      <c r="P12" s="704"/>
      <c r="Q12" s="704"/>
      <c r="R12" s="704"/>
      <c r="S12" s="704"/>
      <c r="T12" s="704"/>
      <c r="U12" s="704"/>
      <c r="V12" s="704"/>
      <c r="W12" s="704"/>
      <c r="X12" s="704"/>
      <c r="Y12" s="704"/>
      <c r="Z12" s="704"/>
      <c r="AA12" s="704"/>
      <c r="AB12" s="704"/>
    </row>
    <row r="13" spans="1:28">
      <c r="A13" s="253"/>
      <c r="B13" s="255" t="s">
        <v>24</v>
      </c>
      <c r="C13" s="250">
        <v>0</v>
      </c>
      <c r="D13" s="251">
        <v>33065540.369999994</v>
      </c>
      <c r="E13" s="250">
        <v>0</v>
      </c>
      <c r="F13" s="251">
        <v>0</v>
      </c>
      <c r="G13" s="250">
        <v>0</v>
      </c>
      <c r="H13" s="251">
        <v>0</v>
      </c>
      <c r="I13" s="250">
        <v>0</v>
      </c>
      <c r="J13" s="251">
        <v>0</v>
      </c>
      <c r="K13" s="250">
        <v>0</v>
      </c>
      <c r="L13" s="251">
        <v>0</v>
      </c>
      <c r="M13" s="250">
        <v>0</v>
      </c>
      <c r="N13" s="295">
        <v>0</v>
      </c>
    </row>
    <row r="14" spans="1:28">
      <c r="A14" s="253"/>
      <c r="B14" s="255" t="s">
        <v>452</v>
      </c>
      <c r="C14" s="250">
        <v>0</v>
      </c>
      <c r="D14" s="251">
        <v>33091238.07</v>
      </c>
      <c r="E14" s="250">
        <v>0</v>
      </c>
      <c r="F14" s="251">
        <v>0</v>
      </c>
      <c r="G14" s="250">
        <v>0</v>
      </c>
      <c r="H14" s="251">
        <v>0</v>
      </c>
      <c r="I14" s="250">
        <v>0</v>
      </c>
      <c r="J14" s="251">
        <v>0</v>
      </c>
      <c r="K14" s="250">
        <v>0</v>
      </c>
      <c r="L14" s="251">
        <v>0</v>
      </c>
      <c r="M14" s="250">
        <v>0</v>
      </c>
      <c r="N14" s="295">
        <v>0</v>
      </c>
    </row>
    <row r="15" spans="1:28">
      <c r="A15" s="253"/>
      <c r="B15" s="255" t="s">
        <v>23</v>
      </c>
      <c r="C15" s="250">
        <v>0</v>
      </c>
      <c r="D15" s="251">
        <v>33322220.919999998</v>
      </c>
      <c r="E15" s="250">
        <v>0</v>
      </c>
      <c r="F15" s="251">
        <v>0</v>
      </c>
      <c r="G15" s="250">
        <v>0</v>
      </c>
      <c r="H15" s="251">
        <v>0</v>
      </c>
      <c r="I15" s="250">
        <v>0</v>
      </c>
      <c r="J15" s="251">
        <v>0</v>
      </c>
      <c r="K15" s="250">
        <v>0</v>
      </c>
      <c r="L15" s="251">
        <v>0</v>
      </c>
      <c r="M15" s="250">
        <v>0</v>
      </c>
      <c r="N15" s="295">
        <v>0</v>
      </c>
    </row>
    <row r="16" spans="1:28">
      <c r="A16" s="253"/>
      <c r="B16" s="255" t="s">
        <v>22</v>
      </c>
      <c r="C16" s="250">
        <v>0</v>
      </c>
      <c r="D16" s="251">
        <v>33491289.23</v>
      </c>
      <c r="E16" s="250">
        <v>0</v>
      </c>
      <c r="F16" s="251">
        <v>0</v>
      </c>
      <c r="G16" s="250">
        <v>0</v>
      </c>
      <c r="H16" s="251">
        <v>0</v>
      </c>
      <c r="I16" s="250">
        <v>0</v>
      </c>
      <c r="J16" s="251">
        <v>0</v>
      </c>
      <c r="K16" s="250">
        <v>0</v>
      </c>
      <c r="L16" s="251">
        <v>0</v>
      </c>
      <c r="M16" s="250">
        <v>0</v>
      </c>
      <c r="N16" s="295">
        <v>0</v>
      </c>
    </row>
    <row r="17" spans="1:14">
      <c r="A17" s="253"/>
      <c r="B17" s="255" t="s">
        <v>21</v>
      </c>
      <c r="C17" s="250">
        <v>0</v>
      </c>
      <c r="D17" s="251">
        <v>33602992.669999994</v>
      </c>
      <c r="E17" s="250">
        <v>0</v>
      </c>
      <c r="F17" s="251">
        <v>0</v>
      </c>
      <c r="G17" s="250">
        <v>0</v>
      </c>
      <c r="H17" s="251">
        <v>0</v>
      </c>
      <c r="I17" s="250">
        <v>0</v>
      </c>
      <c r="J17" s="251">
        <v>0</v>
      </c>
      <c r="K17" s="250">
        <v>0</v>
      </c>
      <c r="L17" s="251">
        <v>0</v>
      </c>
      <c r="M17" s="250">
        <v>0</v>
      </c>
      <c r="N17" s="295">
        <v>0</v>
      </c>
    </row>
    <row r="18" spans="1:14">
      <c r="A18" s="253"/>
      <c r="B18" s="255" t="s">
        <v>20</v>
      </c>
      <c r="C18" s="250">
        <v>0</v>
      </c>
      <c r="D18" s="251">
        <v>33774036.399999999</v>
      </c>
      <c r="E18" s="250">
        <v>0</v>
      </c>
      <c r="F18" s="251">
        <v>0</v>
      </c>
      <c r="G18" s="250">
        <v>0</v>
      </c>
      <c r="H18" s="251">
        <v>0</v>
      </c>
      <c r="I18" s="250">
        <v>0</v>
      </c>
      <c r="J18" s="251">
        <v>0</v>
      </c>
      <c r="K18" s="250">
        <v>0</v>
      </c>
      <c r="L18" s="251">
        <v>0</v>
      </c>
      <c r="M18" s="250">
        <v>0</v>
      </c>
      <c r="N18" s="295">
        <v>0</v>
      </c>
    </row>
    <row r="19" spans="1:14">
      <c r="A19" s="253"/>
      <c r="B19" s="255" t="s">
        <v>453</v>
      </c>
      <c r="C19" s="250">
        <v>0</v>
      </c>
      <c r="D19" s="251">
        <v>33791485.409999996</v>
      </c>
      <c r="E19" s="250">
        <v>0</v>
      </c>
      <c r="F19" s="251">
        <v>0</v>
      </c>
      <c r="G19" s="250">
        <v>0</v>
      </c>
      <c r="H19" s="251">
        <v>0</v>
      </c>
      <c r="I19" s="250">
        <v>0</v>
      </c>
      <c r="J19" s="251">
        <v>0</v>
      </c>
      <c r="K19" s="250">
        <v>0</v>
      </c>
      <c r="L19" s="251">
        <v>0</v>
      </c>
      <c r="M19" s="250">
        <v>0</v>
      </c>
      <c r="N19" s="295">
        <v>0</v>
      </c>
    </row>
    <row r="20" spans="1:14">
      <c r="A20" s="253"/>
      <c r="B20" s="255" t="s">
        <v>19</v>
      </c>
      <c r="C20" s="250">
        <v>0</v>
      </c>
      <c r="D20" s="251">
        <v>33500740.770000003</v>
      </c>
      <c r="E20" s="250">
        <v>0</v>
      </c>
      <c r="F20" s="251">
        <v>0</v>
      </c>
      <c r="G20" s="250">
        <v>0</v>
      </c>
      <c r="H20" s="251">
        <v>0</v>
      </c>
      <c r="I20" s="250">
        <v>0</v>
      </c>
      <c r="J20" s="251">
        <v>0</v>
      </c>
      <c r="K20" s="250">
        <v>0</v>
      </c>
      <c r="L20" s="251">
        <v>0</v>
      </c>
      <c r="M20" s="250">
        <v>0</v>
      </c>
      <c r="N20" s="295">
        <v>0</v>
      </c>
    </row>
    <row r="21" spans="1:14">
      <c r="A21" s="253"/>
      <c r="B21" s="255" t="s">
        <v>18</v>
      </c>
      <c r="C21" s="250">
        <v>0</v>
      </c>
      <c r="D21" s="251">
        <v>33509643.970000003</v>
      </c>
      <c r="E21" s="250">
        <v>0</v>
      </c>
      <c r="F21" s="251">
        <v>0</v>
      </c>
      <c r="G21" s="250">
        <v>0</v>
      </c>
      <c r="H21" s="251">
        <v>0</v>
      </c>
      <c r="I21" s="250">
        <v>0</v>
      </c>
      <c r="J21" s="251">
        <v>0</v>
      </c>
      <c r="K21" s="250">
        <v>0</v>
      </c>
      <c r="L21" s="251">
        <v>0</v>
      </c>
      <c r="M21" s="250">
        <v>0</v>
      </c>
      <c r="N21" s="295">
        <v>0</v>
      </c>
    </row>
    <row r="22" spans="1:14">
      <c r="A22" s="253"/>
      <c r="B22" s="255" t="s">
        <v>17</v>
      </c>
      <c r="C22" s="250">
        <v>0</v>
      </c>
      <c r="D22" s="251">
        <v>33520841.149999999</v>
      </c>
      <c r="E22" s="250">
        <v>0</v>
      </c>
      <c r="F22" s="251">
        <v>0</v>
      </c>
      <c r="G22" s="250">
        <v>0</v>
      </c>
      <c r="H22" s="251">
        <v>0</v>
      </c>
      <c r="I22" s="250">
        <v>0</v>
      </c>
      <c r="J22" s="251">
        <v>0</v>
      </c>
      <c r="K22" s="250">
        <v>0</v>
      </c>
      <c r="L22" s="251">
        <v>0</v>
      </c>
      <c r="M22" s="250">
        <v>0</v>
      </c>
      <c r="N22" s="295">
        <v>0</v>
      </c>
    </row>
    <row r="23" spans="1:14">
      <c r="A23" s="256"/>
      <c r="B23" s="257" t="str">
        <f>"December "&amp;B4</f>
        <v>December 2014</v>
      </c>
      <c r="C23" s="265">
        <v>0</v>
      </c>
      <c r="D23" s="266">
        <v>33526020.93</v>
      </c>
      <c r="E23" s="265">
        <v>0</v>
      </c>
      <c r="F23" s="266">
        <v>0</v>
      </c>
      <c r="G23" s="265">
        <v>0</v>
      </c>
      <c r="H23" s="266">
        <v>0</v>
      </c>
      <c r="I23" s="265">
        <v>0</v>
      </c>
      <c r="J23" s="266">
        <v>0</v>
      </c>
      <c r="K23" s="265">
        <v>0</v>
      </c>
      <c r="L23" s="266">
        <v>0</v>
      </c>
      <c r="M23" s="265">
        <v>0</v>
      </c>
      <c r="N23" s="297">
        <v>0</v>
      </c>
    </row>
    <row r="24" spans="1:14">
      <c r="A24" s="258"/>
      <c r="B24" s="290" t="s">
        <v>4</v>
      </c>
      <c r="C24" s="260">
        <f>AVERAGE(C11:C23)</f>
        <v>0</v>
      </c>
      <c r="D24" s="260">
        <f>AVERAGE(D11:D23)</f>
        <v>33376630.756153844</v>
      </c>
      <c r="E24" s="260">
        <f>AVERAGE(E11:E23)</f>
        <v>0</v>
      </c>
      <c r="F24" s="260">
        <f>AVERAGE(F11:F23)</f>
        <v>0</v>
      </c>
      <c r="G24" s="260">
        <f>AVERAGE(G11:G23)</f>
        <v>0</v>
      </c>
      <c r="H24" s="260">
        <f t="shared" ref="H24:N24" si="1">AVERAGE(H11:H23)</f>
        <v>0</v>
      </c>
      <c r="I24" s="260">
        <f t="shared" si="1"/>
        <v>0</v>
      </c>
      <c r="J24" s="260">
        <f t="shared" si="1"/>
        <v>0</v>
      </c>
      <c r="K24" s="260">
        <f t="shared" si="1"/>
        <v>0</v>
      </c>
      <c r="L24" s="260">
        <f t="shared" si="1"/>
        <v>0</v>
      </c>
      <c r="M24" s="260">
        <f t="shared" si="1"/>
        <v>0</v>
      </c>
      <c r="N24" s="261">
        <f t="shared" si="1"/>
        <v>0</v>
      </c>
    </row>
    <row r="25" spans="1:14">
      <c r="A25" s="258"/>
      <c r="B25" s="290"/>
      <c r="C25" s="290"/>
      <c r="D25" s="290"/>
      <c r="E25" s="290"/>
      <c r="F25" s="290"/>
      <c r="G25" s="290"/>
      <c r="H25" s="290"/>
      <c r="I25" s="290"/>
      <c r="J25" s="290"/>
      <c r="K25" s="290"/>
      <c r="L25" s="290"/>
    </row>
    <row r="26" spans="1:14">
      <c r="A26" s="258"/>
      <c r="B26" s="290"/>
      <c r="C26" s="290"/>
      <c r="D26" s="290"/>
      <c r="E26" s="290"/>
      <c r="F26" s="290"/>
      <c r="G26" s="290"/>
      <c r="H26" s="290"/>
      <c r="I26" s="290"/>
      <c r="J26" s="290"/>
      <c r="K26" s="290"/>
      <c r="L26" s="290"/>
    </row>
    <row r="27" spans="1:14">
      <c r="A27" s="248" t="s">
        <v>460</v>
      </c>
      <c r="B27" s="249" t="str">
        <f>+B11</f>
        <v>December 2013</v>
      </c>
      <c r="C27" s="262">
        <f>+C11-C44</f>
        <v>0</v>
      </c>
      <c r="D27" s="263">
        <f t="shared" ref="D27:N27" si="2">+D11-D44</f>
        <v>42478.050000000745</v>
      </c>
      <c r="E27" s="262">
        <f t="shared" si="2"/>
        <v>0</v>
      </c>
      <c r="F27" s="263">
        <f t="shared" si="2"/>
        <v>0</v>
      </c>
      <c r="G27" s="262">
        <f t="shared" si="2"/>
        <v>0</v>
      </c>
      <c r="H27" s="263">
        <f t="shared" si="2"/>
        <v>0</v>
      </c>
      <c r="I27" s="262">
        <f t="shared" si="2"/>
        <v>0</v>
      </c>
      <c r="J27" s="263">
        <f t="shared" si="2"/>
        <v>0</v>
      </c>
      <c r="K27" s="262">
        <f t="shared" si="2"/>
        <v>0</v>
      </c>
      <c r="L27" s="263">
        <f t="shared" si="2"/>
        <v>0</v>
      </c>
      <c r="M27" s="262">
        <f t="shared" si="2"/>
        <v>0</v>
      </c>
      <c r="N27" s="296">
        <f t="shared" si="2"/>
        <v>0</v>
      </c>
    </row>
    <row r="28" spans="1:14">
      <c r="A28" s="253" t="s">
        <v>461</v>
      </c>
      <c r="B28" s="254" t="str">
        <f t="shared" ref="B28:B39" si="3">+B12</f>
        <v>January 2014</v>
      </c>
      <c r="C28" s="250">
        <f t="shared" ref="C28:N39" si="4">+C12-C45</f>
        <v>0</v>
      </c>
      <c r="D28" s="251">
        <f t="shared" si="4"/>
        <v>103343.16000000015</v>
      </c>
      <c r="E28" s="250">
        <f t="shared" si="4"/>
        <v>0</v>
      </c>
      <c r="F28" s="251">
        <f t="shared" si="4"/>
        <v>0</v>
      </c>
      <c r="G28" s="250">
        <f t="shared" si="4"/>
        <v>0</v>
      </c>
      <c r="H28" s="251">
        <f t="shared" si="4"/>
        <v>0</v>
      </c>
      <c r="I28" s="250">
        <f t="shared" si="4"/>
        <v>0</v>
      </c>
      <c r="J28" s="251">
        <f t="shared" si="4"/>
        <v>0</v>
      </c>
      <c r="K28" s="250">
        <f t="shared" si="4"/>
        <v>0</v>
      </c>
      <c r="L28" s="251">
        <f t="shared" si="4"/>
        <v>0</v>
      </c>
      <c r="M28" s="250">
        <f t="shared" si="4"/>
        <v>0</v>
      </c>
      <c r="N28" s="295">
        <f t="shared" si="4"/>
        <v>0</v>
      </c>
    </row>
    <row r="29" spans="1:14">
      <c r="A29" s="253"/>
      <c r="B29" s="254" t="str">
        <f t="shared" si="3"/>
        <v>February</v>
      </c>
      <c r="C29" s="250">
        <f t="shared" si="4"/>
        <v>0</v>
      </c>
      <c r="D29" s="251">
        <f t="shared" ref="D29" si="5">+D13-D46</f>
        <v>164457.82999999821</v>
      </c>
      <c r="E29" s="250">
        <f t="shared" si="4"/>
        <v>0</v>
      </c>
      <c r="F29" s="251">
        <f t="shared" si="4"/>
        <v>0</v>
      </c>
      <c r="G29" s="250">
        <f t="shared" si="4"/>
        <v>0</v>
      </c>
      <c r="H29" s="251">
        <f t="shared" si="4"/>
        <v>0</v>
      </c>
      <c r="I29" s="250">
        <f t="shared" si="4"/>
        <v>0</v>
      </c>
      <c r="J29" s="251">
        <f t="shared" si="4"/>
        <v>0</v>
      </c>
      <c r="K29" s="250">
        <f t="shared" si="4"/>
        <v>0</v>
      </c>
      <c r="L29" s="251">
        <f t="shared" si="4"/>
        <v>0</v>
      </c>
      <c r="M29" s="250">
        <f t="shared" si="4"/>
        <v>0</v>
      </c>
      <c r="N29" s="295">
        <f t="shared" si="4"/>
        <v>0</v>
      </c>
    </row>
    <row r="30" spans="1:14">
      <c r="A30" s="253"/>
      <c r="B30" s="254" t="str">
        <f t="shared" si="3"/>
        <v xml:space="preserve">March </v>
      </c>
      <c r="C30" s="250">
        <f t="shared" si="4"/>
        <v>0</v>
      </c>
      <c r="D30" s="251">
        <f t="shared" ref="D30" si="6">+D14-D47</f>
        <v>225799.96999999881</v>
      </c>
      <c r="E30" s="250">
        <f t="shared" si="4"/>
        <v>0</v>
      </c>
      <c r="F30" s="251">
        <f t="shared" si="4"/>
        <v>0</v>
      </c>
      <c r="G30" s="250">
        <f t="shared" si="4"/>
        <v>0</v>
      </c>
      <c r="H30" s="251">
        <f t="shared" si="4"/>
        <v>0</v>
      </c>
      <c r="I30" s="250">
        <f t="shared" si="4"/>
        <v>0</v>
      </c>
      <c r="J30" s="251">
        <f t="shared" si="4"/>
        <v>0</v>
      </c>
      <c r="K30" s="250">
        <f t="shared" si="4"/>
        <v>0</v>
      </c>
      <c r="L30" s="251">
        <f t="shared" si="4"/>
        <v>0</v>
      </c>
      <c r="M30" s="250">
        <f t="shared" si="4"/>
        <v>0</v>
      </c>
      <c r="N30" s="295">
        <f t="shared" si="4"/>
        <v>0</v>
      </c>
    </row>
    <row r="31" spans="1:14">
      <c r="A31" s="253"/>
      <c r="B31" s="254" t="str">
        <f t="shared" si="3"/>
        <v>April</v>
      </c>
      <c r="C31" s="250">
        <f t="shared" si="4"/>
        <v>0</v>
      </c>
      <c r="D31" s="251">
        <f t="shared" ref="D31" si="7">+D15-D48</f>
        <v>287190.07999999821</v>
      </c>
      <c r="E31" s="250">
        <f t="shared" si="4"/>
        <v>0</v>
      </c>
      <c r="F31" s="251">
        <f t="shared" si="4"/>
        <v>0</v>
      </c>
      <c r="G31" s="250">
        <f t="shared" si="4"/>
        <v>0</v>
      </c>
      <c r="H31" s="251">
        <f t="shared" si="4"/>
        <v>0</v>
      </c>
      <c r="I31" s="250">
        <f t="shared" si="4"/>
        <v>0</v>
      </c>
      <c r="J31" s="251">
        <f t="shared" si="4"/>
        <v>0</v>
      </c>
      <c r="K31" s="250">
        <f t="shared" si="4"/>
        <v>0</v>
      </c>
      <c r="L31" s="251">
        <f t="shared" si="4"/>
        <v>0</v>
      </c>
      <c r="M31" s="250">
        <f t="shared" si="4"/>
        <v>0</v>
      </c>
      <c r="N31" s="295">
        <f t="shared" si="4"/>
        <v>0</v>
      </c>
    </row>
    <row r="32" spans="1:14">
      <c r="A32" s="253"/>
      <c r="B32" s="254" t="str">
        <f t="shared" si="3"/>
        <v>May</v>
      </c>
      <c r="C32" s="250">
        <f t="shared" si="4"/>
        <v>0</v>
      </c>
      <c r="D32" s="251">
        <f t="shared" ref="D32" si="8">+D16-D49</f>
        <v>349027.28999999911</v>
      </c>
      <c r="E32" s="250">
        <f t="shared" si="4"/>
        <v>0</v>
      </c>
      <c r="F32" s="251">
        <f t="shared" si="4"/>
        <v>0</v>
      </c>
      <c r="G32" s="250">
        <f t="shared" si="4"/>
        <v>0</v>
      </c>
      <c r="H32" s="251">
        <f t="shared" si="4"/>
        <v>0</v>
      </c>
      <c r="I32" s="250">
        <f t="shared" si="4"/>
        <v>0</v>
      </c>
      <c r="J32" s="251">
        <f t="shared" si="4"/>
        <v>0</v>
      </c>
      <c r="K32" s="250">
        <f t="shared" si="4"/>
        <v>0</v>
      </c>
      <c r="L32" s="251">
        <f t="shared" si="4"/>
        <v>0</v>
      </c>
      <c r="M32" s="250">
        <f t="shared" si="4"/>
        <v>0</v>
      </c>
      <c r="N32" s="295">
        <f t="shared" si="4"/>
        <v>0</v>
      </c>
    </row>
    <row r="33" spans="1:22">
      <c r="A33" s="253"/>
      <c r="B33" s="254" t="str">
        <f t="shared" si="3"/>
        <v>June</v>
      </c>
      <c r="C33" s="250">
        <f t="shared" si="4"/>
        <v>0</v>
      </c>
      <c r="D33" s="251">
        <f t="shared" ref="D33" si="9">+D17-D50</f>
        <v>411185.5700000003</v>
      </c>
      <c r="E33" s="250">
        <f t="shared" si="4"/>
        <v>0</v>
      </c>
      <c r="F33" s="251">
        <f t="shared" si="4"/>
        <v>0</v>
      </c>
      <c r="G33" s="250">
        <f t="shared" si="4"/>
        <v>0</v>
      </c>
      <c r="H33" s="251">
        <f t="shared" si="4"/>
        <v>0</v>
      </c>
      <c r="I33" s="250">
        <f t="shared" si="4"/>
        <v>0</v>
      </c>
      <c r="J33" s="251">
        <f t="shared" si="4"/>
        <v>0</v>
      </c>
      <c r="K33" s="250">
        <f t="shared" si="4"/>
        <v>0</v>
      </c>
      <c r="L33" s="251">
        <f t="shared" si="4"/>
        <v>0</v>
      </c>
      <c r="M33" s="250">
        <f t="shared" si="4"/>
        <v>0</v>
      </c>
      <c r="N33" s="295">
        <f t="shared" si="4"/>
        <v>0</v>
      </c>
    </row>
    <row r="34" spans="1:22">
      <c r="A34" s="253"/>
      <c r="B34" s="254" t="str">
        <f t="shared" si="3"/>
        <v>July</v>
      </c>
      <c r="C34" s="250">
        <f t="shared" si="4"/>
        <v>0</v>
      </c>
      <c r="D34" s="251">
        <f t="shared" ref="D34" si="10">+D18-D51</f>
        <v>473355.05000000075</v>
      </c>
      <c r="E34" s="250">
        <f t="shared" si="4"/>
        <v>0</v>
      </c>
      <c r="F34" s="251">
        <f t="shared" si="4"/>
        <v>0</v>
      </c>
      <c r="G34" s="250">
        <f t="shared" si="4"/>
        <v>0</v>
      </c>
      <c r="H34" s="251">
        <f t="shared" si="4"/>
        <v>0</v>
      </c>
      <c r="I34" s="250">
        <f t="shared" si="4"/>
        <v>0</v>
      </c>
      <c r="J34" s="251">
        <f t="shared" si="4"/>
        <v>0</v>
      </c>
      <c r="K34" s="250">
        <f t="shared" si="4"/>
        <v>0</v>
      </c>
      <c r="L34" s="251">
        <f t="shared" si="4"/>
        <v>0</v>
      </c>
      <c r="M34" s="250">
        <f t="shared" si="4"/>
        <v>0</v>
      </c>
      <c r="N34" s="295">
        <f t="shared" si="4"/>
        <v>0</v>
      </c>
    </row>
    <row r="35" spans="1:22">
      <c r="A35" s="253"/>
      <c r="B35" s="254" t="str">
        <f t="shared" si="3"/>
        <v xml:space="preserve">August </v>
      </c>
      <c r="C35" s="250">
        <f t="shared" si="4"/>
        <v>0</v>
      </c>
      <c r="D35" s="251">
        <f t="shared" ref="D35" si="11">+D19-D52</f>
        <v>536052.55999999866</v>
      </c>
      <c r="E35" s="250">
        <f t="shared" si="4"/>
        <v>0</v>
      </c>
      <c r="F35" s="251">
        <f t="shared" si="4"/>
        <v>0</v>
      </c>
      <c r="G35" s="250">
        <f t="shared" si="4"/>
        <v>0</v>
      </c>
      <c r="H35" s="251">
        <f t="shared" si="4"/>
        <v>0</v>
      </c>
      <c r="I35" s="250">
        <f t="shared" si="4"/>
        <v>0</v>
      </c>
      <c r="J35" s="251">
        <f t="shared" si="4"/>
        <v>0</v>
      </c>
      <c r="K35" s="250">
        <f t="shared" si="4"/>
        <v>0</v>
      </c>
      <c r="L35" s="251">
        <f t="shared" si="4"/>
        <v>0</v>
      </c>
      <c r="M35" s="250">
        <f t="shared" si="4"/>
        <v>0</v>
      </c>
      <c r="N35" s="295">
        <f t="shared" si="4"/>
        <v>0</v>
      </c>
    </row>
    <row r="36" spans="1:22">
      <c r="A36" s="253"/>
      <c r="B36" s="254" t="str">
        <f t="shared" si="3"/>
        <v>September</v>
      </c>
      <c r="C36" s="250">
        <f t="shared" si="4"/>
        <v>0</v>
      </c>
      <c r="D36" s="251">
        <f t="shared" ref="D36" si="12">+D20-D53</f>
        <v>598783.12999999896</v>
      </c>
      <c r="E36" s="250">
        <f t="shared" si="4"/>
        <v>0</v>
      </c>
      <c r="F36" s="251">
        <f t="shared" si="4"/>
        <v>0</v>
      </c>
      <c r="G36" s="250">
        <f t="shared" si="4"/>
        <v>0</v>
      </c>
      <c r="H36" s="251">
        <f t="shared" si="4"/>
        <v>0</v>
      </c>
      <c r="I36" s="250">
        <f t="shared" si="4"/>
        <v>0</v>
      </c>
      <c r="J36" s="251">
        <f t="shared" si="4"/>
        <v>0</v>
      </c>
      <c r="K36" s="250">
        <f t="shared" si="4"/>
        <v>0</v>
      </c>
      <c r="L36" s="251">
        <f t="shared" si="4"/>
        <v>0</v>
      </c>
      <c r="M36" s="250">
        <f t="shared" si="4"/>
        <v>0</v>
      </c>
      <c r="N36" s="295">
        <f t="shared" si="4"/>
        <v>0</v>
      </c>
    </row>
    <row r="37" spans="1:22">
      <c r="A37" s="253"/>
      <c r="B37" s="254" t="str">
        <f t="shared" si="3"/>
        <v>October</v>
      </c>
      <c r="C37" s="250">
        <f t="shared" si="4"/>
        <v>0</v>
      </c>
      <c r="D37" s="251">
        <f t="shared" ref="D37" si="13">+D21-D54</f>
        <v>661109.73000000045</v>
      </c>
      <c r="E37" s="250">
        <f t="shared" si="4"/>
        <v>0</v>
      </c>
      <c r="F37" s="251">
        <f t="shared" si="4"/>
        <v>0</v>
      </c>
      <c r="G37" s="250">
        <f t="shared" si="4"/>
        <v>0</v>
      </c>
      <c r="H37" s="251">
        <f t="shared" si="4"/>
        <v>0</v>
      </c>
      <c r="I37" s="250">
        <f t="shared" si="4"/>
        <v>0</v>
      </c>
      <c r="J37" s="251">
        <f t="shared" si="4"/>
        <v>0</v>
      </c>
      <c r="K37" s="250">
        <f t="shared" si="4"/>
        <v>0</v>
      </c>
      <c r="L37" s="251">
        <f t="shared" si="4"/>
        <v>0</v>
      </c>
      <c r="M37" s="250">
        <f t="shared" si="4"/>
        <v>0</v>
      </c>
      <c r="N37" s="295">
        <f t="shared" si="4"/>
        <v>0</v>
      </c>
    </row>
    <row r="38" spans="1:22">
      <c r="A38" s="253"/>
      <c r="B38" s="254" t="str">
        <f t="shared" si="3"/>
        <v>November</v>
      </c>
      <c r="C38" s="250">
        <f t="shared" si="4"/>
        <v>0</v>
      </c>
      <c r="D38" s="251">
        <f t="shared" ref="D38" si="14">+D22-D55</f>
        <v>723454.76000000164</v>
      </c>
      <c r="E38" s="250">
        <f t="shared" si="4"/>
        <v>0</v>
      </c>
      <c r="F38" s="251">
        <f t="shared" si="4"/>
        <v>0</v>
      </c>
      <c r="G38" s="250">
        <f t="shared" si="4"/>
        <v>0</v>
      </c>
      <c r="H38" s="251">
        <f t="shared" si="4"/>
        <v>0</v>
      </c>
      <c r="I38" s="250">
        <f t="shared" si="4"/>
        <v>0</v>
      </c>
      <c r="J38" s="251">
        <f t="shared" si="4"/>
        <v>0</v>
      </c>
      <c r="K38" s="250">
        <f t="shared" si="4"/>
        <v>0</v>
      </c>
      <c r="L38" s="251">
        <f t="shared" si="4"/>
        <v>0</v>
      </c>
      <c r="M38" s="250">
        <f t="shared" si="4"/>
        <v>0</v>
      </c>
      <c r="N38" s="295">
        <f t="shared" si="4"/>
        <v>0</v>
      </c>
    </row>
    <row r="39" spans="1:22">
      <c r="A39" s="256"/>
      <c r="B39" s="254" t="str">
        <f t="shared" si="3"/>
        <v>December 2014</v>
      </c>
      <c r="C39" s="265">
        <f t="shared" si="4"/>
        <v>0</v>
      </c>
      <c r="D39" s="251">
        <f t="shared" ref="D39" si="15">+D23-D56</f>
        <v>785822.26999999955</v>
      </c>
      <c r="E39" s="265">
        <f t="shared" si="4"/>
        <v>0</v>
      </c>
      <c r="F39" s="266">
        <f t="shared" si="4"/>
        <v>0</v>
      </c>
      <c r="G39" s="265">
        <f t="shared" si="4"/>
        <v>0</v>
      </c>
      <c r="H39" s="266">
        <f t="shared" si="4"/>
        <v>0</v>
      </c>
      <c r="I39" s="265">
        <f t="shared" si="4"/>
        <v>0</v>
      </c>
      <c r="J39" s="266">
        <f t="shared" si="4"/>
        <v>0</v>
      </c>
      <c r="K39" s="265">
        <f t="shared" si="4"/>
        <v>0</v>
      </c>
      <c r="L39" s="266">
        <f t="shared" si="4"/>
        <v>0</v>
      </c>
      <c r="M39" s="265">
        <f t="shared" si="4"/>
        <v>0</v>
      </c>
      <c r="N39" s="297">
        <f t="shared" si="4"/>
        <v>0</v>
      </c>
    </row>
    <row r="40" spans="1:22">
      <c r="A40" s="258"/>
      <c r="B40" s="268" t="s">
        <v>4</v>
      </c>
      <c r="C40" s="260">
        <f t="shared" ref="C40:N40" si="16">AVERAGE(C27:C39)</f>
        <v>0</v>
      </c>
      <c r="D40" s="260">
        <f t="shared" si="16"/>
        <v>412466.11153846118</v>
      </c>
      <c r="E40" s="260">
        <f t="shared" si="16"/>
        <v>0</v>
      </c>
      <c r="F40" s="260">
        <f t="shared" si="16"/>
        <v>0</v>
      </c>
      <c r="G40" s="260">
        <f t="shared" si="16"/>
        <v>0</v>
      </c>
      <c r="H40" s="260">
        <f t="shared" si="16"/>
        <v>0</v>
      </c>
      <c r="I40" s="260">
        <f t="shared" si="16"/>
        <v>0</v>
      </c>
      <c r="J40" s="260">
        <f t="shared" si="16"/>
        <v>0</v>
      </c>
      <c r="K40" s="260">
        <f t="shared" si="16"/>
        <v>0</v>
      </c>
      <c r="L40" s="260">
        <f t="shared" si="16"/>
        <v>0</v>
      </c>
      <c r="M40" s="260">
        <f t="shared" si="16"/>
        <v>0</v>
      </c>
      <c r="N40" s="261">
        <f t="shared" si="16"/>
        <v>0</v>
      </c>
    </row>
    <row r="41" spans="1:22" s="294" customFormat="1">
      <c r="A41" s="269"/>
      <c r="B41" s="270"/>
      <c r="C41" s="271"/>
      <c r="D41" s="271"/>
      <c r="E41" s="271"/>
      <c r="F41" s="271"/>
      <c r="G41" s="271"/>
      <c r="H41" s="272"/>
      <c r="I41" s="272"/>
      <c r="J41" s="272"/>
      <c r="K41" s="271"/>
      <c r="O41" s="226"/>
      <c r="P41" s="226"/>
      <c r="Q41" s="226"/>
      <c r="R41" s="226"/>
      <c r="S41" s="226"/>
      <c r="T41" s="226"/>
      <c r="U41" s="226"/>
      <c r="V41" s="226"/>
    </row>
    <row r="42" spans="1:22">
      <c r="A42" s="258"/>
      <c r="B42" s="273"/>
      <c r="C42" s="274"/>
      <c r="D42" s="274"/>
      <c r="E42" s="274"/>
      <c r="F42" s="274"/>
      <c r="G42" s="274"/>
      <c r="H42" s="274"/>
      <c r="I42" s="274"/>
      <c r="J42" s="274"/>
      <c r="K42" s="275"/>
    </row>
    <row r="43" spans="1:22">
      <c r="A43" s="276"/>
      <c r="B43" s="277"/>
      <c r="C43" s="278"/>
      <c r="D43" s="279"/>
      <c r="E43" s="279"/>
      <c r="F43" s="279"/>
      <c r="G43" s="279"/>
      <c r="H43" s="279"/>
      <c r="I43" s="279"/>
      <c r="J43" s="279"/>
      <c r="K43" s="280"/>
      <c r="L43" s="519"/>
      <c r="M43" s="519"/>
      <c r="N43" s="519"/>
    </row>
    <row r="44" spans="1:22">
      <c r="A44" s="253" t="s">
        <v>462</v>
      </c>
      <c r="B44" s="281" t="str">
        <f>+B11</f>
        <v>December 2013</v>
      </c>
      <c r="C44" s="262">
        <v>0</v>
      </c>
      <c r="D44" s="263">
        <v>32718412.709999993</v>
      </c>
      <c r="E44" s="262">
        <v>0</v>
      </c>
      <c r="F44" s="263">
        <v>0</v>
      </c>
      <c r="G44" s="262">
        <v>0</v>
      </c>
      <c r="H44" s="263">
        <v>0</v>
      </c>
      <c r="I44" s="262">
        <v>0</v>
      </c>
      <c r="J44" s="263">
        <v>0</v>
      </c>
      <c r="K44" s="262">
        <v>0</v>
      </c>
      <c r="L44" s="263">
        <v>0</v>
      </c>
      <c r="M44" s="262">
        <v>0</v>
      </c>
      <c r="N44" s="296">
        <v>0</v>
      </c>
    </row>
    <row r="45" spans="1:22">
      <c r="A45" s="253" t="s">
        <v>468</v>
      </c>
      <c r="B45" s="281" t="str">
        <f t="shared" ref="B45:B56" si="17">+B12</f>
        <v>January 2014</v>
      </c>
      <c r="C45" s="250">
        <v>0</v>
      </c>
      <c r="D45" s="251">
        <v>32835916.020000003</v>
      </c>
      <c r="E45" s="250">
        <v>0</v>
      </c>
      <c r="F45" s="251">
        <v>0</v>
      </c>
      <c r="G45" s="250">
        <v>0</v>
      </c>
      <c r="H45" s="251">
        <v>0</v>
      </c>
      <c r="I45" s="250">
        <v>0</v>
      </c>
      <c r="J45" s="251">
        <v>0</v>
      </c>
      <c r="K45" s="250">
        <v>0</v>
      </c>
      <c r="L45" s="251">
        <v>0</v>
      </c>
      <c r="M45" s="250">
        <v>0</v>
      </c>
      <c r="N45" s="295">
        <v>0</v>
      </c>
    </row>
    <row r="46" spans="1:22">
      <c r="A46" s="253"/>
      <c r="B46" s="281" t="str">
        <f t="shared" si="17"/>
        <v>February</v>
      </c>
      <c r="C46" s="250">
        <v>0</v>
      </c>
      <c r="D46" s="251">
        <v>32901082.539999995</v>
      </c>
      <c r="E46" s="250">
        <v>0</v>
      </c>
      <c r="F46" s="251">
        <v>0</v>
      </c>
      <c r="G46" s="250">
        <v>0</v>
      </c>
      <c r="H46" s="251">
        <v>0</v>
      </c>
      <c r="I46" s="250">
        <v>0</v>
      </c>
      <c r="J46" s="251">
        <v>0</v>
      </c>
      <c r="K46" s="250">
        <v>0</v>
      </c>
      <c r="L46" s="251">
        <v>0</v>
      </c>
      <c r="M46" s="250">
        <v>0</v>
      </c>
      <c r="N46" s="295">
        <v>0</v>
      </c>
    </row>
    <row r="47" spans="1:22">
      <c r="A47" s="253"/>
      <c r="B47" s="281" t="str">
        <f t="shared" si="17"/>
        <v xml:space="preserve">March </v>
      </c>
      <c r="C47" s="250">
        <v>0</v>
      </c>
      <c r="D47" s="251">
        <v>32865438.100000001</v>
      </c>
      <c r="E47" s="250">
        <v>0</v>
      </c>
      <c r="F47" s="251">
        <v>0</v>
      </c>
      <c r="G47" s="250">
        <v>0</v>
      </c>
      <c r="H47" s="251">
        <v>0</v>
      </c>
      <c r="I47" s="250">
        <v>0</v>
      </c>
      <c r="J47" s="251">
        <v>0</v>
      </c>
      <c r="K47" s="250">
        <v>0</v>
      </c>
      <c r="L47" s="251">
        <v>0</v>
      </c>
      <c r="M47" s="250">
        <v>0</v>
      </c>
      <c r="N47" s="295">
        <v>0</v>
      </c>
    </row>
    <row r="48" spans="1:22">
      <c r="A48" s="253"/>
      <c r="B48" s="281" t="str">
        <f t="shared" si="17"/>
        <v>April</v>
      </c>
      <c r="C48" s="250">
        <v>0</v>
      </c>
      <c r="D48" s="251">
        <v>33035030.84</v>
      </c>
      <c r="E48" s="250">
        <v>0</v>
      </c>
      <c r="F48" s="251">
        <v>0</v>
      </c>
      <c r="G48" s="250">
        <v>0</v>
      </c>
      <c r="H48" s="251">
        <v>0</v>
      </c>
      <c r="I48" s="250">
        <v>0</v>
      </c>
      <c r="J48" s="251">
        <v>0</v>
      </c>
      <c r="K48" s="250">
        <v>0</v>
      </c>
      <c r="L48" s="251">
        <v>0</v>
      </c>
      <c r="M48" s="250">
        <v>0</v>
      </c>
      <c r="N48" s="295">
        <v>0</v>
      </c>
    </row>
    <row r="49" spans="1:14">
      <c r="A49" s="253"/>
      <c r="B49" s="281" t="str">
        <f t="shared" si="17"/>
        <v>May</v>
      </c>
      <c r="C49" s="250">
        <v>0</v>
      </c>
      <c r="D49" s="251">
        <v>33142261.940000001</v>
      </c>
      <c r="E49" s="250">
        <v>0</v>
      </c>
      <c r="F49" s="251">
        <v>0</v>
      </c>
      <c r="G49" s="250">
        <v>0</v>
      </c>
      <c r="H49" s="251">
        <v>0</v>
      </c>
      <c r="I49" s="250">
        <v>0</v>
      </c>
      <c r="J49" s="251">
        <v>0</v>
      </c>
      <c r="K49" s="250">
        <v>0</v>
      </c>
      <c r="L49" s="251">
        <v>0</v>
      </c>
      <c r="M49" s="250">
        <v>0</v>
      </c>
      <c r="N49" s="295">
        <v>0</v>
      </c>
    </row>
    <row r="50" spans="1:14">
      <c r="A50" s="253"/>
      <c r="B50" s="281" t="str">
        <f t="shared" si="17"/>
        <v>June</v>
      </c>
      <c r="C50" s="250">
        <v>0</v>
      </c>
      <c r="D50" s="251">
        <v>33191807.099999994</v>
      </c>
      <c r="E50" s="250">
        <v>0</v>
      </c>
      <c r="F50" s="251">
        <v>0</v>
      </c>
      <c r="G50" s="250">
        <v>0</v>
      </c>
      <c r="H50" s="251">
        <v>0</v>
      </c>
      <c r="I50" s="250">
        <v>0</v>
      </c>
      <c r="J50" s="251">
        <v>0</v>
      </c>
      <c r="K50" s="250">
        <v>0</v>
      </c>
      <c r="L50" s="251">
        <v>0</v>
      </c>
      <c r="M50" s="250">
        <v>0</v>
      </c>
      <c r="N50" s="295">
        <v>0</v>
      </c>
    </row>
    <row r="51" spans="1:14">
      <c r="A51" s="253"/>
      <c r="B51" s="281" t="str">
        <f t="shared" si="17"/>
        <v>July</v>
      </c>
      <c r="C51" s="250">
        <v>0</v>
      </c>
      <c r="D51" s="251">
        <v>33300681.349999998</v>
      </c>
      <c r="E51" s="250">
        <v>0</v>
      </c>
      <c r="F51" s="251">
        <v>0</v>
      </c>
      <c r="G51" s="250">
        <v>0</v>
      </c>
      <c r="H51" s="251">
        <v>0</v>
      </c>
      <c r="I51" s="250">
        <v>0</v>
      </c>
      <c r="J51" s="251">
        <v>0</v>
      </c>
      <c r="K51" s="250">
        <v>0</v>
      </c>
      <c r="L51" s="251">
        <v>0</v>
      </c>
      <c r="M51" s="250">
        <v>0</v>
      </c>
      <c r="N51" s="295">
        <v>0</v>
      </c>
    </row>
    <row r="52" spans="1:14">
      <c r="A52" s="253"/>
      <c r="B52" s="281" t="str">
        <f t="shared" si="17"/>
        <v xml:space="preserve">August </v>
      </c>
      <c r="C52" s="250">
        <v>0</v>
      </c>
      <c r="D52" s="251">
        <v>33255432.849999998</v>
      </c>
      <c r="E52" s="250">
        <v>0</v>
      </c>
      <c r="F52" s="251">
        <v>0</v>
      </c>
      <c r="G52" s="250">
        <v>0</v>
      </c>
      <c r="H52" s="251">
        <v>0</v>
      </c>
      <c r="I52" s="250">
        <v>0</v>
      </c>
      <c r="J52" s="251">
        <v>0</v>
      </c>
      <c r="K52" s="250">
        <v>0</v>
      </c>
      <c r="L52" s="251">
        <v>0</v>
      </c>
      <c r="M52" s="250">
        <v>0</v>
      </c>
      <c r="N52" s="295">
        <v>0</v>
      </c>
    </row>
    <row r="53" spans="1:14">
      <c r="A53" s="253"/>
      <c r="B53" s="281" t="str">
        <f t="shared" si="17"/>
        <v>September</v>
      </c>
      <c r="C53" s="250">
        <v>0</v>
      </c>
      <c r="D53" s="251">
        <v>32901957.640000004</v>
      </c>
      <c r="E53" s="250">
        <v>0</v>
      </c>
      <c r="F53" s="251">
        <v>0</v>
      </c>
      <c r="G53" s="250">
        <v>0</v>
      </c>
      <c r="H53" s="251">
        <v>0</v>
      </c>
      <c r="I53" s="250">
        <v>0</v>
      </c>
      <c r="J53" s="251">
        <v>0</v>
      </c>
      <c r="K53" s="250">
        <v>0</v>
      </c>
      <c r="L53" s="251">
        <v>0</v>
      </c>
      <c r="M53" s="250">
        <v>0</v>
      </c>
      <c r="N53" s="295">
        <v>0</v>
      </c>
    </row>
    <row r="54" spans="1:14">
      <c r="A54" s="253"/>
      <c r="B54" s="281" t="str">
        <f t="shared" si="17"/>
        <v>October</v>
      </c>
      <c r="C54" s="250">
        <v>0</v>
      </c>
      <c r="D54" s="251">
        <v>32848534.240000002</v>
      </c>
      <c r="E54" s="250">
        <v>0</v>
      </c>
      <c r="F54" s="251">
        <v>0</v>
      </c>
      <c r="G54" s="250">
        <v>0</v>
      </c>
      <c r="H54" s="251">
        <v>0</v>
      </c>
      <c r="I54" s="250">
        <v>0</v>
      </c>
      <c r="J54" s="251">
        <v>0</v>
      </c>
      <c r="K54" s="250">
        <v>0</v>
      </c>
      <c r="L54" s="251">
        <v>0</v>
      </c>
      <c r="M54" s="250">
        <v>0</v>
      </c>
      <c r="N54" s="295">
        <v>0</v>
      </c>
    </row>
    <row r="55" spans="1:14">
      <c r="A55" s="253"/>
      <c r="B55" s="281" t="str">
        <f t="shared" si="17"/>
        <v>November</v>
      </c>
      <c r="C55" s="250">
        <v>0</v>
      </c>
      <c r="D55" s="251">
        <v>32797386.389999997</v>
      </c>
      <c r="E55" s="250">
        <v>0</v>
      </c>
      <c r="F55" s="251">
        <v>0</v>
      </c>
      <c r="G55" s="250">
        <v>0</v>
      </c>
      <c r="H55" s="251">
        <v>0</v>
      </c>
      <c r="I55" s="250">
        <v>0</v>
      </c>
      <c r="J55" s="251">
        <v>0</v>
      </c>
      <c r="K55" s="250">
        <v>0</v>
      </c>
      <c r="L55" s="251">
        <v>0</v>
      </c>
      <c r="M55" s="250">
        <v>0</v>
      </c>
      <c r="N55" s="295">
        <v>0</v>
      </c>
    </row>
    <row r="56" spans="1:14">
      <c r="A56" s="253"/>
      <c r="B56" s="281" t="str">
        <f t="shared" si="17"/>
        <v>December 2014</v>
      </c>
      <c r="C56" s="265">
        <v>0</v>
      </c>
      <c r="D56" s="266">
        <v>32740198.66</v>
      </c>
      <c r="E56" s="265">
        <v>0</v>
      </c>
      <c r="F56" s="266">
        <v>0</v>
      </c>
      <c r="G56" s="265">
        <v>0</v>
      </c>
      <c r="H56" s="266">
        <v>0</v>
      </c>
      <c r="I56" s="265">
        <v>0</v>
      </c>
      <c r="J56" s="266">
        <v>0</v>
      </c>
      <c r="K56" s="265">
        <v>0</v>
      </c>
      <c r="L56" s="266">
        <v>0</v>
      </c>
      <c r="M56" s="265">
        <v>0</v>
      </c>
      <c r="N56" s="297">
        <v>0</v>
      </c>
    </row>
    <row r="57" spans="1:14">
      <c r="A57" s="282"/>
      <c r="B57" s="268" t="s">
        <v>4</v>
      </c>
      <c r="C57" s="260">
        <f t="shared" ref="C57:N57" si="18">AVERAGE(C44:C56)</f>
        <v>0</v>
      </c>
      <c r="D57" s="260">
        <f t="shared" si="18"/>
        <v>32964164.644615386</v>
      </c>
      <c r="E57" s="260">
        <f t="shared" si="18"/>
        <v>0</v>
      </c>
      <c r="F57" s="260">
        <f t="shared" si="18"/>
        <v>0</v>
      </c>
      <c r="G57" s="260">
        <f t="shared" si="18"/>
        <v>0</v>
      </c>
      <c r="H57" s="260">
        <f t="shared" si="18"/>
        <v>0</v>
      </c>
      <c r="I57" s="260">
        <f t="shared" si="18"/>
        <v>0</v>
      </c>
      <c r="J57" s="260">
        <f t="shared" si="18"/>
        <v>0</v>
      </c>
      <c r="K57" s="260">
        <f t="shared" si="18"/>
        <v>0</v>
      </c>
      <c r="L57" s="260">
        <f t="shared" si="18"/>
        <v>0</v>
      </c>
      <c r="M57" s="260">
        <f t="shared" si="18"/>
        <v>0</v>
      </c>
      <c r="N57" s="261">
        <f t="shared" si="18"/>
        <v>0</v>
      </c>
    </row>
    <row r="58" spans="1:14">
      <c r="A58" s="258"/>
      <c r="B58" s="273"/>
      <c r="C58" s="283"/>
      <c r="D58" s="283"/>
      <c r="E58" s="283"/>
      <c r="F58" s="283"/>
      <c r="G58" s="283"/>
      <c r="H58" s="284"/>
      <c r="I58" s="284"/>
      <c r="J58" s="284"/>
      <c r="K58" s="271"/>
    </row>
    <row r="59" spans="1:14">
      <c r="A59" s="258"/>
      <c r="B59" s="515"/>
      <c r="C59" s="285"/>
      <c r="D59" s="285"/>
      <c r="E59" s="285"/>
      <c r="F59" s="285"/>
      <c r="G59" s="285"/>
      <c r="H59" s="285"/>
      <c r="I59" s="285"/>
      <c r="J59" s="285"/>
      <c r="K59" s="286"/>
      <c r="L59" s="519"/>
      <c r="M59" s="519"/>
      <c r="N59" s="519"/>
    </row>
    <row r="60" spans="1:14">
      <c r="A60" s="287" t="s">
        <v>3</v>
      </c>
      <c r="B60" s="288" t="s">
        <v>2</v>
      </c>
      <c r="C60" s="262">
        <v>0</v>
      </c>
      <c r="D60" s="263">
        <v>743344.22</v>
      </c>
      <c r="E60" s="262">
        <v>0</v>
      </c>
      <c r="F60" s="263">
        <v>0</v>
      </c>
      <c r="G60" s="262">
        <v>0</v>
      </c>
      <c r="H60" s="263">
        <v>0</v>
      </c>
      <c r="I60" s="262">
        <v>0</v>
      </c>
      <c r="J60" s="263">
        <v>0</v>
      </c>
      <c r="K60" s="262">
        <v>0</v>
      </c>
      <c r="L60" s="263">
        <v>0</v>
      </c>
      <c r="M60" s="262">
        <v>0</v>
      </c>
      <c r="N60" s="296">
        <v>0</v>
      </c>
    </row>
    <row r="61" spans="1:14">
      <c r="A61" s="256" t="s">
        <v>469</v>
      </c>
      <c r="B61" s="289" t="s">
        <v>1</v>
      </c>
      <c r="C61" s="250">
        <v>0</v>
      </c>
      <c r="D61" s="251">
        <v>0</v>
      </c>
      <c r="E61" s="250">
        <v>0</v>
      </c>
      <c r="F61" s="251">
        <v>0</v>
      </c>
      <c r="G61" s="250">
        <v>0</v>
      </c>
      <c r="H61" s="251">
        <v>0</v>
      </c>
      <c r="I61" s="250">
        <v>0</v>
      </c>
      <c r="J61" s="251">
        <v>0</v>
      </c>
      <c r="K61" s="250">
        <v>0</v>
      </c>
      <c r="L61" s="251">
        <v>0</v>
      </c>
      <c r="M61" s="250">
        <v>0</v>
      </c>
      <c r="N61" s="295">
        <v>0</v>
      </c>
    </row>
    <row r="62" spans="1:14">
      <c r="A62" s="243"/>
      <c r="B62" s="290" t="s">
        <v>465</v>
      </c>
      <c r="C62" s="291">
        <f t="shared" ref="C62:N62" si="19">SUM(C60:C61)</f>
        <v>0</v>
      </c>
      <c r="D62" s="291">
        <f t="shared" si="19"/>
        <v>743344.22</v>
      </c>
      <c r="E62" s="291">
        <f t="shared" si="19"/>
        <v>0</v>
      </c>
      <c r="F62" s="291">
        <f t="shared" si="19"/>
        <v>0</v>
      </c>
      <c r="G62" s="291">
        <f t="shared" si="19"/>
        <v>0</v>
      </c>
      <c r="H62" s="291">
        <f t="shared" si="19"/>
        <v>0</v>
      </c>
      <c r="I62" s="291">
        <f t="shared" si="19"/>
        <v>0</v>
      </c>
      <c r="J62" s="291">
        <f t="shared" si="19"/>
        <v>0</v>
      </c>
      <c r="K62" s="291">
        <f t="shared" si="19"/>
        <v>0</v>
      </c>
      <c r="L62" s="291">
        <f t="shared" si="19"/>
        <v>0</v>
      </c>
      <c r="M62" s="291">
        <f t="shared" si="19"/>
        <v>0</v>
      </c>
      <c r="N62" s="292">
        <f t="shared" si="19"/>
        <v>0</v>
      </c>
    </row>
    <row r="63" spans="1:14">
      <c r="A63" s="258"/>
      <c r="B63" s="273"/>
      <c r="C63" s="283"/>
      <c r="D63" s="283"/>
      <c r="E63" s="283"/>
      <c r="F63" s="283"/>
      <c r="G63" s="283"/>
      <c r="H63" s="284"/>
      <c r="I63" s="284"/>
      <c r="J63" s="284"/>
      <c r="K63" s="271"/>
    </row>
    <row r="64" spans="1:14">
      <c r="A64" s="258"/>
      <c r="B64" s="515"/>
      <c r="C64" s="285"/>
      <c r="D64" s="285"/>
      <c r="E64" s="285"/>
      <c r="F64" s="285"/>
      <c r="G64" s="285"/>
      <c r="H64" s="285"/>
      <c r="I64" s="285"/>
      <c r="J64" s="285"/>
      <c r="K64" s="286"/>
      <c r="L64" s="519"/>
      <c r="M64" s="519"/>
      <c r="N64" s="519"/>
    </row>
    <row r="65" spans="1:14">
      <c r="A65" s="287" t="s">
        <v>467</v>
      </c>
      <c r="B65" s="288" t="s">
        <v>471</v>
      </c>
      <c r="C65" s="262">
        <v>4880805.01</v>
      </c>
      <c r="D65" s="263">
        <v>0</v>
      </c>
      <c r="E65" s="262">
        <v>0</v>
      </c>
      <c r="F65" s="263">
        <v>0</v>
      </c>
      <c r="G65" s="262">
        <v>0</v>
      </c>
      <c r="H65" s="263">
        <v>0</v>
      </c>
      <c r="I65" s="262">
        <v>0</v>
      </c>
      <c r="J65" s="263">
        <v>0</v>
      </c>
      <c r="K65" s="262">
        <v>0</v>
      </c>
      <c r="L65" s="263">
        <v>0</v>
      </c>
      <c r="M65" s="262">
        <v>0</v>
      </c>
      <c r="N65" s="296">
        <v>0</v>
      </c>
    </row>
    <row r="66" spans="1:14">
      <c r="A66" s="256" t="s">
        <v>470</v>
      </c>
      <c r="B66" s="289"/>
      <c r="C66" s="250">
        <v>0</v>
      </c>
      <c r="D66" s="251">
        <v>0</v>
      </c>
      <c r="E66" s="250">
        <v>0</v>
      </c>
      <c r="F66" s="251">
        <v>0</v>
      </c>
      <c r="G66" s="250">
        <v>0</v>
      </c>
      <c r="H66" s="251">
        <v>0</v>
      </c>
      <c r="I66" s="250">
        <v>0</v>
      </c>
      <c r="J66" s="251">
        <v>0</v>
      </c>
      <c r="K66" s="250">
        <v>0</v>
      </c>
      <c r="L66" s="251">
        <v>0</v>
      </c>
      <c r="M66" s="250">
        <v>0</v>
      </c>
      <c r="N66" s="295">
        <v>0</v>
      </c>
    </row>
    <row r="67" spans="1:14">
      <c r="A67" s="243"/>
      <c r="B67" s="290" t="s">
        <v>496</v>
      </c>
      <c r="C67" s="291">
        <f t="shared" ref="C67:N67" si="20">SUM(C65:C66)</f>
        <v>4880805.01</v>
      </c>
      <c r="D67" s="291">
        <f t="shared" si="20"/>
        <v>0</v>
      </c>
      <c r="E67" s="291">
        <f t="shared" si="20"/>
        <v>0</v>
      </c>
      <c r="F67" s="291">
        <f t="shared" si="20"/>
        <v>0</v>
      </c>
      <c r="G67" s="291">
        <f t="shared" si="20"/>
        <v>0</v>
      </c>
      <c r="H67" s="291">
        <f t="shared" si="20"/>
        <v>0</v>
      </c>
      <c r="I67" s="291">
        <f t="shared" si="20"/>
        <v>0</v>
      </c>
      <c r="J67" s="291">
        <f t="shared" si="20"/>
        <v>0</v>
      </c>
      <c r="K67" s="291">
        <f t="shared" si="20"/>
        <v>0</v>
      </c>
      <c r="L67" s="291">
        <f t="shared" si="20"/>
        <v>0</v>
      </c>
      <c r="M67" s="291">
        <f t="shared" si="20"/>
        <v>0</v>
      </c>
      <c r="N67" s="292">
        <f t="shared" si="20"/>
        <v>0</v>
      </c>
    </row>
  </sheetData>
  <pageMargins left="0.7" right="0.7" top="0.75" bottom="0.75" header="0.3" footer="0.3"/>
  <pageSetup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2:H38"/>
  <sheetViews>
    <sheetView zoomScaleNormal="100" zoomScaleSheetLayoutView="100" workbookViewId="0">
      <selection activeCell="N14" sqref="N14"/>
    </sheetView>
  </sheetViews>
  <sheetFormatPr defaultRowHeight="15"/>
  <cols>
    <col min="1" max="1" width="5.5703125" style="487" customWidth="1"/>
    <col min="2" max="2" width="19.140625" style="489" customWidth="1"/>
    <col min="3" max="3" width="20.28515625" style="489" customWidth="1"/>
    <col min="4" max="4" width="15.28515625" style="489" customWidth="1"/>
    <col min="5" max="5" width="37.42578125" style="489" bestFit="1" customWidth="1"/>
    <col min="6" max="6" width="4" style="489" customWidth="1"/>
    <col min="7" max="7" width="12.7109375" style="489" customWidth="1"/>
    <col min="8" max="8" width="9.140625" style="490"/>
    <col min="9" max="16384" width="9.140625" style="489"/>
  </cols>
  <sheetData>
    <row r="2" spans="1:7" ht="18.75">
      <c r="B2" s="488" t="s">
        <v>560</v>
      </c>
    </row>
    <row r="4" spans="1:7">
      <c r="B4" s="489" t="s">
        <v>552</v>
      </c>
      <c r="C4" s="491" t="s">
        <v>342</v>
      </c>
      <c r="D4" s="491"/>
    </row>
    <row r="6" spans="1:7">
      <c r="B6" s="489" t="s">
        <v>553</v>
      </c>
      <c r="C6" s="493">
        <v>2014</v>
      </c>
    </row>
    <row r="9" spans="1:7">
      <c r="B9" s="502" t="s">
        <v>246</v>
      </c>
      <c r="E9" s="502" t="s">
        <v>245</v>
      </c>
      <c r="G9" s="502" t="s">
        <v>244</v>
      </c>
    </row>
    <row r="10" spans="1:7">
      <c r="E10" s="494" t="s">
        <v>241</v>
      </c>
      <c r="G10" s="494" t="s">
        <v>554</v>
      </c>
    </row>
    <row r="11" spans="1:7">
      <c r="A11" s="487" t="s">
        <v>8</v>
      </c>
      <c r="E11" s="494" t="s">
        <v>240</v>
      </c>
      <c r="G11" s="494" t="s">
        <v>335</v>
      </c>
    </row>
    <row r="12" spans="1:7">
      <c r="A12" s="500" t="s">
        <v>178</v>
      </c>
    </row>
    <row r="13" spans="1:7">
      <c r="A13" s="487">
        <v>1</v>
      </c>
      <c r="B13" s="489" t="s">
        <v>561</v>
      </c>
      <c r="E13" s="489" t="s">
        <v>555</v>
      </c>
      <c r="G13" s="495">
        <v>3452898.46</v>
      </c>
    </row>
    <row r="14" spans="1:7">
      <c r="A14" s="487">
        <f>+A13+1</f>
        <v>2</v>
      </c>
      <c r="B14" s="489" t="s">
        <v>556</v>
      </c>
      <c r="E14" s="489" t="s">
        <v>557</v>
      </c>
      <c r="G14" s="495">
        <v>12519279.060000001</v>
      </c>
    </row>
    <row r="15" spans="1:7">
      <c r="A15" s="487">
        <f>+A14+1</f>
        <v>3</v>
      </c>
      <c r="B15" s="489" t="s">
        <v>558</v>
      </c>
      <c r="E15" s="489" t="s">
        <v>559</v>
      </c>
      <c r="G15" s="495">
        <v>0</v>
      </c>
    </row>
    <row r="16" spans="1:7">
      <c r="A16" s="487">
        <f>+A15+1</f>
        <v>4</v>
      </c>
      <c r="B16" s="489" t="s">
        <v>562</v>
      </c>
      <c r="G16" s="496">
        <f>SUM(G13:G15)</f>
        <v>15972177.52</v>
      </c>
    </row>
    <row r="18" spans="1:8">
      <c r="A18" s="487">
        <f>+A16+1</f>
        <v>5</v>
      </c>
      <c r="B18" s="489" t="s">
        <v>563</v>
      </c>
      <c r="E18" s="489" t="s">
        <v>564</v>
      </c>
      <c r="G18" s="495">
        <v>0</v>
      </c>
    </row>
    <row r="19" spans="1:8">
      <c r="H19" s="489"/>
    </row>
    <row r="20" spans="1:8">
      <c r="A20" s="487">
        <f>+A18+1</f>
        <v>6</v>
      </c>
      <c r="B20" s="492" t="s">
        <v>565</v>
      </c>
      <c r="C20" s="492"/>
      <c r="D20" s="492"/>
      <c r="E20" s="489" t="str">
        <f>"(Line "&amp;A16&amp;" - Line "&amp;A18&amp;")"</f>
        <v>(Line 4 - Line 5)</v>
      </c>
      <c r="G20" s="497">
        <f>+G16-G18</f>
        <v>15972177.52</v>
      </c>
    </row>
    <row r="21" spans="1:8">
      <c r="B21" s="487"/>
      <c r="C21" s="487"/>
      <c r="D21" s="487"/>
      <c r="G21" s="503"/>
    </row>
    <row r="22" spans="1:8">
      <c r="A22" s="487">
        <f>+A20+1</f>
        <v>7</v>
      </c>
      <c r="B22" s="489" t="s">
        <v>566</v>
      </c>
      <c r="E22" s="489" t="s">
        <v>567</v>
      </c>
      <c r="G22" s="495">
        <v>11100014.65</v>
      </c>
    </row>
    <row r="24" spans="1:8">
      <c r="A24" s="487">
        <f>A22+1</f>
        <v>8</v>
      </c>
      <c r="B24" s="489" t="s">
        <v>568</v>
      </c>
      <c r="E24" s="489" t="str">
        <f>"(Line "&amp;A20&amp;" - Line "&amp;A22&amp;")"</f>
        <v>(Line 6 - Line 7)</v>
      </c>
      <c r="G24" s="498">
        <f>+G20-G22</f>
        <v>4872162.8699999992</v>
      </c>
    </row>
    <row r="26" spans="1:8">
      <c r="A26" s="499"/>
      <c r="B26" s="504"/>
      <c r="C26" s="504"/>
      <c r="D26" s="504"/>
      <c r="E26" s="504"/>
      <c r="F26" s="504"/>
      <c r="G26" s="504"/>
    </row>
    <row r="27" spans="1:8">
      <c r="A27" s="487" t="s">
        <v>89</v>
      </c>
    </row>
    <row r="28" spans="1:8">
      <c r="A28" s="500" t="s">
        <v>90</v>
      </c>
    </row>
    <row r="29" spans="1:8">
      <c r="A29" s="501" t="s">
        <v>88</v>
      </c>
      <c r="B29" s="878" t="s">
        <v>569</v>
      </c>
      <c r="C29" s="878"/>
      <c r="D29" s="878"/>
      <c r="E29" s="878"/>
      <c r="F29" s="878"/>
      <c r="G29" s="878"/>
    </row>
    <row r="30" spans="1:8">
      <c r="A30" s="501" t="s">
        <v>86</v>
      </c>
      <c r="B30" s="878" t="s">
        <v>570</v>
      </c>
      <c r="C30" s="878"/>
      <c r="D30" s="878"/>
      <c r="E30" s="878"/>
      <c r="F30" s="878"/>
      <c r="G30" s="878"/>
    </row>
    <row r="31" spans="1:8">
      <c r="A31" s="501" t="s">
        <v>84</v>
      </c>
      <c r="B31" s="878" t="s">
        <v>571</v>
      </c>
      <c r="C31" s="878"/>
      <c r="D31" s="878"/>
      <c r="E31" s="878"/>
      <c r="F31" s="878"/>
      <c r="G31" s="878"/>
    </row>
    <row r="32" spans="1:8" ht="15" customHeight="1">
      <c r="A32" s="501" t="s">
        <v>83</v>
      </c>
      <c r="B32" s="878" t="s">
        <v>572</v>
      </c>
      <c r="C32" s="878"/>
      <c r="D32" s="878"/>
      <c r="E32" s="878"/>
      <c r="F32" s="878"/>
      <c r="G32" s="878"/>
    </row>
    <row r="33" spans="1:7" ht="30" customHeight="1">
      <c r="A33" s="501" t="s">
        <v>81</v>
      </c>
      <c r="B33" s="878" t="s">
        <v>573</v>
      </c>
      <c r="C33" s="878"/>
      <c r="D33" s="878"/>
      <c r="E33" s="878"/>
      <c r="F33" s="878"/>
      <c r="G33" s="878"/>
    </row>
    <row r="34" spans="1:7" ht="15" customHeight="1">
      <c r="A34" s="501"/>
      <c r="B34" s="878"/>
      <c r="C34" s="878"/>
      <c r="D34" s="878"/>
      <c r="E34" s="878"/>
      <c r="F34" s="878"/>
      <c r="G34" s="878"/>
    </row>
    <row r="35" spans="1:7">
      <c r="A35" s="501"/>
      <c r="B35" s="878"/>
      <c r="C35" s="878"/>
      <c r="D35" s="878"/>
      <c r="E35" s="878"/>
      <c r="F35" s="878"/>
      <c r="G35" s="878"/>
    </row>
    <row r="38" spans="1:7">
      <c r="B38" s="487"/>
    </row>
  </sheetData>
  <mergeCells count="7">
    <mergeCell ref="B35:G35"/>
    <mergeCell ref="B29:G29"/>
    <mergeCell ref="B30:G30"/>
    <mergeCell ref="B31:G31"/>
    <mergeCell ref="B32:G32"/>
    <mergeCell ref="B33:G33"/>
    <mergeCell ref="B34:G34"/>
  </mergeCells>
  <pageMargins left="0.5" right="0.19" top="0.8" bottom="0.5" header="0.3" footer="0.3"/>
  <pageSetup scale="88" orientation="portrait" r:id="rId1"/>
  <headerFooter>
    <oddHeader xml:space="preserve">&amp;R
</oddHeader>
  </headerFooter>
  <rowBreaks count="1" manualBreakCount="1">
    <brk id="7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workbookViewId="0">
      <selection activeCell="G9" sqref="G9"/>
    </sheetView>
  </sheetViews>
  <sheetFormatPr defaultRowHeight="12.75"/>
  <cols>
    <col min="2" max="2" width="31.85546875" customWidth="1"/>
    <col min="3" max="3" width="19" bestFit="1" customWidth="1"/>
    <col min="4" max="16" width="14.42578125" customWidth="1"/>
    <col min="17" max="17" width="16" bestFit="1" customWidth="1"/>
  </cols>
  <sheetData>
    <row r="1" spans="1:6">
      <c r="A1" s="616" t="s">
        <v>342</v>
      </c>
    </row>
    <row r="2" spans="1:6">
      <c r="A2" s="616" t="s">
        <v>811</v>
      </c>
    </row>
    <row r="3" spans="1:6">
      <c r="A3" s="618" t="s">
        <v>643</v>
      </c>
    </row>
    <row r="4" spans="1:6">
      <c r="A4" s="618"/>
    </row>
    <row r="6" spans="1:6">
      <c r="B6" s="843" t="s">
        <v>810</v>
      </c>
      <c r="C6" s="843"/>
      <c r="F6" s="582"/>
    </row>
    <row r="7" spans="1:6" s="847" customFormat="1" ht="25.5">
      <c r="C7" s="848" t="s">
        <v>806</v>
      </c>
      <c r="D7" s="621" t="s">
        <v>807</v>
      </c>
      <c r="E7" s="848" t="s">
        <v>808</v>
      </c>
    </row>
    <row r="8" spans="1:6">
      <c r="B8" s="844">
        <v>41639</v>
      </c>
      <c r="C8" s="533">
        <v>206529514</v>
      </c>
      <c r="D8" s="532">
        <f t="shared" ref="D8:D20" si="0">C8-E8</f>
        <v>7441062</v>
      </c>
      <c r="E8" s="548">
        <v>199088452</v>
      </c>
    </row>
    <row r="9" spans="1:6">
      <c r="B9" s="844">
        <v>41670</v>
      </c>
      <c r="C9" s="533">
        <v>223035307</v>
      </c>
      <c r="D9" s="532">
        <f t="shared" si="0"/>
        <v>7646533</v>
      </c>
      <c r="E9" s="548">
        <v>215388774</v>
      </c>
    </row>
    <row r="10" spans="1:6">
      <c r="B10" s="844">
        <v>41698</v>
      </c>
      <c r="C10" s="533">
        <v>239344625</v>
      </c>
      <c r="D10" s="532">
        <f t="shared" si="0"/>
        <v>7741165.5399999917</v>
      </c>
      <c r="E10" s="548">
        <v>231603459.46000001</v>
      </c>
    </row>
    <row r="11" spans="1:6">
      <c r="B11" s="844">
        <v>41729</v>
      </c>
      <c r="C11" s="533">
        <v>243763948</v>
      </c>
      <c r="D11" s="532">
        <f t="shared" si="0"/>
        <v>7776358.0900000036</v>
      </c>
      <c r="E11" s="548">
        <v>235987589.91</v>
      </c>
    </row>
    <row r="12" spans="1:6">
      <c r="B12" s="844">
        <v>41759</v>
      </c>
      <c r="C12" s="533">
        <v>265006257</v>
      </c>
      <c r="D12" s="532">
        <f t="shared" si="0"/>
        <v>7756867.3400000036</v>
      </c>
      <c r="E12" s="548">
        <v>257249389.66</v>
      </c>
    </row>
    <row r="13" spans="1:6">
      <c r="B13" s="844">
        <v>41790</v>
      </c>
      <c r="C13" s="533">
        <v>253508320</v>
      </c>
      <c r="D13" s="532">
        <f t="shared" si="0"/>
        <v>7144273.4900000095</v>
      </c>
      <c r="E13" s="548">
        <v>246364046.50999999</v>
      </c>
    </row>
    <row r="14" spans="1:6">
      <c r="B14" s="844">
        <v>41820</v>
      </c>
      <c r="C14" s="533">
        <v>259508253</v>
      </c>
      <c r="D14" s="532">
        <f t="shared" si="0"/>
        <v>2467945.9300000072</v>
      </c>
      <c r="E14" s="548">
        <v>257040307.06999999</v>
      </c>
    </row>
    <row r="15" spans="1:6">
      <c r="B15" s="844">
        <v>41851</v>
      </c>
      <c r="C15" s="533">
        <v>273092727</v>
      </c>
      <c r="D15" s="532">
        <f t="shared" si="0"/>
        <v>2932350.1700000167</v>
      </c>
      <c r="E15" s="548">
        <v>270160376.82999998</v>
      </c>
    </row>
    <row r="16" spans="1:6">
      <c r="B16" s="844">
        <v>41882</v>
      </c>
      <c r="C16" s="533">
        <v>167320085</v>
      </c>
      <c r="D16" s="532">
        <f t="shared" si="0"/>
        <v>3394886.6699999869</v>
      </c>
      <c r="E16" s="548">
        <v>163925198.33000001</v>
      </c>
    </row>
    <row r="17" spans="1:17">
      <c r="B17" s="844">
        <v>41912</v>
      </c>
      <c r="C17" s="533">
        <v>170888983</v>
      </c>
      <c r="D17" s="532">
        <f t="shared" si="0"/>
        <v>3924521.2199999988</v>
      </c>
      <c r="E17" s="548">
        <v>166964461.78</v>
      </c>
    </row>
    <row r="18" spans="1:17">
      <c r="B18" s="844">
        <v>41943</v>
      </c>
      <c r="C18" s="533">
        <v>180388634</v>
      </c>
      <c r="D18" s="532">
        <f t="shared" si="0"/>
        <v>3464136.099999994</v>
      </c>
      <c r="E18" s="548">
        <v>176924497.90000001</v>
      </c>
    </row>
    <row r="19" spans="1:17">
      <c r="B19" s="844">
        <v>41973</v>
      </c>
      <c r="C19" s="533">
        <v>184671323</v>
      </c>
      <c r="D19" s="532">
        <f t="shared" si="0"/>
        <v>3332138.5699999928</v>
      </c>
      <c r="E19" s="548">
        <v>181339184.43000001</v>
      </c>
    </row>
    <row r="20" spans="1:17">
      <c r="B20" s="844">
        <v>42004</v>
      </c>
      <c r="C20" s="533">
        <v>180057822</v>
      </c>
      <c r="D20" s="532">
        <f t="shared" si="0"/>
        <v>3757755</v>
      </c>
      <c r="E20" s="548">
        <v>176300067</v>
      </c>
    </row>
    <row r="21" spans="1:17">
      <c r="C21" s="845"/>
      <c r="D21" s="845"/>
      <c r="E21" s="845"/>
    </row>
    <row r="22" spans="1:17">
      <c r="B22" s="846" t="s">
        <v>809</v>
      </c>
      <c r="C22" s="845"/>
      <c r="D22" s="845"/>
      <c r="E22" s="849">
        <f>SUM(E8:E20)/13</f>
        <v>213718138.83692306</v>
      </c>
    </row>
    <row r="25" spans="1:17">
      <c r="A25" s="843" t="s">
        <v>812</v>
      </c>
    </row>
    <row r="26" spans="1:17" s="850" customFormat="1">
      <c r="D26" s="851">
        <v>41639</v>
      </c>
      <c r="E26" s="851">
        <v>41670</v>
      </c>
      <c r="F26" s="851">
        <v>41698</v>
      </c>
      <c r="G26" s="851">
        <v>41729</v>
      </c>
      <c r="H26" s="851">
        <v>41759</v>
      </c>
      <c r="I26" s="851">
        <v>41790</v>
      </c>
      <c r="J26" s="851">
        <v>41820</v>
      </c>
      <c r="K26" s="851">
        <v>41851</v>
      </c>
      <c r="L26" s="851">
        <v>41882</v>
      </c>
      <c r="M26" s="851">
        <v>41912</v>
      </c>
      <c r="N26" s="851">
        <v>41943</v>
      </c>
      <c r="O26" s="851">
        <v>41973</v>
      </c>
      <c r="P26" s="851">
        <v>42004</v>
      </c>
      <c r="Q26" s="852" t="s">
        <v>813</v>
      </c>
    </row>
    <row r="27" spans="1:17">
      <c r="A27" s="855"/>
      <c r="B27" s="879" t="s">
        <v>819</v>
      </c>
      <c r="C27" s="880"/>
      <c r="D27" s="531">
        <v>87952211</v>
      </c>
      <c r="E27" s="531">
        <v>88007958</v>
      </c>
      <c r="F27" s="531">
        <v>87969902</v>
      </c>
      <c r="G27" s="531">
        <v>88283253</v>
      </c>
      <c r="H27" s="531">
        <v>91462168</v>
      </c>
      <c r="I27" s="531">
        <v>92078766</v>
      </c>
      <c r="J27" s="531">
        <v>95432603</v>
      </c>
      <c r="K27" s="531">
        <v>95711385</v>
      </c>
      <c r="L27" s="531">
        <v>0</v>
      </c>
      <c r="M27" s="531">
        <v>0</v>
      </c>
      <c r="N27" s="531">
        <v>0</v>
      </c>
      <c r="O27" s="531">
        <v>0</v>
      </c>
      <c r="P27" s="531">
        <v>0</v>
      </c>
      <c r="Q27" s="853">
        <f>AVERAGE(D27:P27)</f>
        <v>55915249.692307696</v>
      </c>
    </row>
    <row r="28" spans="1:17">
      <c r="A28" s="855"/>
      <c r="B28" s="879" t="s">
        <v>818</v>
      </c>
      <c r="C28" s="880"/>
      <c r="D28" s="531">
        <v>5602877</v>
      </c>
      <c r="E28" s="531">
        <v>9688214</v>
      </c>
      <c r="F28" s="531">
        <v>13318541</v>
      </c>
      <c r="G28" s="531">
        <v>15476659</v>
      </c>
      <c r="H28" s="531">
        <v>17521294</v>
      </c>
      <c r="I28" s="531">
        <v>19361360</v>
      </c>
      <c r="J28" s="531">
        <v>20485870</v>
      </c>
      <c r="K28" s="531">
        <v>25180153</v>
      </c>
      <c r="L28" s="531">
        <v>30216889</v>
      </c>
      <c r="M28" s="531">
        <v>32301956</v>
      </c>
      <c r="N28" s="531">
        <v>33088101</v>
      </c>
      <c r="O28" s="531">
        <v>33945861</v>
      </c>
      <c r="P28" s="531">
        <v>34790941</v>
      </c>
      <c r="Q28" s="853">
        <f t="shared" ref="Q28:Q54" si="1">AVERAGE(D28:P28)</f>
        <v>22382978.153846152</v>
      </c>
    </row>
    <row r="29" spans="1:17">
      <c r="A29" s="855"/>
      <c r="B29" s="879" t="s">
        <v>815</v>
      </c>
      <c r="C29" s="880"/>
      <c r="D29" s="531">
        <v>31601858</v>
      </c>
      <c r="E29" s="531">
        <v>33364917</v>
      </c>
      <c r="F29" s="531">
        <v>34978976</v>
      </c>
      <c r="G29" s="531">
        <v>36211117</v>
      </c>
      <c r="H29" s="531">
        <v>37156036</v>
      </c>
      <c r="I29" s="531">
        <v>37956096</v>
      </c>
      <c r="J29" s="531">
        <v>38629182</v>
      </c>
      <c r="K29" s="531">
        <v>39310482</v>
      </c>
      <c r="L29" s="531">
        <v>0</v>
      </c>
      <c r="M29" s="531">
        <v>0</v>
      </c>
      <c r="N29" s="531">
        <v>0</v>
      </c>
      <c r="O29" s="531">
        <v>0</v>
      </c>
      <c r="P29" s="531">
        <v>0</v>
      </c>
      <c r="Q29" s="853">
        <f t="shared" si="1"/>
        <v>22246820.307692308</v>
      </c>
    </row>
    <row r="30" spans="1:17">
      <c r="A30" s="855"/>
      <c r="B30" s="879" t="s">
        <v>816</v>
      </c>
      <c r="C30" s="880"/>
      <c r="D30" s="531">
        <v>2456197</v>
      </c>
      <c r="E30" s="531">
        <v>2657593</v>
      </c>
      <c r="F30" s="531">
        <v>2884771</v>
      </c>
      <c r="G30" s="531">
        <v>3158023</v>
      </c>
      <c r="H30" s="531">
        <v>3680401</v>
      </c>
      <c r="I30" s="531">
        <v>4675251</v>
      </c>
      <c r="J30" s="531">
        <v>7060813</v>
      </c>
      <c r="K30" s="531">
        <v>9998943</v>
      </c>
      <c r="L30" s="531">
        <v>15493784</v>
      </c>
      <c r="M30" s="531">
        <v>17368011</v>
      </c>
      <c r="N30" s="531">
        <v>20300250</v>
      </c>
      <c r="O30" s="531">
        <v>21700403</v>
      </c>
      <c r="P30" s="531">
        <v>19992631</v>
      </c>
      <c r="Q30" s="853">
        <f t="shared" si="1"/>
        <v>10109774.692307692</v>
      </c>
    </row>
    <row r="31" spans="1:17">
      <c r="A31" s="855"/>
      <c r="B31" s="879" t="s">
        <v>817</v>
      </c>
      <c r="C31" s="880"/>
      <c r="D31" s="531">
        <v>3254850</v>
      </c>
      <c r="E31" s="531">
        <v>3873624</v>
      </c>
      <c r="F31" s="531">
        <v>3539982</v>
      </c>
      <c r="G31" s="531">
        <v>3879310</v>
      </c>
      <c r="H31" s="531">
        <v>4450338</v>
      </c>
      <c r="I31" s="531">
        <v>5839059</v>
      </c>
      <c r="J31" s="531">
        <v>7054787</v>
      </c>
      <c r="K31" s="531">
        <v>8425437</v>
      </c>
      <c r="L31" s="531">
        <v>11756350</v>
      </c>
      <c r="M31" s="531">
        <v>14084317</v>
      </c>
      <c r="N31" s="531">
        <v>15584906</v>
      </c>
      <c r="O31" s="531">
        <v>16597936</v>
      </c>
      <c r="P31" s="531">
        <v>17289283</v>
      </c>
      <c r="Q31" s="853">
        <f t="shared" si="1"/>
        <v>8894629.153846154</v>
      </c>
    </row>
    <row r="32" spans="1:17">
      <c r="A32" s="855"/>
      <c r="B32" s="879" t="s">
        <v>820</v>
      </c>
      <c r="C32" s="880"/>
      <c r="D32" s="531">
        <v>11488689</v>
      </c>
      <c r="E32" s="531">
        <v>16156257</v>
      </c>
      <c r="F32" s="531">
        <v>18803769</v>
      </c>
      <c r="G32" s="531">
        <v>21340764</v>
      </c>
      <c r="H32" s="531">
        <v>22985409</v>
      </c>
      <c r="I32" s="531">
        <v>0</v>
      </c>
      <c r="J32" s="531">
        <v>0</v>
      </c>
      <c r="K32" s="531">
        <v>0</v>
      </c>
      <c r="L32" s="531">
        <v>0</v>
      </c>
      <c r="M32" s="531">
        <v>0</v>
      </c>
      <c r="N32" s="531">
        <v>0</v>
      </c>
      <c r="O32" s="531">
        <v>0</v>
      </c>
      <c r="P32" s="531">
        <v>0</v>
      </c>
      <c r="Q32" s="853">
        <f t="shared" si="1"/>
        <v>6982683.692307692</v>
      </c>
    </row>
    <row r="33" spans="1:17">
      <c r="A33" s="855"/>
      <c r="B33" s="879" t="s">
        <v>821</v>
      </c>
      <c r="C33" s="880"/>
      <c r="D33" s="531">
        <v>1168730</v>
      </c>
      <c r="E33" s="531">
        <v>1321819</v>
      </c>
      <c r="F33" s="531">
        <v>1475215</v>
      </c>
      <c r="G33" s="531">
        <v>1606540</v>
      </c>
      <c r="H33" s="531">
        <v>2832297</v>
      </c>
      <c r="I33" s="531">
        <v>3105452</v>
      </c>
      <c r="J33" s="531">
        <v>4074554</v>
      </c>
      <c r="K33" s="531">
        <v>5575244</v>
      </c>
      <c r="L33" s="531">
        <v>6439918</v>
      </c>
      <c r="M33" s="531">
        <v>8329782</v>
      </c>
      <c r="N33" s="531">
        <v>9518158</v>
      </c>
      <c r="O33" s="531">
        <v>11454220</v>
      </c>
      <c r="P33" s="531">
        <v>13369626</v>
      </c>
      <c r="Q33" s="853">
        <f t="shared" si="1"/>
        <v>5405504.230769231</v>
      </c>
    </row>
    <row r="34" spans="1:17">
      <c r="A34" s="855"/>
      <c r="B34" s="879" t="s">
        <v>822</v>
      </c>
      <c r="C34" s="880"/>
      <c r="D34" s="531">
        <v>0</v>
      </c>
      <c r="E34" s="531">
        <v>673644</v>
      </c>
      <c r="F34" s="531">
        <v>1004902</v>
      </c>
      <c r="G34" s="531">
        <v>1372577</v>
      </c>
      <c r="H34" s="531">
        <v>1810941</v>
      </c>
      <c r="I34" s="531">
        <v>2468534</v>
      </c>
      <c r="J34" s="531">
        <v>3016534</v>
      </c>
      <c r="K34" s="531">
        <v>3513949</v>
      </c>
      <c r="L34" s="531">
        <v>4425262</v>
      </c>
      <c r="M34" s="531">
        <v>5340620</v>
      </c>
      <c r="N34" s="531">
        <v>6975447</v>
      </c>
      <c r="O34" s="531">
        <v>8546460</v>
      </c>
      <c r="P34" s="531">
        <v>11622239</v>
      </c>
      <c r="Q34" s="853">
        <f t="shared" si="1"/>
        <v>3905469.923076923</v>
      </c>
    </row>
    <row r="35" spans="1:17" s="534" customFormat="1">
      <c r="A35" s="856"/>
      <c r="B35" s="879" t="s">
        <v>814</v>
      </c>
      <c r="C35" s="880"/>
      <c r="D35" s="857">
        <v>2524489</v>
      </c>
      <c r="E35" s="857">
        <v>3159381</v>
      </c>
      <c r="F35" s="857">
        <v>4668020</v>
      </c>
      <c r="G35" s="857">
        <v>6067441</v>
      </c>
      <c r="H35" s="857">
        <v>8671586</v>
      </c>
      <c r="I35" s="857">
        <v>9628642</v>
      </c>
      <c r="J35" s="857">
        <v>4887796</v>
      </c>
      <c r="K35" s="857">
        <v>6783968</v>
      </c>
      <c r="L35" s="857">
        <v>8829690</v>
      </c>
      <c r="M35" s="857">
        <v>10041496</v>
      </c>
      <c r="N35" s="857">
        <v>10259981</v>
      </c>
      <c r="O35" s="857">
        <v>10276588</v>
      </c>
      <c r="P35" s="857">
        <v>0</v>
      </c>
      <c r="Q35" s="858">
        <f t="shared" si="1"/>
        <v>6599929.076923077</v>
      </c>
    </row>
    <row r="36" spans="1:17">
      <c r="A36" s="855"/>
      <c r="B36" s="879" t="s">
        <v>823</v>
      </c>
      <c r="C36" s="880"/>
      <c r="D36" s="531">
        <v>486424</v>
      </c>
      <c r="E36" s="531">
        <v>835830</v>
      </c>
      <c r="F36" s="531">
        <v>1254978</v>
      </c>
      <c r="G36" s="531">
        <v>2222112</v>
      </c>
      <c r="H36" s="531">
        <v>3009397</v>
      </c>
      <c r="I36" s="531">
        <v>3535926</v>
      </c>
      <c r="J36" s="531">
        <v>4326135</v>
      </c>
      <c r="K36" s="531">
        <v>4748846</v>
      </c>
      <c r="L36" s="531">
        <v>5189070</v>
      </c>
      <c r="M36" s="531">
        <v>5675154</v>
      </c>
      <c r="N36" s="531">
        <v>4755759</v>
      </c>
      <c r="O36" s="531">
        <v>4947535</v>
      </c>
      <c r="P36" s="531">
        <v>5124350</v>
      </c>
      <c r="Q36" s="853">
        <f t="shared" si="1"/>
        <v>3547039.6923076925</v>
      </c>
    </row>
    <row r="37" spans="1:17">
      <c r="A37" s="855"/>
      <c r="B37" s="879" t="s">
        <v>824</v>
      </c>
      <c r="C37" s="880"/>
      <c r="D37" s="531">
        <v>1138438</v>
      </c>
      <c r="E37" s="531">
        <v>1231276</v>
      </c>
      <c r="F37" s="531">
        <v>1302771</v>
      </c>
      <c r="G37" s="531">
        <v>1395729</v>
      </c>
      <c r="H37" s="531">
        <v>1502802</v>
      </c>
      <c r="I37" s="531">
        <v>1892687</v>
      </c>
      <c r="J37" s="531">
        <v>2832816</v>
      </c>
      <c r="K37" s="531">
        <v>3750084</v>
      </c>
      <c r="L37" s="531">
        <v>3892583</v>
      </c>
      <c r="M37" s="531">
        <v>3963706</v>
      </c>
      <c r="N37" s="531">
        <v>4635268</v>
      </c>
      <c r="O37" s="531">
        <v>3893928</v>
      </c>
      <c r="P37" s="531">
        <v>2959209</v>
      </c>
      <c r="Q37" s="853">
        <f t="shared" si="1"/>
        <v>2645484.3846153845</v>
      </c>
    </row>
    <row r="38" spans="1:17">
      <c r="A38" s="855"/>
      <c r="B38" s="879" t="s">
        <v>825</v>
      </c>
      <c r="C38" s="880"/>
      <c r="D38" s="531">
        <v>379171</v>
      </c>
      <c r="E38" s="531">
        <v>449262</v>
      </c>
      <c r="F38" s="531">
        <v>953163</v>
      </c>
      <c r="G38" s="531">
        <v>2115117</v>
      </c>
      <c r="H38" s="531">
        <v>2288107</v>
      </c>
      <c r="I38" s="531">
        <v>2908790</v>
      </c>
      <c r="J38" s="531">
        <v>3325680</v>
      </c>
      <c r="K38" s="531">
        <v>3366766</v>
      </c>
      <c r="L38" s="531">
        <v>3382926</v>
      </c>
      <c r="M38" s="531">
        <v>3365991</v>
      </c>
      <c r="N38" s="531">
        <v>3366188</v>
      </c>
      <c r="O38" s="531">
        <v>3365266</v>
      </c>
      <c r="P38" s="531">
        <v>3390031</v>
      </c>
      <c r="Q38" s="853">
        <f t="shared" si="1"/>
        <v>2512035.230769231</v>
      </c>
    </row>
    <row r="39" spans="1:17">
      <c r="A39" s="855"/>
      <c r="B39" s="879" t="s">
        <v>837</v>
      </c>
      <c r="C39" s="880"/>
      <c r="D39" s="531">
        <v>664355</v>
      </c>
      <c r="E39" s="531">
        <v>697970</v>
      </c>
      <c r="F39" s="531">
        <v>769866</v>
      </c>
      <c r="G39" s="531">
        <v>1273433</v>
      </c>
      <c r="H39" s="531">
        <v>2660377</v>
      </c>
      <c r="I39" s="531">
        <v>3285546</v>
      </c>
      <c r="J39" s="531">
        <v>3852140</v>
      </c>
      <c r="K39" s="531">
        <v>3944176</v>
      </c>
      <c r="L39" s="531">
        <v>4040195</v>
      </c>
      <c r="M39" s="531">
        <v>4094593</v>
      </c>
      <c r="N39" s="531">
        <v>4114646</v>
      </c>
      <c r="O39" s="531">
        <v>0</v>
      </c>
      <c r="P39" s="531">
        <v>0</v>
      </c>
      <c r="Q39" s="853">
        <f t="shared" si="1"/>
        <v>2261330.5384615385</v>
      </c>
    </row>
    <row r="40" spans="1:17">
      <c r="A40" s="855"/>
      <c r="B40" s="879" t="s">
        <v>826</v>
      </c>
      <c r="C40" s="880"/>
      <c r="D40" s="531">
        <v>336483</v>
      </c>
      <c r="E40" s="531">
        <v>429295</v>
      </c>
      <c r="F40" s="531">
        <v>559282</v>
      </c>
      <c r="G40" s="531">
        <v>938579</v>
      </c>
      <c r="H40" s="531">
        <v>3031024</v>
      </c>
      <c r="I40" s="531">
        <v>3692085</v>
      </c>
      <c r="J40" s="531">
        <v>5338902</v>
      </c>
      <c r="K40" s="531">
        <v>5796529</v>
      </c>
      <c r="L40" s="531">
        <v>6232197</v>
      </c>
      <c r="M40" s="531">
        <v>0</v>
      </c>
      <c r="N40" s="531">
        <v>0</v>
      </c>
      <c r="O40" s="531">
        <v>0</v>
      </c>
      <c r="P40" s="531">
        <v>0</v>
      </c>
      <c r="Q40" s="853">
        <f t="shared" si="1"/>
        <v>2027259.6923076923</v>
      </c>
    </row>
    <row r="41" spans="1:17">
      <c r="A41" s="855"/>
      <c r="B41" s="879" t="s">
        <v>827</v>
      </c>
      <c r="C41" s="880"/>
      <c r="D41" s="531">
        <v>0</v>
      </c>
      <c r="E41" s="531">
        <v>0</v>
      </c>
      <c r="F41" s="531">
        <v>0</v>
      </c>
      <c r="G41" s="531">
        <v>0</v>
      </c>
      <c r="H41" s="531">
        <v>0</v>
      </c>
      <c r="I41" s="531">
        <v>932247</v>
      </c>
      <c r="J41" s="531">
        <v>1033221</v>
      </c>
      <c r="K41" s="531">
        <v>1166160</v>
      </c>
      <c r="L41" s="531">
        <v>3114209</v>
      </c>
      <c r="M41" s="531">
        <v>3957869</v>
      </c>
      <c r="N41" s="531">
        <v>4773606</v>
      </c>
      <c r="O41" s="531">
        <v>5285796</v>
      </c>
      <c r="P41" s="531">
        <v>5796440</v>
      </c>
      <c r="Q41" s="853">
        <f t="shared" si="1"/>
        <v>2004580.6153846155</v>
      </c>
    </row>
    <row r="42" spans="1:17">
      <c r="A42" s="855"/>
      <c r="B42" s="879" t="s">
        <v>828</v>
      </c>
      <c r="C42" s="880"/>
      <c r="D42" s="531">
        <v>406789</v>
      </c>
      <c r="E42" s="531">
        <v>486459</v>
      </c>
      <c r="F42" s="531">
        <v>569896</v>
      </c>
      <c r="G42" s="531">
        <v>687500</v>
      </c>
      <c r="H42" s="531">
        <v>728789</v>
      </c>
      <c r="I42" s="531">
        <v>836896</v>
      </c>
      <c r="J42" s="531">
        <v>1550650</v>
      </c>
      <c r="K42" s="531">
        <v>1954551</v>
      </c>
      <c r="L42" s="531">
        <v>2906470</v>
      </c>
      <c r="M42" s="531">
        <v>3423555</v>
      </c>
      <c r="N42" s="531">
        <v>3899892</v>
      </c>
      <c r="O42" s="531">
        <v>4053958</v>
      </c>
      <c r="P42" s="531">
        <v>4100713</v>
      </c>
      <c r="Q42" s="853">
        <f t="shared" si="1"/>
        <v>1969701.3846153845</v>
      </c>
    </row>
    <row r="43" spans="1:17">
      <c r="A43" s="855"/>
      <c r="B43" s="879" t="s">
        <v>829</v>
      </c>
      <c r="C43" s="880"/>
      <c r="D43" s="531">
        <v>1287207</v>
      </c>
      <c r="E43" s="531">
        <v>1652278</v>
      </c>
      <c r="F43" s="531">
        <v>1941098</v>
      </c>
      <c r="G43" s="531">
        <v>2208952</v>
      </c>
      <c r="H43" s="531">
        <v>2490506</v>
      </c>
      <c r="I43" s="531">
        <v>2993101</v>
      </c>
      <c r="J43" s="531">
        <v>3315763</v>
      </c>
      <c r="K43" s="531">
        <v>3628989</v>
      </c>
      <c r="L43" s="531">
        <v>3952964</v>
      </c>
      <c r="M43" s="531">
        <v>0</v>
      </c>
      <c r="N43" s="531">
        <v>0</v>
      </c>
      <c r="O43" s="531">
        <v>0</v>
      </c>
      <c r="P43" s="531">
        <v>0</v>
      </c>
      <c r="Q43" s="853">
        <f t="shared" si="1"/>
        <v>1805450.6153846155</v>
      </c>
    </row>
    <row r="44" spans="1:17">
      <c r="A44" s="855"/>
      <c r="B44" s="879" t="s">
        <v>830</v>
      </c>
      <c r="C44" s="880"/>
      <c r="D44" s="531">
        <v>571550</v>
      </c>
      <c r="E44" s="531">
        <v>660821</v>
      </c>
      <c r="F44" s="531">
        <v>733778</v>
      </c>
      <c r="G44" s="531">
        <v>795737</v>
      </c>
      <c r="H44" s="531">
        <v>872514</v>
      </c>
      <c r="I44" s="531">
        <v>1132497</v>
      </c>
      <c r="J44" s="531">
        <v>1842695</v>
      </c>
      <c r="K44" s="531">
        <v>1815349</v>
      </c>
      <c r="L44" s="531">
        <v>2079191</v>
      </c>
      <c r="M44" s="531">
        <v>2204870</v>
      </c>
      <c r="N44" s="531">
        <v>2391907</v>
      </c>
      <c r="O44" s="531">
        <v>2662555</v>
      </c>
      <c r="P44" s="531">
        <v>2880363</v>
      </c>
      <c r="Q44" s="853">
        <f t="shared" si="1"/>
        <v>1587986.6923076923</v>
      </c>
    </row>
    <row r="45" spans="1:17">
      <c r="A45" s="855"/>
      <c r="B45" s="879" t="s">
        <v>831</v>
      </c>
      <c r="C45" s="880"/>
      <c r="D45" s="531">
        <v>1185408</v>
      </c>
      <c r="E45" s="531">
        <v>1255461</v>
      </c>
      <c r="F45" s="531">
        <v>1286746</v>
      </c>
      <c r="G45" s="531">
        <v>1372378</v>
      </c>
      <c r="H45" s="531">
        <v>1616342</v>
      </c>
      <c r="I45" s="531">
        <v>1506195</v>
      </c>
      <c r="J45" s="531">
        <v>1689757</v>
      </c>
      <c r="K45" s="531">
        <v>1908766</v>
      </c>
      <c r="L45" s="531">
        <v>2025010</v>
      </c>
      <c r="M45" s="531">
        <v>2099693</v>
      </c>
      <c r="N45" s="531">
        <v>1513960</v>
      </c>
      <c r="O45" s="531">
        <v>1385990</v>
      </c>
      <c r="P45" s="531">
        <v>1429195</v>
      </c>
      <c r="Q45" s="853">
        <f t="shared" si="1"/>
        <v>1559607.7692307692</v>
      </c>
    </row>
    <row r="46" spans="1:17">
      <c r="A46" s="855"/>
      <c r="B46" s="879" t="s">
        <v>832</v>
      </c>
      <c r="C46" s="880"/>
      <c r="D46" s="531">
        <v>1288661</v>
      </c>
      <c r="E46" s="531">
        <v>1529528</v>
      </c>
      <c r="F46" s="531">
        <v>2229555</v>
      </c>
      <c r="G46" s="531">
        <v>2854841</v>
      </c>
      <c r="H46" s="531">
        <v>3492000</v>
      </c>
      <c r="I46" s="531">
        <v>4006021</v>
      </c>
      <c r="J46" s="531">
        <v>4390960</v>
      </c>
      <c r="K46" s="531">
        <v>0</v>
      </c>
      <c r="L46" s="531">
        <v>0</v>
      </c>
      <c r="M46" s="531">
        <v>0</v>
      </c>
      <c r="N46" s="531">
        <v>0</v>
      </c>
      <c r="O46" s="531">
        <v>0</v>
      </c>
      <c r="P46" s="531">
        <v>0</v>
      </c>
      <c r="Q46" s="853">
        <f t="shared" si="1"/>
        <v>1522428.1538461538</v>
      </c>
    </row>
    <row r="47" spans="1:17">
      <c r="A47" s="855"/>
      <c r="B47" s="879" t="s">
        <v>833</v>
      </c>
      <c r="C47" s="880"/>
      <c r="D47" s="531">
        <v>0</v>
      </c>
      <c r="E47" s="531">
        <v>0</v>
      </c>
      <c r="F47" s="531">
        <v>0</v>
      </c>
      <c r="G47" s="531">
        <v>54730</v>
      </c>
      <c r="H47" s="531">
        <v>115487</v>
      </c>
      <c r="I47" s="531">
        <v>249139</v>
      </c>
      <c r="J47" s="531">
        <v>673557</v>
      </c>
      <c r="K47" s="531">
        <v>1645470</v>
      </c>
      <c r="L47" s="531">
        <v>2455273</v>
      </c>
      <c r="M47" s="531">
        <v>3081935</v>
      </c>
      <c r="N47" s="531">
        <v>3472083</v>
      </c>
      <c r="O47" s="531">
        <v>3700670</v>
      </c>
      <c r="P47" s="531">
        <v>3773427</v>
      </c>
      <c r="Q47" s="853">
        <f t="shared" si="1"/>
        <v>1478597.7692307692</v>
      </c>
    </row>
    <row r="48" spans="1:17">
      <c r="A48" s="855"/>
      <c r="B48" s="879" t="s">
        <v>834</v>
      </c>
      <c r="C48" s="880"/>
      <c r="D48" s="531">
        <v>1076504</v>
      </c>
      <c r="E48" s="531">
        <v>1117075</v>
      </c>
      <c r="F48" s="531">
        <v>1195596</v>
      </c>
      <c r="G48" s="531">
        <v>1205508</v>
      </c>
      <c r="H48" s="531">
        <v>1212165</v>
      </c>
      <c r="I48" s="531">
        <v>1248893</v>
      </c>
      <c r="J48" s="531">
        <v>1269962</v>
      </c>
      <c r="K48" s="531">
        <v>1270653</v>
      </c>
      <c r="L48" s="531">
        <v>1274276</v>
      </c>
      <c r="M48" s="531">
        <v>1277682</v>
      </c>
      <c r="N48" s="531">
        <v>1312093</v>
      </c>
      <c r="O48" s="531">
        <v>1338445</v>
      </c>
      <c r="P48" s="531">
        <v>1341866</v>
      </c>
      <c r="Q48" s="853">
        <f t="shared" si="1"/>
        <v>1241593.6923076923</v>
      </c>
    </row>
    <row r="49" spans="1:17">
      <c r="A49" s="855"/>
      <c r="B49" s="879" t="s">
        <v>835</v>
      </c>
      <c r="C49" s="880"/>
      <c r="D49" s="531">
        <v>1421217</v>
      </c>
      <c r="E49" s="531">
        <v>1927395</v>
      </c>
      <c r="F49" s="531">
        <v>2068651</v>
      </c>
      <c r="G49" s="531">
        <v>2364588</v>
      </c>
      <c r="H49" s="531">
        <v>2395422</v>
      </c>
      <c r="I49" s="531">
        <v>2427151</v>
      </c>
      <c r="J49" s="531">
        <v>2445835</v>
      </c>
      <c r="K49" s="531">
        <v>0</v>
      </c>
      <c r="L49" s="531">
        <v>0</v>
      </c>
      <c r="M49" s="531">
        <v>0</v>
      </c>
      <c r="N49" s="531">
        <v>0</v>
      </c>
      <c r="O49" s="531">
        <v>0</v>
      </c>
      <c r="P49" s="531">
        <v>0</v>
      </c>
      <c r="Q49" s="853">
        <f t="shared" si="1"/>
        <v>1157712.2307692308</v>
      </c>
    </row>
    <row r="50" spans="1:17">
      <c r="A50" s="855"/>
      <c r="B50" s="879" t="s">
        <v>836</v>
      </c>
      <c r="C50" s="880"/>
      <c r="D50" s="531">
        <v>834647</v>
      </c>
      <c r="E50" s="531">
        <v>1091150</v>
      </c>
      <c r="F50" s="531">
        <v>1715956</v>
      </c>
      <c r="G50" s="531">
        <v>2240679</v>
      </c>
      <c r="H50" s="531">
        <v>2364968</v>
      </c>
      <c r="I50" s="531">
        <v>2888036</v>
      </c>
      <c r="J50" s="531">
        <v>3469167</v>
      </c>
      <c r="K50" s="531">
        <v>0</v>
      </c>
      <c r="L50" s="531">
        <v>0</v>
      </c>
      <c r="M50" s="531">
        <v>0</v>
      </c>
      <c r="N50" s="531">
        <v>0</v>
      </c>
      <c r="O50" s="531">
        <v>0</v>
      </c>
      <c r="P50" s="531">
        <v>0</v>
      </c>
      <c r="Q50" s="853">
        <f t="shared" si="1"/>
        <v>1123431</v>
      </c>
    </row>
    <row r="51" spans="1:17">
      <c r="A51" s="855"/>
      <c r="B51" s="879" t="s">
        <v>838</v>
      </c>
      <c r="C51" s="880"/>
      <c r="D51" s="531">
        <v>486315</v>
      </c>
      <c r="E51" s="531">
        <v>550357</v>
      </c>
      <c r="F51" s="531">
        <v>633393</v>
      </c>
      <c r="G51" s="531">
        <v>687347</v>
      </c>
      <c r="H51" s="531">
        <v>728579</v>
      </c>
      <c r="I51" s="531">
        <v>820627</v>
      </c>
      <c r="J51" s="531">
        <v>892058</v>
      </c>
      <c r="K51" s="531">
        <v>1004015</v>
      </c>
      <c r="L51" s="531">
        <v>1351089</v>
      </c>
      <c r="M51" s="531">
        <v>1624930</v>
      </c>
      <c r="N51" s="531">
        <v>1757524</v>
      </c>
      <c r="O51" s="531">
        <v>1828478</v>
      </c>
      <c r="P51" s="531">
        <v>1900127</v>
      </c>
      <c r="Q51" s="853">
        <f t="shared" si="1"/>
        <v>1097295.3076923077</v>
      </c>
    </row>
    <row r="52" spans="1:17">
      <c r="A52" s="855"/>
      <c r="B52" s="879" t="s">
        <v>839</v>
      </c>
      <c r="C52" s="880"/>
      <c r="D52" s="531">
        <v>689390</v>
      </c>
      <c r="E52" s="531">
        <v>1326671</v>
      </c>
      <c r="F52" s="531">
        <v>1691723</v>
      </c>
      <c r="G52" s="531">
        <v>2868918</v>
      </c>
      <c r="H52" s="531">
        <v>3631306</v>
      </c>
      <c r="I52" s="531">
        <v>3956752</v>
      </c>
      <c r="J52" s="531">
        <v>0</v>
      </c>
      <c r="K52" s="531">
        <v>0</v>
      </c>
      <c r="L52" s="531">
        <v>0</v>
      </c>
      <c r="M52" s="531">
        <v>0</v>
      </c>
      <c r="N52" s="531">
        <v>0</v>
      </c>
      <c r="O52" s="531">
        <v>0</v>
      </c>
      <c r="P52" s="531">
        <v>0</v>
      </c>
      <c r="Q52" s="853">
        <f t="shared" si="1"/>
        <v>1089596.923076923</v>
      </c>
    </row>
    <row r="53" spans="1:17">
      <c r="A53" s="855"/>
      <c r="B53" s="879" t="s">
        <v>840</v>
      </c>
      <c r="C53" s="880"/>
      <c r="D53" s="531">
        <v>704280</v>
      </c>
      <c r="E53" s="531">
        <v>721929</v>
      </c>
      <c r="F53" s="531">
        <v>736033</v>
      </c>
      <c r="G53" s="531">
        <v>925431</v>
      </c>
      <c r="H53" s="531">
        <v>1049578</v>
      </c>
      <c r="I53" s="531">
        <v>1174899</v>
      </c>
      <c r="J53" s="531">
        <v>1725915</v>
      </c>
      <c r="K53" s="531">
        <v>1849543</v>
      </c>
      <c r="L53" s="531">
        <v>2205830</v>
      </c>
      <c r="M53" s="531">
        <v>2412156</v>
      </c>
      <c r="N53" s="531">
        <v>0</v>
      </c>
      <c r="O53" s="531">
        <v>0</v>
      </c>
      <c r="P53" s="531">
        <v>0</v>
      </c>
      <c r="Q53" s="853">
        <f t="shared" si="1"/>
        <v>1038891.8461538461</v>
      </c>
    </row>
    <row r="54" spans="1:17">
      <c r="B54" s="879" t="s">
        <v>841</v>
      </c>
      <c r="C54" s="880"/>
      <c r="D54" s="531">
        <v>40081712</v>
      </c>
      <c r="E54" s="531">
        <v>40522610</v>
      </c>
      <c r="F54" s="531">
        <v>43316896</v>
      </c>
      <c r="G54" s="531">
        <v>32380327</v>
      </c>
      <c r="H54" s="531">
        <v>33489557</v>
      </c>
      <c r="I54" s="531">
        <v>31763399</v>
      </c>
      <c r="J54" s="531">
        <v>32422955</v>
      </c>
      <c r="K54" s="531">
        <v>37810919</v>
      </c>
      <c r="L54" s="531">
        <v>42662022</v>
      </c>
      <c r="M54" s="531">
        <v>42316146</v>
      </c>
      <c r="N54" s="531">
        <v>45204729</v>
      </c>
      <c r="O54" s="531">
        <v>46355095</v>
      </c>
      <c r="P54" s="531">
        <v>46539626</v>
      </c>
      <c r="Q54" s="853">
        <f t="shared" si="1"/>
        <v>39605076.384615384</v>
      </c>
    </row>
    <row r="55" spans="1:17">
      <c r="D55" s="531"/>
      <c r="E55" s="531"/>
      <c r="F55" s="531"/>
      <c r="G55" s="531"/>
      <c r="H55" s="531"/>
      <c r="I55" s="531"/>
      <c r="J55" s="531"/>
      <c r="K55" s="531"/>
      <c r="L55" s="531"/>
      <c r="M55" s="531"/>
      <c r="N55" s="531"/>
      <c r="O55" s="531"/>
      <c r="P55" s="531"/>
      <c r="Q55" s="854">
        <f>SUM(Q27:Q54)</f>
        <v>213718138.84615383</v>
      </c>
    </row>
  </sheetData>
  <mergeCells count="28">
    <mergeCell ref="B51:C51"/>
    <mergeCell ref="B52:C52"/>
    <mergeCell ref="B53:C53"/>
    <mergeCell ref="B54:C54"/>
    <mergeCell ref="B45:C45"/>
    <mergeCell ref="B46:C46"/>
    <mergeCell ref="B47:C47"/>
    <mergeCell ref="B48:C48"/>
    <mergeCell ref="B49:C49"/>
    <mergeCell ref="B50:C50"/>
    <mergeCell ref="B44:C44"/>
    <mergeCell ref="B33:C33"/>
    <mergeCell ref="B34:C34"/>
    <mergeCell ref="B35:C35"/>
    <mergeCell ref="B36:C36"/>
    <mergeCell ref="B37:C37"/>
    <mergeCell ref="B38:C38"/>
    <mergeCell ref="B39:C39"/>
    <mergeCell ref="B40:C40"/>
    <mergeCell ref="B41:C41"/>
    <mergeCell ref="B42:C42"/>
    <mergeCell ref="B43:C43"/>
    <mergeCell ref="B32:C32"/>
    <mergeCell ref="B27:C27"/>
    <mergeCell ref="B28:C28"/>
    <mergeCell ref="B29:C29"/>
    <mergeCell ref="B30:C30"/>
    <mergeCell ref="B31:C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Network True-up</vt:lpstr>
      <vt:lpstr>ATC Attach O ER13-1181</vt:lpstr>
      <vt:lpstr>Revenue Breakout</vt:lpstr>
      <vt:lpstr>ATC Attach GG ER13-2297</vt:lpstr>
      <vt:lpstr>GG Support Data</vt:lpstr>
      <vt:lpstr>ATC Attach MM ER13-12</vt:lpstr>
      <vt:lpstr>MM Support Data</vt:lpstr>
      <vt:lpstr>ATC Sch 1 - True up Adjustment</vt:lpstr>
      <vt:lpstr>CWIP</vt:lpstr>
      <vt:lpstr>Def. Tax Avg Calc</vt:lpstr>
      <vt:lpstr>Calc. of Wgt. Avg. Debt Rate</vt:lpstr>
      <vt:lpstr>Permanent</vt:lpstr>
      <vt:lpstr>Excess Deferreds</vt:lpstr>
      <vt:lpstr>SIT</vt:lpstr>
      <vt:lpstr>TEP</vt:lpstr>
      <vt:lpstr>2012 Schedule 26 True-up Adj</vt:lpstr>
      <vt:lpstr>Schedule 26A True-up</vt:lpstr>
      <vt:lpstr>'ATC Attach GG ER13-2297'!Print_Area</vt:lpstr>
      <vt:lpstr>'ATC Attach MM ER13-12'!Print_Area</vt:lpstr>
      <vt:lpstr>'ATC Attach O ER13-1181'!Print_Area</vt:lpstr>
      <vt:lpstr>'ATC Sch 1 - True up Adjustment'!Print_Area</vt:lpstr>
      <vt:lpstr>'Calc. of Wgt. Avg. Debt Rate'!Print_Area</vt:lpstr>
      <vt:lpstr>'GG Support Data'!Print_Area</vt:lpstr>
      <vt:lpstr>'MM Support Data'!Print_Area</vt:lpstr>
      <vt:lpstr>TEP!Print_Area</vt:lpstr>
    </vt:vector>
  </TitlesOfParts>
  <Company>American Transmission 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Figliuzzi, Tiffany</cp:lastModifiedBy>
  <cp:lastPrinted>2015-05-21T15:06:20Z</cp:lastPrinted>
  <dcterms:created xsi:type="dcterms:W3CDTF">2011-11-03T21:55:54Z</dcterms:created>
  <dcterms:modified xsi:type="dcterms:W3CDTF">2015-05-28T18:42:05Z</dcterms:modified>
</cp:coreProperties>
</file>